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trlProps/ctrlProp5.xml" ContentType="application/vnd.ms-excel.controlproperties+xml"/>
  <Override PartName="/xl/ctrlProps/ctrlProp6.xml" ContentType="application/vnd.ms-excel.controlproperti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xml"/>
  <Override PartName="/xl/embeddings/oleObject1.bin" ContentType="application/vnd.openxmlformats-officedocument.oleObject"/>
  <Override PartName="/xl/ctrlProps/ctrlProp7.xml" ContentType="application/vnd.ms-excel.controlproperties+xml"/>
  <Override PartName="/xl/ctrlProps/ctrlProp8.xml" ContentType="application/vnd.ms-excel.controlproperties+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trlProps/ctrlProp9.xml" ContentType="application/vnd.ms-excel.controlproperties+xml"/>
  <Override PartName="/xl/ctrlProps/ctrlProp10.xml" ContentType="application/vnd.ms-excel.controlpropertie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8.xml" ContentType="application/vnd.openxmlformats-officedocument.drawing+xml"/>
  <Override PartName="/xl/ctrlProps/ctrlProp11.xml" ContentType="application/vnd.ms-excel.controlproperties+xml"/>
  <Override PartName="/xl/ctrlProps/ctrlProp12.xml" ContentType="application/vnd.ms-excel.controlproperties+xml"/>
  <Override PartName="/xl/charts/chart17.xml" ContentType="application/vnd.openxmlformats-officedocument.drawingml.chart+xml"/>
  <Override PartName="/xl/charts/chart18.xml" ContentType="application/vnd.openxmlformats-officedocument.drawingml.chart+xml"/>
  <Override PartName="/xl/drawings/drawing9.xml" ContentType="application/vnd.openxmlformats-officedocument.drawing+xml"/>
  <Override PartName="/xl/ctrlProps/ctrlProp13.xml" ContentType="application/vnd.ms-excel.controlproperties+xml"/>
  <Override PartName="/xl/ctrlProps/ctrlProp14.xml" ContentType="application/vnd.ms-excel.controlproperties+xml"/>
  <Override PartName="/xl/charts/chart19.xml" ContentType="application/vnd.openxmlformats-officedocument.drawingml.chart+xml"/>
  <Override PartName="/xl/charts/chart20.xml" ContentType="application/vnd.openxmlformats-officedocument.drawingml.chart+xml"/>
  <Override PartName="/xl/drawings/drawing10.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345" windowWidth="10800" windowHeight="5010" tabRatio="783"/>
  </bookViews>
  <sheets>
    <sheet name="Intro" sheetId="2" r:id="rId1"/>
    <sheet name="Contents" sheetId="19" r:id="rId2"/>
    <sheet name="Population" sheetId="10" r:id="rId3"/>
    <sheet name="Family Structure" sheetId="9" r:id="rId4"/>
    <sheet name="Health Indicators" sheetId="8" r:id="rId5"/>
    <sheet name="Births and Early Years" sheetId="7" r:id="rId6"/>
    <sheet name="Deprivation" sheetId="6" r:id="rId7"/>
    <sheet name="EYFS" sheetId="5" r:id="rId8"/>
    <sheet name="References" sheetId="20" r:id="rId9"/>
    <sheet name="Data" sheetId="1" r:id="rId10"/>
    <sheet name="Named Ranges" sheetId="11" state="hidden" r:id="rId11"/>
    <sheet name="Teenage Pregnancy" sheetId="12" state="hidden" r:id="rId12"/>
    <sheet name="ONS births" sheetId="13" state="hidden" r:id="rId13"/>
    <sheet name="Young Mothers" sheetId="14" state="hidden" r:id="rId14"/>
    <sheet name="Breastfeeding CCG" sheetId="15" state="hidden" r:id="rId15"/>
    <sheet name="progress" sheetId="16" state="hidden" r:id="rId16"/>
    <sheet name="Emergency Admissions" sheetId="17" state="hidden" r:id="rId17"/>
  </sheets>
  <externalReferences>
    <externalReference r:id="rId18"/>
  </externalReferences>
  <definedNames>
    <definedName name="Births">Data!$CP$5:$CU$83</definedName>
    <definedName name="Birthweight">Data!$DC$5:$DF$83</definedName>
    <definedName name="breastfeeding">Data!$FB$5:$FM$83</definedName>
    <definedName name="breastfeeding1415">Data!$FN$5:$FW$78</definedName>
    <definedName name="breastfeeding1415GPpostcode">Data!$FX$5:$GJ$83</definedName>
    <definedName name="cfc">[1]DATA!$2:$77</definedName>
    <definedName name="Childpoverty">Data!$DR$5:$EO$83</definedName>
    <definedName name="ChildPoverty16s">Data!$EP$5:$FA$83</definedName>
    <definedName name="deprivation">Data!$DK$5:$DL$83</definedName>
    <definedName name="District1">Population!$F$19</definedName>
    <definedName name="District2">Population!$J$19</definedName>
    <definedName name="Ethnicity">Data!$AV$5:$BB$78</definedName>
    <definedName name="EYFS2013">Data!$JE$5:$JN$83</definedName>
    <definedName name="EYFS2014">Data!$JO$5:$JX$83</definedName>
    <definedName name="EYFS2015">Data!$JY$5:$KG$83</definedName>
    <definedName name="Families">Data!$BN$5:$BT$82</definedName>
    <definedName name="Geographies">Data!$A$6:$S$83</definedName>
    <definedName name="Households_All_Ages">Data!$BU$5:$BZ$83</definedName>
    <definedName name="Householdunder5">Data!$CA$5:$CF$83</definedName>
    <definedName name="IMD">Data!$DI$5:$DJ$78</definedName>
    <definedName name="Imms201415">Data!$MO$5:$OA$78</definedName>
    <definedName name="immunisations">Data!$LR$5:$MN$78</definedName>
    <definedName name="Locations">Data!$A$6:$A$78</definedName>
    <definedName name="loneparentlowincome">Data!$CG$5:$CK$78</definedName>
    <definedName name="LoneParentsCensus">Data!$CL$5:$CO$83</definedName>
    <definedName name="LTLI">Data!$DG$5:$DH$83</definedName>
    <definedName name="Obese2009">Data!$GK$5:$GP$83</definedName>
    <definedName name="Obese2010">Data!$GQ$5:$GV$84</definedName>
    <definedName name="Obese2011">Data!$GV$5:$HA$83</definedName>
    <definedName name="Obese2012">Data!$HB$5:$HH$83</definedName>
    <definedName name="Obese2013">Data!$HI$5:$HN$83</definedName>
    <definedName name="Obese2014">Data!$HO$5:$HT$78</definedName>
    <definedName name="Obese2015">Data!$HO$5:$HT$78</definedName>
    <definedName name="ObeseY62014">Data!$IY$5:$JD$83</definedName>
    <definedName name="OutofWork">Data!$DM$5:$DQ$83</definedName>
    <definedName name="Population">Data!$T$5:$AC$78</definedName>
    <definedName name="_xlnm.Print_Area" localSheetId="5">'Births and Early Years'!$A$1:$V$179</definedName>
    <definedName name="_xlnm.Print_Area" localSheetId="1">Contents!$A$1:$V$61</definedName>
    <definedName name="_xlnm.Print_Area" localSheetId="6">Deprivation!$A$1:$T$123</definedName>
    <definedName name="_xlnm.Print_Area" localSheetId="7">EYFS!$A$1:$U$103</definedName>
    <definedName name="_xlnm.Print_Area" localSheetId="3">'Family Structure'!$A$1:$P$82</definedName>
    <definedName name="_xlnm.Print_Area" localSheetId="4">'Health Indicators'!$A$1:$W$774</definedName>
    <definedName name="_xlnm.Print_Area" localSheetId="0">Intro!$A$1:$L$53</definedName>
    <definedName name="_xlnm.Print_Area" localSheetId="2">Population!$A$1:$P$120</definedName>
    <definedName name="Proficiency">Data!$BC$5:$BI$82</definedName>
    <definedName name="selection">Data!$A$3</definedName>
    <definedName name="selection2">Data!$A$4</definedName>
    <definedName name="selectionTeenConc1">'Teenage Pregnancy'!$A$1</definedName>
    <definedName name="SelectionTeenConc2" localSheetId="1">'Teenage Pregnancy'!#REF!</definedName>
    <definedName name="SelectionTeenConc2">'Teenage Pregnancy'!#REF!</definedName>
    <definedName name="smoking">Data!$KH$5:$KW$83</definedName>
    <definedName name="Smoking2014">Data!$KX$5:$LQ$78</definedName>
    <definedName name="TeenConc_Selection">'Teenage Pregnancy'!$A$4:$A$13</definedName>
    <definedName name="TeenConcselection1">'Teenage Pregnancy'!$A$1</definedName>
    <definedName name="TeenConcSelection2">'Teenage Pregnancy'!$B$1</definedName>
    <definedName name="TeenMums">Data!$DB$5:$DB$83</definedName>
    <definedName name="TeenPregnancy">'Teenage Pregnancy'!$A$2:$BM$13</definedName>
    <definedName name="Tenure">Data!$BJ$5:$BM$78</definedName>
    <definedName name="UnderFive">Data!$AD$5:$AM$78</definedName>
    <definedName name="Y6Obese2009">Data!$HU$5:$HZ$83</definedName>
    <definedName name="Y6Obese2010">Data!$IA$5:$IF$83</definedName>
    <definedName name="Y6Obese20109">Data!$HU$5:$HZ$83</definedName>
    <definedName name="Y6Obese2011">Data!$IG$5:$IL$83</definedName>
    <definedName name="Y6Obese2012">Data!$IM$5:$IR$83</definedName>
    <definedName name="Y6Obese2013">Data!$IS$5:$IX$83</definedName>
    <definedName name="YoungMums">Data!$CV$5:$DA$83</definedName>
    <definedName name="YR6Obese2011">Data!$IG$5:$IL$82</definedName>
    <definedName name="Yr6Obese2014">Data!$IY$5:$JD$83</definedName>
  </definedNames>
  <calcPr calcId="145621"/>
</workbook>
</file>

<file path=xl/calcChain.xml><?xml version="1.0" encoding="utf-8"?>
<calcChain xmlns="http://schemas.openxmlformats.org/spreadsheetml/2006/main">
  <c r="H507" i="8" l="1"/>
  <c r="G260" i="8" l="1"/>
  <c r="F260" i="8"/>
  <c r="G259" i="8"/>
  <c r="F259" i="8"/>
  <c r="G257" i="8"/>
  <c r="F257" i="8"/>
  <c r="G256" i="8"/>
  <c r="F256" i="8"/>
  <c r="G254" i="8"/>
  <c r="F254" i="8"/>
  <c r="G253" i="8"/>
  <c r="F253" i="8"/>
  <c r="G251" i="8"/>
  <c r="F251" i="8"/>
  <c r="G250" i="8"/>
  <c r="F250" i="8"/>
  <c r="G248" i="8"/>
  <c r="F248" i="8"/>
  <c r="G247" i="8"/>
  <c r="F247" i="8"/>
  <c r="G245" i="8"/>
  <c r="F245" i="8"/>
  <c r="G244" i="8"/>
  <c r="F244" i="8"/>
  <c r="J36" i="10"/>
  <c r="I36" i="10"/>
  <c r="H36" i="10"/>
  <c r="J35" i="10"/>
  <c r="I35" i="10"/>
  <c r="H35" i="10"/>
  <c r="L231" i="8" l="1"/>
  <c r="L232" i="8"/>
  <c r="L233" i="8"/>
  <c r="L230" i="8"/>
  <c r="N234" i="8"/>
  <c r="L234" i="8"/>
  <c r="K234" i="8"/>
  <c r="I234" i="8"/>
  <c r="I231" i="8"/>
  <c r="I232" i="8"/>
  <c r="I233" i="8"/>
  <c r="I230" i="8"/>
  <c r="JD7" i="1"/>
  <c r="JD8" i="1"/>
  <c r="JD9" i="1"/>
  <c r="JD10" i="1"/>
  <c r="JD11" i="1"/>
  <c r="JD12" i="1"/>
  <c r="JD13" i="1"/>
  <c r="JD14" i="1"/>
  <c r="JD15" i="1"/>
  <c r="JD16" i="1"/>
  <c r="JD17" i="1"/>
  <c r="JD18" i="1"/>
  <c r="JD19" i="1"/>
  <c r="JD20" i="1"/>
  <c r="JD21" i="1"/>
  <c r="JD22" i="1"/>
  <c r="JD23" i="1"/>
  <c r="JD24" i="1"/>
  <c r="JD25" i="1"/>
  <c r="JD26" i="1"/>
  <c r="JD27" i="1"/>
  <c r="JD28" i="1"/>
  <c r="JD29" i="1"/>
  <c r="JD30" i="1"/>
  <c r="JD31" i="1"/>
  <c r="JD32" i="1"/>
  <c r="JD33" i="1"/>
  <c r="JD34" i="1"/>
  <c r="JD35" i="1"/>
  <c r="JD36" i="1"/>
  <c r="JD37" i="1"/>
  <c r="JD38" i="1"/>
  <c r="JD39" i="1"/>
  <c r="JD40" i="1"/>
  <c r="JD41" i="1"/>
  <c r="JD42" i="1"/>
  <c r="JD43" i="1"/>
  <c r="JD44" i="1"/>
  <c r="JD45" i="1"/>
  <c r="JD46" i="1"/>
  <c r="JD47" i="1"/>
  <c r="JD48" i="1"/>
  <c r="JD49" i="1"/>
  <c r="JD50" i="1"/>
  <c r="JD51" i="1"/>
  <c r="JD52" i="1"/>
  <c r="JD53" i="1"/>
  <c r="JD54" i="1"/>
  <c r="JD55" i="1"/>
  <c r="JD56" i="1"/>
  <c r="JD57" i="1"/>
  <c r="JD58" i="1"/>
  <c r="JD59" i="1"/>
  <c r="JD60" i="1"/>
  <c r="JD61" i="1"/>
  <c r="JD62" i="1"/>
  <c r="JD63" i="1"/>
  <c r="JD64" i="1"/>
  <c r="JD65" i="1"/>
  <c r="JD66" i="1"/>
  <c r="JD67" i="1"/>
  <c r="JD68" i="1"/>
  <c r="JD69" i="1"/>
  <c r="JD70" i="1"/>
  <c r="JD71" i="1"/>
  <c r="JD72" i="1"/>
  <c r="JD73" i="1"/>
  <c r="JD74" i="1"/>
  <c r="JD75" i="1"/>
  <c r="JD76" i="1"/>
  <c r="JD77" i="1"/>
  <c r="JD6" i="1"/>
  <c r="R234" i="8" l="1"/>
  <c r="R232" i="8"/>
  <c r="T234" i="8"/>
  <c r="R231" i="8"/>
  <c r="R230" i="8"/>
  <c r="Q234" i="8"/>
  <c r="O234" i="8"/>
  <c r="O233" i="8"/>
  <c r="O232" i="8"/>
  <c r="N258" i="8" s="1"/>
  <c r="O231" i="8"/>
  <c r="O230" i="8"/>
  <c r="M258" i="8"/>
  <c r="M259" i="8" s="1"/>
  <c r="L258" i="8"/>
  <c r="L227" i="8"/>
  <c r="M242" i="8" s="1"/>
  <c r="I227" i="8"/>
  <c r="T180" i="8"/>
  <c r="R180" i="8"/>
  <c r="R178" i="8"/>
  <c r="G258" i="8" s="1"/>
  <c r="R177" i="8"/>
  <c r="R176" i="8"/>
  <c r="Q180" i="8"/>
  <c r="O180" i="8"/>
  <c r="O179" i="8"/>
  <c r="O178" i="8"/>
  <c r="O177" i="8"/>
  <c r="O176" i="8"/>
  <c r="N180" i="8"/>
  <c r="L180" i="8"/>
  <c r="K180" i="8"/>
  <c r="I180" i="8"/>
  <c r="L177" i="8"/>
  <c r="L178" i="8"/>
  <c r="E259" i="8" s="1"/>
  <c r="L179" i="8"/>
  <c r="L176" i="8"/>
  <c r="I177" i="8"/>
  <c r="I178" i="8"/>
  <c r="I179" i="8"/>
  <c r="I176" i="8"/>
  <c r="L173" i="8"/>
  <c r="I173" i="8"/>
  <c r="HT18" i="1"/>
  <c r="HT19" i="1"/>
  <c r="HT20" i="1"/>
  <c r="HT21" i="1"/>
  <c r="HT22" i="1"/>
  <c r="HT23" i="1"/>
  <c r="HT24" i="1"/>
  <c r="HT25" i="1"/>
  <c r="HT26" i="1"/>
  <c r="HT27" i="1"/>
  <c r="HT28" i="1"/>
  <c r="HT29" i="1"/>
  <c r="HT30" i="1"/>
  <c r="HT31" i="1"/>
  <c r="HT32" i="1"/>
  <c r="HT33" i="1"/>
  <c r="HT34" i="1"/>
  <c r="HT35" i="1"/>
  <c r="HT36" i="1"/>
  <c r="HT37" i="1"/>
  <c r="HT38" i="1"/>
  <c r="HT39" i="1"/>
  <c r="HT40" i="1"/>
  <c r="HT41" i="1"/>
  <c r="HT42" i="1"/>
  <c r="HT43" i="1"/>
  <c r="HT44" i="1"/>
  <c r="HT45" i="1"/>
  <c r="HT46" i="1"/>
  <c r="HT47" i="1"/>
  <c r="HT48" i="1"/>
  <c r="HT49" i="1"/>
  <c r="HT50" i="1"/>
  <c r="HT51" i="1"/>
  <c r="HT52" i="1"/>
  <c r="HT53" i="1"/>
  <c r="HT54" i="1"/>
  <c r="HT55" i="1"/>
  <c r="HT56" i="1"/>
  <c r="HT57" i="1"/>
  <c r="HT58" i="1"/>
  <c r="HT59" i="1"/>
  <c r="HT60" i="1"/>
  <c r="HT61" i="1"/>
  <c r="HT62" i="1"/>
  <c r="HT63" i="1"/>
  <c r="HT64" i="1"/>
  <c r="HT65" i="1"/>
  <c r="HT66" i="1"/>
  <c r="HT67" i="1"/>
  <c r="HT68" i="1"/>
  <c r="HT69" i="1"/>
  <c r="HT70" i="1"/>
  <c r="HT71" i="1"/>
  <c r="HT72" i="1"/>
  <c r="HT73" i="1"/>
  <c r="HT74" i="1"/>
  <c r="HT75" i="1"/>
  <c r="HT76" i="1"/>
  <c r="HT77" i="1"/>
  <c r="HT7" i="1"/>
  <c r="HT8" i="1"/>
  <c r="HT9" i="1"/>
  <c r="HT10" i="1"/>
  <c r="HT11" i="1"/>
  <c r="HT12" i="1"/>
  <c r="HT13" i="1"/>
  <c r="HT14" i="1"/>
  <c r="HT15" i="1"/>
  <c r="HT16" i="1"/>
  <c r="HT17" i="1"/>
  <c r="HT6" i="1"/>
  <c r="E260" i="8" l="1"/>
  <c r="D258" i="8"/>
  <c r="D259" i="8"/>
  <c r="D260" i="8"/>
  <c r="E258" i="8"/>
  <c r="O259" i="8"/>
  <c r="N259" i="8"/>
  <c r="L260" i="8"/>
  <c r="L259" i="8"/>
  <c r="M260" i="8"/>
  <c r="N260" i="8"/>
  <c r="O260" i="8"/>
  <c r="F258" i="8"/>
  <c r="O258" i="8"/>
  <c r="HP80" i="1" l="1"/>
  <c r="HP82" i="1"/>
  <c r="HP83" i="1"/>
  <c r="HO83" i="1"/>
  <c r="HO82" i="1"/>
  <c r="HP81" i="1"/>
  <c r="HO81" i="1"/>
  <c r="HO80" i="1"/>
  <c r="HP79" i="1" l="1"/>
  <c r="HO79" i="1"/>
  <c r="K545" i="8"/>
  <c r="J545" i="8"/>
  <c r="I545" i="8"/>
  <c r="H545" i="8"/>
  <c r="R539" i="8"/>
  <c r="K552" i="8" s="1"/>
  <c r="S539" i="8"/>
  <c r="Q552" i="8" s="1"/>
  <c r="O539" i="8"/>
  <c r="J552" i="8" s="1"/>
  <c r="P539" i="8"/>
  <c r="P552" i="8" s="1"/>
  <c r="L539" i="8"/>
  <c r="I552" i="8" s="1"/>
  <c r="M539" i="8"/>
  <c r="O552" i="8" s="1"/>
  <c r="Q539" i="8"/>
  <c r="K548" i="8" s="1"/>
  <c r="N539" i="8"/>
  <c r="J548" i="8" s="1"/>
  <c r="K539" i="8"/>
  <c r="I548" i="8" s="1"/>
  <c r="N548" i="8" s="1"/>
  <c r="I539" i="8"/>
  <c r="H552" i="8" s="1"/>
  <c r="J539" i="8"/>
  <c r="N552" i="8" s="1"/>
  <c r="H539" i="8"/>
  <c r="H548" i="8" s="1"/>
  <c r="I537" i="8"/>
  <c r="H551" i="8" s="1"/>
  <c r="J537" i="8"/>
  <c r="N551" i="8" s="1"/>
  <c r="K537" i="8"/>
  <c r="I547" i="8" s="1"/>
  <c r="L537" i="8"/>
  <c r="I551" i="8" s="1"/>
  <c r="M537" i="8"/>
  <c r="O551" i="8" s="1"/>
  <c r="N537" i="8"/>
  <c r="J547" i="8" s="1"/>
  <c r="O537" i="8"/>
  <c r="J551" i="8" s="1"/>
  <c r="P537" i="8"/>
  <c r="P551" i="8" s="1"/>
  <c r="Q537" i="8"/>
  <c r="K547" i="8" s="1"/>
  <c r="R537" i="8"/>
  <c r="K551" i="8" s="1"/>
  <c r="S537" i="8"/>
  <c r="Q551" i="8" s="1"/>
  <c r="H537" i="8"/>
  <c r="H547" i="8" s="1"/>
  <c r="S535" i="8"/>
  <c r="Q550" i="8" s="1"/>
  <c r="K535" i="8"/>
  <c r="I546" i="8" s="1"/>
  <c r="L535" i="8"/>
  <c r="I550" i="8" s="1"/>
  <c r="M535" i="8"/>
  <c r="O550" i="8" s="1"/>
  <c r="N535" i="8"/>
  <c r="J546" i="8" s="1"/>
  <c r="O535" i="8"/>
  <c r="J550" i="8" s="1"/>
  <c r="P535" i="8"/>
  <c r="P550" i="8" s="1"/>
  <c r="Q535" i="8"/>
  <c r="K546" i="8" s="1"/>
  <c r="R535" i="8"/>
  <c r="K550" i="8" s="1"/>
  <c r="H535" i="8"/>
  <c r="H546" i="8" s="1"/>
  <c r="J535" i="8"/>
  <c r="N550" i="8" s="1"/>
  <c r="I535" i="8"/>
  <c r="H550" i="8" s="1"/>
  <c r="D537" i="8"/>
  <c r="G547" i="8" s="1"/>
  <c r="D535" i="8"/>
  <c r="G546" i="8" s="1"/>
  <c r="O548" i="8" l="1"/>
  <c r="U548" i="8"/>
  <c r="T548" i="8"/>
  <c r="P548" i="8"/>
  <c r="S548" i="8"/>
  <c r="M546" i="8"/>
  <c r="N546" i="8"/>
  <c r="M548" i="8"/>
  <c r="R548" i="8"/>
  <c r="P546" i="8"/>
  <c r="M547" i="8"/>
  <c r="T546" i="8"/>
  <c r="U547" i="8"/>
  <c r="P547" i="8"/>
  <c r="T547" i="8"/>
  <c r="N547" i="8"/>
  <c r="O547" i="8"/>
  <c r="R547" i="8"/>
  <c r="S547" i="8"/>
  <c r="S546" i="8"/>
  <c r="O546" i="8"/>
  <c r="R546" i="8"/>
  <c r="U546" i="8"/>
  <c r="O65" i="8"/>
  <c r="N65" i="8"/>
  <c r="F68" i="8"/>
  <c r="M65" i="8"/>
  <c r="O64" i="8"/>
  <c r="N64" i="8"/>
  <c r="M64" i="8"/>
  <c r="L64" i="8"/>
  <c r="L65" i="8"/>
  <c r="H74" i="9"/>
  <c r="H73" i="9"/>
  <c r="H72" i="9"/>
  <c r="H71" i="9"/>
  <c r="H70" i="9"/>
  <c r="G74" i="9"/>
  <c r="G73" i="9"/>
  <c r="G72" i="9"/>
  <c r="G71" i="9"/>
  <c r="G70" i="9"/>
  <c r="R65" i="8" l="1"/>
  <c r="T65" i="8"/>
  <c r="FH1" i="1" l="1"/>
  <c r="FG1" i="1"/>
  <c r="O66" i="8" l="1"/>
  <c r="N66" i="8"/>
  <c r="G69" i="8"/>
  <c r="O69" i="8"/>
  <c r="N69" i="8"/>
  <c r="M69" i="8"/>
  <c r="L69" i="8"/>
  <c r="O68" i="8"/>
  <c r="O67" i="8"/>
  <c r="N67" i="8"/>
  <c r="N68" i="8"/>
  <c r="L68" i="8"/>
  <c r="M68" i="8"/>
  <c r="M67" i="8"/>
  <c r="L67" i="8"/>
  <c r="N58" i="8"/>
  <c r="L58" i="8"/>
  <c r="I67" i="8" s="1"/>
  <c r="N57" i="8"/>
  <c r="L57" i="8"/>
  <c r="L56" i="8"/>
  <c r="N56" i="8"/>
  <c r="G68" i="8" s="1"/>
  <c r="N55" i="8"/>
  <c r="L55" i="8"/>
  <c r="N54" i="8"/>
  <c r="L54" i="8"/>
  <c r="M66" i="8" l="1"/>
  <c r="L66" i="8"/>
  <c r="E69" i="8"/>
  <c r="H69" i="8"/>
  <c r="F69" i="8"/>
  <c r="F67" i="8"/>
  <c r="N47" i="8"/>
  <c r="L47" i="8"/>
  <c r="I68" i="8"/>
  <c r="Q68" i="8" s="1"/>
  <c r="N51" i="8"/>
  <c r="L51" i="8"/>
  <c r="Q66" i="8" l="1"/>
  <c r="S66" i="8"/>
  <c r="I69" i="8"/>
  <c r="Q67" i="8"/>
  <c r="R68" i="8"/>
  <c r="S68" i="8"/>
  <c r="T68" i="8"/>
  <c r="S67" i="8" l="1"/>
  <c r="G67" i="8"/>
  <c r="Q69" i="8"/>
  <c r="S69" i="8"/>
  <c r="L124" i="7"/>
  <c r="R69" i="8" l="1"/>
  <c r="T69" i="8"/>
  <c r="T67" i="8"/>
  <c r="R67" i="8"/>
  <c r="P659" i="8" l="1"/>
  <c r="L659" i="8"/>
  <c r="L662" i="8"/>
  <c r="P671" i="8"/>
  <c r="L671" i="8"/>
  <c r="P668" i="8"/>
  <c r="L668" i="8"/>
  <c r="P656" i="8"/>
  <c r="L656" i="8"/>
  <c r="P665" i="8"/>
  <c r="L665" i="8"/>
  <c r="P662" i="8"/>
  <c r="P653" i="8"/>
  <c r="L653" i="8"/>
  <c r="P650" i="8"/>
  <c r="L650" i="8"/>
  <c r="P647" i="8"/>
  <c r="L647" i="8"/>
  <c r="P646" i="8"/>
  <c r="L646" i="8"/>
  <c r="P625" i="8"/>
  <c r="L625" i="8"/>
  <c r="P634" i="8"/>
  <c r="P637" i="8"/>
  <c r="L637" i="8"/>
  <c r="L634" i="8"/>
  <c r="P631" i="8"/>
  <c r="L631" i="8"/>
  <c r="P622" i="8"/>
  <c r="L622" i="8"/>
  <c r="P628" i="8"/>
  <c r="L628" i="8"/>
  <c r="P621" i="8"/>
  <c r="P626" i="8" s="1"/>
  <c r="L621" i="8"/>
  <c r="P611" i="8"/>
  <c r="L611" i="8"/>
  <c r="P608" i="8"/>
  <c r="L608" i="8"/>
  <c r="P605" i="8"/>
  <c r="L605" i="8"/>
  <c r="P604" i="8"/>
  <c r="L604" i="8"/>
  <c r="L626" i="8" l="1"/>
  <c r="L627" i="8" s="1"/>
  <c r="R66" i="8"/>
  <c r="R64" i="8"/>
  <c r="P660" i="8"/>
  <c r="P661" i="8" s="1"/>
  <c r="L660" i="8"/>
  <c r="L661" i="8" s="1"/>
  <c r="P627" i="8"/>
  <c r="T66" i="8" l="1"/>
  <c r="T64" i="8"/>
  <c r="O81" i="5"/>
  <c r="M81" i="5"/>
  <c r="O82" i="5"/>
  <c r="H87" i="5" s="1"/>
  <c r="M82" i="5"/>
  <c r="H86" i="5" s="1"/>
  <c r="O80" i="5"/>
  <c r="M80" i="5"/>
  <c r="K80" i="5"/>
  <c r="I80" i="5"/>
  <c r="I35" i="5"/>
  <c r="K82" i="5"/>
  <c r="H85" i="5" s="1"/>
  <c r="I82" i="5"/>
  <c r="H84" i="5" s="1"/>
  <c r="K81" i="5"/>
  <c r="I81" i="5"/>
  <c r="I79" i="5" l="1"/>
  <c r="I43" i="5"/>
  <c r="K79" i="5"/>
  <c r="K43" i="5"/>
  <c r="I45" i="5" l="1"/>
  <c r="K45" i="5"/>
  <c r="I44" i="5"/>
  <c r="K44" i="5"/>
  <c r="I21" i="6" l="1"/>
  <c r="K45" i="7"/>
  <c r="K46" i="7"/>
  <c r="K47" i="7"/>
  <c r="K48" i="7"/>
  <c r="K49" i="7"/>
  <c r="P103" i="6" l="1"/>
  <c r="N103" i="6"/>
  <c r="N115" i="6"/>
  <c r="L103" i="6"/>
  <c r="L116" i="6"/>
  <c r="L115" i="6"/>
  <c r="L113" i="6"/>
  <c r="J107" i="6"/>
  <c r="P116" i="6"/>
  <c r="Q116" i="6" s="1"/>
  <c r="P115" i="6"/>
  <c r="P114" i="6"/>
  <c r="P113" i="6"/>
  <c r="P112" i="6"/>
  <c r="P111" i="6"/>
  <c r="P110" i="6"/>
  <c r="P109" i="6"/>
  <c r="P108" i="6"/>
  <c r="P107" i="6"/>
  <c r="P106" i="6"/>
  <c r="P105" i="6"/>
  <c r="N116" i="6"/>
  <c r="N114" i="6"/>
  <c r="N113" i="6"/>
  <c r="N112" i="6"/>
  <c r="N111" i="6"/>
  <c r="N110" i="6"/>
  <c r="N109" i="6"/>
  <c r="N108" i="6"/>
  <c r="N107" i="6"/>
  <c r="N106" i="6"/>
  <c r="N105" i="6"/>
  <c r="L114" i="6"/>
  <c r="L112" i="6"/>
  <c r="L111" i="6"/>
  <c r="L110" i="6"/>
  <c r="L109" i="6"/>
  <c r="L108" i="6"/>
  <c r="L107" i="6"/>
  <c r="L106" i="6"/>
  <c r="L105" i="6"/>
  <c r="J105" i="6"/>
  <c r="J106" i="6"/>
  <c r="J108" i="6"/>
  <c r="J109" i="6"/>
  <c r="J110" i="6"/>
  <c r="J111" i="6"/>
  <c r="J112" i="6"/>
  <c r="J113" i="6"/>
  <c r="J114" i="6"/>
  <c r="J115" i="6"/>
  <c r="J116" i="6"/>
  <c r="H105" i="6"/>
  <c r="H106" i="6"/>
  <c r="H107" i="6"/>
  <c r="H108" i="6"/>
  <c r="H109" i="6"/>
  <c r="H110" i="6"/>
  <c r="H111" i="6"/>
  <c r="H112" i="6"/>
  <c r="H113" i="6"/>
  <c r="H114" i="6"/>
  <c r="H115" i="6"/>
  <c r="H116" i="6"/>
  <c r="O115" i="6" l="1"/>
  <c r="M116" i="6"/>
  <c r="M115" i="6"/>
  <c r="O116" i="6"/>
  <c r="Q115" i="6"/>
  <c r="Q103" i="6"/>
  <c r="O103" i="6"/>
  <c r="M103" i="6"/>
  <c r="K103" i="6"/>
  <c r="J103" i="6"/>
  <c r="I103" i="6"/>
  <c r="H103" i="6"/>
  <c r="I115" i="6" s="1"/>
  <c r="K115" i="6" l="1"/>
  <c r="K116" i="6"/>
  <c r="I116" i="6"/>
  <c r="O45" i="5"/>
  <c r="K52" i="5" s="1"/>
  <c r="M45" i="5"/>
  <c r="K51" i="5" s="1"/>
  <c r="L50" i="5"/>
  <c r="M50" i="5"/>
  <c r="M49" i="5"/>
  <c r="L49" i="5"/>
  <c r="K49" i="5" l="1"/>
  <c r="K50" i="5"/>
  <c r="I24" i="6"/>
  <c r="K24" i="6"/>
  <c r="K57" i="5" l="1"/>
  <c r="L57" i="5"/>
  <c r="L56" i="5"/>
  <c r="K56" i="5"/>
  <c r="F789" i="8" l="1"/>
  <c r="F790" i="8" s="1"/>
  <c r="P657" i="8" l="1"/>
  <c r="P658" i="8" s="1"/>
  <c r="L672" i="8" l="1"/>
  <c r="L673" i="8" s="1"/>
  <c r="L635" i="8"/>
  <c r="L636" i="8" s="1"/>
  <c r="L654" i="8"/>
  <c r="L655" i="8" s="1"/>
  <c r="L623" i="8"/>
  <c r="L624" i="8" s="1"/>
  <c r="L666" i="8"/>
  <c r="L667" i="8" s="1"/>
  <c r="L651" i="8"/>
  <c r="L652" i="8" s="1"/>
  <c r="P612" i="8"/>
  <c r="P613" i="8" s="1"/>
  <c r="L629" i="8"/>
  <c r="L630" i="8" s="1"/>
  <c r="L638" i="8"/>
  <c r="L639" i="8" s="1"/>
  <c r="L657" i="8"/>
  <c r="L658" i="8" s="1"/>
  <c r="L609" i="8"/>
  <c r="L610" i="8" s="1"/>
  <c r="L612" i="8"/>
  <c r="L613" i="8" s="1"/>
  <c r="L632" i="8"/>
  <c r="L633" i="8" s="1"/>
  <c r="L663" i="8"/>
  <c r="L664" i="8" s="1"/>
  <c r="L669" i="8"/>
  <c r="L670" i="8" s="1"/>
  <c r="L648" i="8"/>
  <c r="L649" i="8" s="1"/>
  <c r="P609" i="8"/>
  <c r="P610" i="8" s="1"/>
  <c r="P606" i="8"/>
  <c r="P607" i="8" s="1"/>
  <c r="P654" i="8"/>
  <c r="P655" i="8" s="1"/>
  <c r="P663" i="8"/>
  <c r="P664" i="8" s="1"/>
  <c r="P651" i="8"/>
  <c r="P652" i="8" s="1"/>
  <c r="P672" i="8"/>
  <c r="P673" i="8" s="1"/>
  <c r="P669" i="8"/>
  <c r="P670" i="8" s="1"/>
  <c r="P623" i="8"/>
  <c r="P624" i="8" s="1"/>
  <c r="P635" i="8"/>
  <c r="P636" i="8" s="1"/>
  <c r="P666" i="8"/>
  <c r="P667" i="8" s="1"/>
  <c r="P629" i="8"/>
  <c r="P630" i="8" s="1"/>
  <c r="P632" i="8"/>
  <c r="P633" i="8" s="1"/>
  <c r="P638" i="8"/>
  <c r="P639" i="8" s="1"/>
  <c r="P648" i="8"/>
  <c r="P649" i="8" s="1"/>
  <c r="L606" i="8"/>
  <c r="L607" i="8" s="1"/>
  <c r="H69" i="9" l="1"/>
  <c r="G69" i="9"/>
  <c r="N226" i="8" l="1"/>
  <c r="N172" i="8"/>
  <c r="V249" i="8"/>
  <c r="JF86" i="1" l="1"/>
  <c r="JE86" i="1"/>
  <c r="K21" i="6" l="1"/>
  <c r="T226" i="8"/>
  <c r="R226" i="8"/>
  <c r="R224" i="8"/>
  <c r="R222" i="8"/>
  <c r="Q226" i="8"/>
  <c r="O226" i="8"/>
  <c r="O225" i="8"/>
  <c r="O224" i="8"/>
  <c r="O222" i="8"/>
  <c r="O171" i="8"/>
  <c r="T172" i="8"/>
  <c r="R172" i="8"/>
  <c r="R170" i="8"/>
  <c r="R168" i="8"/>
  <c r="Q172" i="8"/>
  <c r="O172" i="8"/>
  <c r="O170" i="8"/>
  <c r="O168" i="8"/>
  <c r="N256" i="8" l="1"/>
  <c r="F255" i="8"/>
  <c r="G255" i="8"/>
  <c r="O255" i="8"/>
  <c r="O257" i="8"/>
  <c r="N257" i="8"/>
  <c r="N255" i="8"/>
  <c r="O256" i="8"/>
  <c r="R145" i="8"/>
  <c r="R169" i="8"/>
  <c r="O169" i="8"/>
  <c r="R223" i="8"/>
  <c r="O223" i="8"/>
  <c r="H514" i="8" l="1"/>
  <c r="H515" i="8"/>
  <c r="H516" i="8"/>
  <c r="G514" i="8"/>
  <c r="G515" i="8"/>
  <c r="G516" i="8"/>
  <c r="G508" i="8"/>
  <c r="H513" i="8"/>
  <c r="H512" i="8"/>
  <c r="H510" i="8"/>
  <c r="H509" i="8"/>
  <c r="H506" i="8"/>
  <c r="H508" i="8"/>
  <c r="H511" i="8"/>
  <c r="G513" i="8"/>
  <c r="G512" i="8"/>
  <c r="G510" i="8"/>
  <c r="G509" i="8"/>
  <c r="G507" i="8"/>
  <c r="G506" i="8"/>
  <c r="G511" i="8"/>
  <c r="H505" i="8"/>
  <c r="G505" i="8"/>
  <c r="O72" i="5"/>
  <c r="F87" i="5" s="1"/>
  <c r="E87" i="5"/>
  <c r="E86" i="5"/>
  <c r="O77" i="5"/>
  <c r="G87" i="5" s="1"/>
  <c r="M77" i="5"/>
  <c r="G86" i="5" s="1"/>
  <c r="O76" i="5"/>
  <c r="M76" i="5"/>
  <c r="O75" i="5"/>
  <c r="M75" i="5"/>
  <c r="M72" i="5"/>
  <c r="F86" i="5" s="1"/>
  <c r="O71" i="5"/>
  <c r="M71" i="5"/>
  <c r="O70" i="5"/>
  <c r="M70" i="5"/>
  <c r="K76" i="5"/>
  <c r="I76" i="5"/>
  <c r="K71" i="5"/>
  <c r="I71" i="5"/>
  <c r="K75" i="5"/>
  <c r="K77" i="5"/>
  <c r="G85" i="5" s="1"/>
  <c r="K74" i="5"/>
  <c r="I75" i="5"/>
  <c r="I77" i="5"/>
  <c r="G84" i="5" s="1"/>
  <c r="I74" i="5"/>
  <c r="K70" i="5"/>
  <c r="K72" i="5"/>
  <c r="F85" i="5" s="1"/>
  <c r="K69" i="5"/>
  <c r="I70" i="5"/>
  <c r="I72" i="5"/>
  <c r="F84" i="5" s="1"/>
  <c r="I69" i="5"/>
  <c r="K66" i="5"/>
  <c r="E85" i="5" s="1"/>
  <c r="I66" i="5"/>
  <c r="E84" i="5" s="1"/>
  <c r="J49" i="5"/>
  <c r="I49" i="5"/>
  <c r="J50" i="5"/>
  <c r="I50" i="5"/>
  <c r="G50" i="5"/>
  <c r="F50" i="5"/>
  <c r="G49" i="5"/>
  <c r="F49" i="5"/>
  <c r="D52" i="5"/>
  <c r="O41" i="5"/>
  <c r="H52" i="5" s="1"/>
  <c r="M41" i="5"/>
  <c r="H51" i="5" s="1"/>
  <c r="K40" i="5"/>
  <c r="K41" i="5"/>
  <c r="H50" i="5" s="1"/>
  <c r="K39" i="5"/>
  <c r="I40" i="5"/>
  <c r="I41" i="5"/>
  <c r="H49" i="5" s="1"/>
  <c r="I39" i="5"/>
  <c r="O37" i="5"/>
  <c r="E52" i="5" s="1"/>
  <c r="M37" i="5"/>
  <c r="E51" i="5" s="1"/>
  <c r="K36" i="5"/>
  <c r="K37" i="5"/>
  <c r="E50" i="5" s="1"/>
  <c r="I36" i="5"/>
  <c r="I37" i="5"/>
  <c r="E49" i="5" s="1"/>
  <c r="K35" i="5"/>
  <c r="K32" i="5"/>
  <c r="D50" i="5" s="1"/>
  <c r="I32" i="5"/>
  <c r="D49" i="5" s="1"/>
  <c r="O202" i="8"/>
  <c r="G242" i="8"/>
  <c r="F242" i="8"/>
  <c r="T218" i="8"/>
  <c r="R218" i="8"/>
  <c r="R216" i="8"/>
  <c r="O252" i="8" s="1"/>
  <c r="R215" i="8"/>
  <c r="R214" i="8"/>
  <c r="Q218" i="8"/>
  <c r="O218" i="8"/>
  <c r="O217" i="8"/>
  <c r="O216" i="8"/>
  <c r="N252" i="8" s="1"/>
  <c r="O215" i="8"/>
  <c r="O214" i="8"/>
  <c r="T210" i="8"/>
  <c r="R210" i="8"/>
  <c r="R208" i="8"/>
  <c r="O249" i="8" s="1"/>
  <c r="R207" i="8"/>
  <c r="R206" i="8"/>
  <c r="Q210" i="8"/>
  <c r="O210" i="8"/>
  <c r="O209" i="8"/>
  <c r="O208" i="8"/>
  <c r="O207" i="8"/>
  <c r="O206" i="8"/>
  <c r="T202" i="8"/>
  <c r="R202" i="8"/>
  <c r="R200" i="8"/>
  <c r="R199" i="8"/>
  <c r="R198" i="8"/>
  <c r="Q202" i="8"/>
  <c r="O201" i="8"/>
  <c r="O200" i="8"/>
  <c r="N246" i="8" s="1"/>
  <c r="O199" i="8"/>
  <c r="O198" i="8"/>
  <c r="T194" i="8"/>
  <c r="R194" i="8"/>
  <c r="R192" i="8"/>
  <c r="R191" i="8"/>
  <c r="R190" i="8"/>
  <c r="O193" i="8"/>
  <c r="Q194" i="8"/>
  <c r="O194" i="8"/>
  <c r="O192" i="8"/>
  <c r="O191" i="8"/>
  <c r="O190" i="8"/>
  <c r="J506" i="8" l="1"/>
  <c r="J515" i="8"/>
  <c r="K512" i="8"/>
  <c r="K516" i="8"/>
  <c r="J512" i="8"/>
  <c r="K507" i="8"/>
  <c r="K509" i="8"/>
  <c r="J509" i="8"/>
  <c r="K515" i="8"/>
  <c r="J516" i="8"/>
  <c r="J510" i="8"/>
  <c r="K510" i="8"/>
  <c r="J507" i="8"/>
  <c r="J513" i="8"/>
  <c r="K513" i="8"/>
  <c r="K506" i="8"/>
  <c r="I57" i="5"/>
  <c r="E56" i="5"/>
  <c r="H57" i="5"/>
  <c r="H56" i="5"/>
  <c r="F56" i="5"/>
  <c r="E57" i="5"/>
  <c r="F57" i="5"/>
  <c r="I56" i="5"/>
  <c r="N247" i="8"/>
  <c r="N251" i="8"/>
  <c r="O250" i="8"/>
  <c r="N244" i="8"/>
  <c r="O245" i="8"/>
  <c r="N254" i="8"/>
  <c r="N253" i="8"/>
  <c r="N248" i="8"/>
  <c r="O253" i="8"/>
  <c r="O243" i="8"/>
  <c r="N245" i="8"/>
  <c r="O244" i="8"/>
  <c r="O247" i="8"/>
  <c r="N250" i="8"/>
  <c r="O251" i="8"/>
  <c r="O254" i="8"/>
  <c r="O248" i="8"/>
  <c r="N249" i="8"/>
  <c r="N243" i="8"/>
  <c r="O246" i="8"/>
  <c r="L226" i="8" l="1"/>
  <c r="L225" i="8"/>
  <c r="L224" i="8"/>
  <c r="L223" i="8"/>
  <c r="L222" i="8"/>
  <c r="K226" i="8"/>
  <c r="I226" i="8"/>
  <c r="I225" i="8"/>
  <c r="I224" i="8"/>
  <c r="I223" i="8"/>
  <c r="I222" i="8"/>
  <c r="N218" i="8"/>
  <c r="L218" i="8"/>
  <c r="L217" i="8"/>
  <c r="L216" i="8"/>
  <c r="L215" i="8"/>
  <c r="L214" i="8"/>
  <c r="K218" i="8"/>
  <c r="I218" i="8"/>
  <c r="I217" i="8"/>
  <c r="I216" i="8"/>
  <c r="I215" i="8"/>
  <c r="I214" i="8"/>
  <c r="N210" i="8"/>
  <c r="L210" i="8"/>
  <c r="L209" i="8"/>
  <c r="L208" i="8"/>
  <c r="L207" i="8"/>
  <c r="L206" i="8"/>
  <c r="K210" i="8"/>
  <c r="I210" i="8"/>
  <c r="I209" i="8"/>
  <c r="I208" i="8"/>
  <c r="I207" i="8"/>
  <c r="I206" i="8"/>
  <c r="N202" i="8"/>
  <c r="L202" i="8"/>
  <c r="L201" i="8"/>
  <c r="L200" i="8"/>
  <c r="L199" i="8"/>
  <c r="L198" i="8"/>
  <c r="K202" i="8"/>
  <c r="I202" i="8"/>
  <c r="I201" i="8"/>
  <c r="I200" i="8"/>
  <c r="I199" i="8"/>
  <c r="I198" i="8"/>
  <c r="N194" i="8"/>
  <c r="L194" i="8"/>
  <c r="L193" i="8"/>
  <c r="L192" i="8"/>
  <c r="L191" i="8"/>
  <c r="L190" i="8"/>
  <c r="K194" i="8"/>
  <c r="I194" i="8"/>
  <c r="I193" i="8"/>
  <c r="I192" i="8"/>
  <c r="L243" i="8" s="1"/>
  <c r="I191" i="8"/>
  <c r="I190" i="8"/>
  <c r="L172" i="8"/>
  <c r="L169" i="8"/>
  <c r="L170" i="8"/>
  <c r="L171" i="8"/>
  <c r="L168" i="8"/>
  <c r="K172" i="8"/>
  <c r="I172" i="8"/>
  <c r="I171" i="8"/>
  <c r="I169" i="8"/>
  <c r="I170" i="8"/>
  <c r="I168" i="8"/>
  <c r="T164" i="8"/>
  <c r="R164" i="8"/>
  <c r="R162" i="8"/>
  <c r="R161" i="8"/>
  <c r="R160" i="8"/>
  <c r="Q164" i="8"/>
  <c r="O164" i="8"/>
  <c r="O163" i="8"/>
  <c r="O162" i="8"/>
  <c r="O161" i="8"/>
  <c r="O160" i="8"/>
  <c r="N164" i="8"/>
  <c r="L164" i="8"/>
  <c r="L163" i="8"/>
  <c r="L162" i="8"/>
  <c r="L161" i="8"/>
  <c r="L160" i="8"/>
  <c r="K164" i="8"/>
  <c r="I164" i="8"/>
  <c r="I163" i="8"/>
  <c r="I162" i="8"/>
  <c r="I161" i="8"/>
  <c r="I160" i="8"/>
  <c r="T156" i="8"/>
  <c r="R156" i="8"/>
  <c r="R154" i="8"/>
  <c r="R153" i="8"/>
  <c r="R152" i="8"/>
  <c r="Q156" i="8"/>
  <c r="O156" i="8"/>
  <c r="O155" i="8"/>
  <c r="O154" i="8"/>
  <c r="O153" i="8"/>
  <c r="O152" i="8"/>
  <c r="N156" i="8"/>
  <c r="L156" i="8"/>
  <c r="L155" i="8"/>
  <c r="L154" i="8"/>
  <c r="L153" i="8"/>
  <c r="L152" i="8"/>
  <c r="K156" i="8"/>
  <c r="D251" i="8" s="1"/>
  <c r="I156" i="8"/>
  <c r="I155" i="8"/>
  <c r="I154" i="8"/>
  <c r="I153" i="8"/>
  <c r="I152" i="8"/>
  <c r="N148" i="8"/>
  <c r="L148" i="8"/>
  <c r="K148" i="8"/>
  <c r="I148" i="8"/>
  <c r="L145" i="8"/>
  <c r="L146" i="8"/>
  <c r="L147" i="8"/>
  <c r="I145" i="8"/>
  <c r="I146" i="8"/>
  <c r="I147" i="8"/>
  <c r="T148" i="8"/>
  <c r="R148" i="8"/>
  <c r="R146" i="8"/>
  <c r="R144" i="8"/>
  <c r="Q148" i="8"/>
  <c r="O148" i="8"/>
  <c r="O147" i="8"/>
  <c r="O146" i="8"/>
  <c r="O145" i="8"/>
  <c r="O144" i="8"/>
  <c r="L144" i="8"/>
  <c r="I144" i="8"/>
  <c r="Q140" i="8"/>
  <c r="O140" i="8"/>
  <c r="N140" i="8"/>
  <c r="L140" i="8"/>
  <c r="K140" i="8"/>
  <c r="I140" i="8"/>
  <c r="T140" i="8"/>
  <c r="R140" i="8"/>
  <c r="R138" i="8"/>
  <c r="R137" i="8"/>
  <c r="R136" i="8"/>
  <c r="O139" i="8"/>
  <c r="O138" i="8"/>
  <c r="O137" i="8"/>
  <c r="O136" i="8"/>
  <c r="L137" i="8"/>
  <c r="L138" i="8"/>
  <c r="L139" i="8"/>
  <c r="L136" i="8"/>
  <c r="I137" i="8"/>
  <c r="I138" i="8"/>
  <c r="I139" i="8"/>
  <c r="I136" i="8"/>
  <c r="E248" i="8" l="1"/>
  <c r="D248" i="8"/>
  <c r="D253" i="8"/>
  <c r="D254" i="8"/>
  <c r="E245" i="8"/>
  <c r="E251" i="8"/>
  <c r="E252" i="8"/>
  <c r="E253" i="8"/>
  <c r="E249" i="8"/>
  <c r="E250" i="8"/>
  <c r="E243" i="8"/>
  <c r="E244" i="8"/>
  <c r="E246" i="8"/>
  <c r="E247" i="8"/>
  <c r="E254" i="8"/>
  <c r="E256" i="8"/>
  <c r="E257" i="8"/>
  <c r="D245" i="8"/>
  <c r="D249" i="8"/>
  <c r="D250" i="8"/>
  <c r="D244" i="8"/>
  <c r="D247" i="8"/>
  <c r="D256" i="8"/>
  <c r="D257" i="8"/>
  <c r="E255" i="8"/>
  <c r="L256" i="8"/>
  <c r="D255" i="8"/>
  <c r="L257" i="8"/>
  <c r="L255" i="8"/>
  <c r="M257" i="8"/>
  <c r="M255" i="8"/>
  <c r="M256" i="8"/>
  <c r="L247" i="8"/>
  <c r="L250" i="8"/>
  <c r="L253" i="8"/>
  <c r="M244" i="8"/>
  <c r="M247" i="8"/>
  <c r="M250" i="8"/>
  <c r="M253" i="8"/>
  <c r="L252" i="8"/>
  <c r="L254" i="8"/>
  <c r="M252" i="8"/>
  <c r="M254" i="8"/>
  <c r="G246" i="8"/>
  <c r="D246" i="8"/>
  <c r="G252" i="8"/>
  <c r="L244" i="8"/>
  <c r="G249" i="8"/>
  <c r="L245" i="8"/>
  <c r="L248" i="8"/>
  <c r="L246" i="8"/>
  <c r="L251" i="8"/>
  <c r="L249" i="8"/>
  <c r="D243" i="8"/>
  <c r="F243" i="8"/>
  <c r="G243" i="8"/>
  <c r="D252" i="8"/>
  <c r="F252" i="8"/>
  <c r="F246" i="8"/>
  <c r="F249" i="8"/>
  <c r="M243" i="8"/>
  <c r="M245" i="8"/>
  <c r="M246" i="8"/>
  <c r="M248" i="8"/>
  <c r="M251" i="8"/>
  <c r="M249" i="8"/>
  <c r="L44" i="8"/>
  <c r="L45" i="8"/>
  <c r="L46" i="8"/>
  <c r="L48" i="8"/>
  <c r="L49" i="8"/>
  <c r="H67" i="8" s="1"/>
  <c r="Q64" i="8" s="1"/>
  <c r="N44" i="8"/>
  <c r="N45" i="8"/>
  <c r="N46" i="8"/>
  <c r="N48" i="8"/>
  <c r="N49" i="8"/>
  <c r="H68" i="8" s="1"/>
  <c r="N43" i="8"/>
  <c r="L43" i="8"/>
  <c r="Q102" i="6"/>
  <c r="Q101" i="6"/>
  <c r="Q100" i="6"/>
  <c r="Q99" i="6"/>
  <c r="Q98" i="6"/>
  <c r="P102" i="6"/>
  <c r="P101" i="6"/>
  <c r="P100" i="6"/>
  <c r="P99" i="6"/>
  <c r="P98" i="6"/>
  <c r="O102" i="6"/>
  <c r="O101" i="6"/>
  <c r="O100" i="6"/>
  <c r="O98" i="6"/>
  <c r="O99" i="6"/>
  <c r="N102" i="6"/>
  <c r="N101" i="6"/>
  <c r="N100" i="6"/>
  <c r="N99" i="6"/>
  <c r="N98" i="6"/>
  <c r="M102" i="6"/>
  <c r="M101" i="6"/>
  <c r="M100" i="6"/>
  <c r="M99" i="6"/>
  <c r="M98" i="6"/>
  <c r="L102" i="6"/>
  <c r="L101" i="6"/>
  <c r="L100" i="6"/>
  <c r="L99" i="6"/>
  <c r="L98" i="6"/>
  <c r="K99" i="6"/>
  <c r="K100" i="6"/>
  <c r="K101" i="6"/>
  <c r="K102" i="6"/>
  <c r="K98" i="6"/>
  <c r="I99" i="6"/>
  <c r="I100" i="6"/>
  <c r="I101" i="6"/>
  <c r="I102" i="6"/>
  <c r="I98" i="6"/>
  <c r="J99" i="6"/>
  <c r="J100" i="6"/>
  <c r="J101" i="6"/>
  <c r="J102" i="6"/>
  <c r="J98" i="6"/>
  <c r="H99" i="6"/>
  <c r="H100" i="6"/>
  <c r="H101" i="6"/>
  <c r="H102" i="6"/>
  <c r="H98" i="6"/>
  <c r="J95" i="6"/>
  <c r="H95" i="6"/>
  <c r="Q65" i="8" l="1"/>
  <c r="S65" i="8"/>
  <c r="S64" i="8"/>
  <c r="M113" i="6"/>
  <c r="M114" i="6"/>
  <c r="Q113" i="6"/>
  <c r="Q114" i="6"/>
  <c r="O111" i="6"/>
  <c r="O112" i="6"/>
  <c r="M109" i="6"/>
  <c r="M110" i="6"/>
  <c r="O106" i="6"/>
  <c r="O105" i="6"/>
  <c r="O114" i="6"/>
  <c r="O113" i="6"/>
  <c r="Q109" i="6"/>
  <c r="Q110" i="6"/>
  <c r="M105" i="6"/>
  <c r="M106" i="6"/>
  <c r="O110" i="6"/>
  <c r="O109" i="6"/>
  <c r="Q105" i="6"/>
  <c r="Q106" i="6"/>
  <c r="M107" i="6"/>
  <c r="M108" i="6"/>
  <c r="Q107" i="6"/>
  <c r="Q108" i="6"/>
  <c r="M111" i="6"/>
  <c r="M112" i="6"/>
  <c r="O107" i="6"/>
  <c r="O108" i="6"/>
  <c r="Q111" i="6"/>
  <c r="Q112" i="6"/>
  <c r="K109" i="6"/>
  <c r="K110" i="6"/>
  <c r="K105" i="6"/>
  <c r="K106" i="6"/>
  <c r="K107" i="6"/>
  <c r="K108" i="6"/>
  <c r="K113" i="6"/>
  <c r="K114" i="6"/>
  <c r="K111" i="6"/>
  <c r="K112" i="6"/>
  <c r="I105" i="6"/>
  <c r="I106" i="6"/>
  <c r="I108" i="6"/>
  <c r="I107" i="6"/>
  <c r="I113" i="6"/>
  <c r="I114" i="6"/>
  <c r="I111" i="6"/>
  <c r="I112" i="6"/>
  <c r="I109" i="6"/>
  <c r="I110" i="6"/>
  <c r="J71" i="6" l="1"/>
  <c r="N71" i="6" s="1"/>
  <c r="J72" i="6"/>
  <c r="N72" i="6" s="1"/>
  <c r="J73" i="6"/>
  <c r="N73" i="6" s="1"/>
  <c r="J74" i="6"/>
  <c r="N74" i="6" s="1"/>
  <c r="J70" i="6"/>
  <c r="N70" i="6" s="1"/>
  <c r="H71" i="6"/>
  <c r="M71" i="6" s="1"/>
  <c r="H72" i="6"/>
  <c r="M72" i="6" s="1"/>
  <c r="H73" i="6"/>
  <c r="M73" i="6" s="1"/>
  <c r="H74" i="6"/>
  <c r="M74" i="6" s="1"/>
  <c r="H70" i="6"/>
  <c r="M70" i="6" s="1"/>
  <c r="J67" i="6"/>
  <c r="N69" i="6" s="1"/>
  <c r="H67" i="6"/>
  <c r="M69" i="6" s="1"/>
  <c r="K18" i="6" l="1"/>
  <c r="I18" i="6"/>
  <c r="J49" i="6" l="1"/>
  <c r="H49" i="6"/>
  <c r="J48" i="6"/>
  <c r="H48" i="6"/>
  <c r="J47" i="6"/>
  <c r="H47" i="6"/>
  <c r="X1" i="19" l="1"/>
  <c r="T20" i="17" l="1"/>
  <c r="T21" i="17"/>
  <c r="T22" i="17"/>
  <c r="T23" i="17"/>
  <c r="T24" i="17"/>
  <c r="T25" i="17"/>
  <c r="T26" i="17"/>
  <c r="T27" i="17"/>
  <c r="T28" i="17"/>
  <c r="T19" i="17"/>
  <c r="P20" i="17"/>
  <c r="P21" i="17"/>
  <c r="P22" i="17"/>
  <c r="P23" i="17"/>
  <c r="P24" i="17"/>
  <c r="P25" i="17"/>
  <c r="P26" i="17"/>
  <c r="P27" i="17"/>
  <c r="P28" i="17"/>
  <c r="R20" i="17"/>
  <c r="R21" i="17"/>
  <c r="R22" i="17"/>
  <c r="R23" i="17"/>
  <c r="R24" i="17"/>
  <c r="R25" i="17"/>
  <c r="R26" i="17"/>
  <c r="R27" i="17"/>
  <c r="R28" i="17"/>
  <c r="R19" i="17"/>
  <c r="P19" i="17"/>
  <c r="N20" i="17"/>
  <c r="N21" i="17"/>
  <c r="N22" i="17"/>
  <c r="N23" i="17"/>
  <c r="N24" i="17"/>
  <c r="N25" i="17"/>
  <c r="N26" i="17"/>
  <c r="N27" i="17"/>
  <c r="N28" i="17"/>
  <c r="N19" i="17"/>
  <c r="S20" i="17"/>
  <c r="S21" i="17"/>
  <c r="S22" i="17"/>
  <c r="S23" i="17"/>
  <c r="S24" i="17"/>
  <c r="S25" i="17"/>
  <c r="S26" i="17"/>
  <c r="S27" i="17"/>
  <c r="S28" i="17"/>
  <c r="S19" i="17"/>
  <c r="Q20" i="17"/>
  <c r="Q21" i="17"/>
  <c r="Q22" i="17"/>
  <c r="Q23" i="17"/>
  <c r="Q24" i="17"/>
  <c r="Q25" i="17"/>
  <c r="Q26" i="17"/>
  <c r="Q27" i="17"/>
  <c r="Q28" i="17"/>
  <c r="Q19" i="17"/>
  <c r="O20" i="17"/>
  <c r="O21" i="17"/>
  <c r="O22" i="17"/>
  <c r="O23" i="17"/>
  <c r="O24" i="17"/>
  <c r="O25" i="17"/>
  <c r="O26" i="17"/>
  <c r="O27" i="17"/>
  <c r="O28" i="17"/>
  <c r="O19" i="17"/>
  <c r="M20" i="17"/>
  <c r="M21" i="17"/>
  <c r="M22" i="17"/>
  <c r="M23" i="17"/>
  <c r="M24" i="17"/>
  <c r="M25" i="17"/>
  <c r="M26" i="17"/>
  <c r="M27" i="17"/>
  <c r="M28" i="17"/>
  <c r="M19" i="17"/>
  <c r="L173" i="7" l="1"/>
  <c r="J173" i="7"/>
  <c r="L172" i="7"/>
  <c r="J172" i="7"/>
  <c r="L169" i="7" l="1"/>
  <c r="J169" i="7"/>
  <c r="P643" i="8"/>
  <c r="L643" i="8"/>
  <c r="P618" i="8"/>
  <c r="L618" i="8"/>
  <c r="P601" i="8"/>
  <c r="H504" i="8" s="1"/>
  <c r="L601" i="8"/>
  <c r="G504" i="8" s="1"/>
  <c r="L219" i="8"/>
  <c r="I219" i="8"/>
  <c r="D242" i="8" s="1"/>
  <c r="L242" i="8" s="1"/>
  <c r="L211" i="8"/>
  <c r="I211" i="8"/>
  <c r="L203" i="8"/>
  <c r="I203" i="8"/>
  <c r="L195" i="8"/>
  <c r="I195" i="8"/>
  <c r="L187" i="8"/>
  <c r="I187" i="8"/>
  <c r="L165" i="8"/>
  <c r="I165" i="8"/>
  <c r="L157" i="8"/>
  <c r="I157" i="8"/>
  <c r="L149" i="8"/>
  <c r="I149" i="8"/>
  <c r="L141" i="8"/>
  <c r="I141" i="8"/>
  <c r="L133" i="8"/>
  <c r="E242" i="8" s="1"/>
  <c r="I133" i="8"/>
  <c r="K28" i="15" l="1"/>
  <c r="K29" i="15"/>
  <c r="K30" i="15"/>
  <c r="K27" i="15"/>
  <c r="K20" i="15"/>
  <c r="K21" i="15"/>
  <c r="K22" i="15"/>
  <c r="K19" i="15"/>
  <c r="K12" i="15"/>
  <c r="K13" i="15"/>
  <c r="K14" i="15"/>
  <c r="K11" i="15"/>
  <c r="K4" i="15"/>
  <c r="K5" i="15"/>
  <c r="K6" i="15"/>
  <c r="K3" i="15"/>
  <c r="D28" i="15"/>
  <c r="D29" i="15"/>
  <c r="D30" i="15"/>
  <c r="D31" i="15"/>
  <c r="D27" i="15"/>
  <c r="D20" i="15"/>
  <c r="D21" i="15"/>
  <c r="D22" i="15"/>
  <c r="D23" i="15"/>
  <c r="D19" i="15"/>
  <c r="D12" i="15"/>
  <c r="D13" i="15"/>
  <c r="D14" i="15"/>
  <c r="D15" i="15"/>
  <c r="D11" i="15"/>
  <c r="D7" i="15"/>
  <c r="D6" i="15"/>
  <c r="D4" i="15"/>
  <c r="N40" i="8" l="1"/>
  <c r="E68" i="8" s="1"/>
  <c r="L40" i="8"/>
  <c r="E67" i="8" s="1"/>
  <c r="K154" i="7"/>
  <c r="K155" i="7"/>
  <c r="K156" i="7"/>
  <c r="K157" i="7"/>
  <c r="I155" i="7"/>
  <c r="I156" i="7"/>
  <c r="I157" i="7"/>
  <c r="I154" i="7"/>
  <c r="K151" i="7"/>
  <c r="P152" i="7" s="1"/>
  <c r="I151" i="7"/>
  <c r="O152" i="7" s="1"/>
  <c r="O155" i="7" l="1"/>
  <c r="P155" i="7"/>
  <c r="O153" i="7"/>
  <c r="O154" i="7" s="1"/>
  <c r="P153" i="7"/>
  <c r="P154" i="7" s="1"/>
  <c r="K80" i="7" l="1"/>
  <c r="M80" i="7"/>
  <c r="M77" i="7"/>
  <c r="K77" i="7"/>
  <c r="I41" i="7"/>
  <c r="G53" i="7" s="1"/>
  <c r="M49" i="7"/>
  <c r="M48" i="7"/>
  <c r="M47" i="7"/>
  <c r="M46" i="7"/>
  <c r="M45" i="7"/>
  <c r="M44" i="7"/>
  <c r="I45" i="7"/>
  <c r="I46" i="7"/>
  <c r="I47" i="7"/>
  <c r="I48" i="7"/>
  <c r="I49" i="7"/>
  <c r="K44" i="7"/>
  <c r="I44" i="7"/>
  <c r="K41" i="7"/>
  <c r="I53" i="7" s="1"/>
  <c r="K26" i="7"/>
  <c r="K27" i="7"/>
  <c r="K28" i="7"/>
  <c r="K29" i="7"/>
  <c r="K30" i="7"/>
  <c r="K25" i="7"/>
  <c r="I26" i="7"/>
  <c r="I27" i="7"/>
  <c r="I28" i="7"/>
  <c r="I29" i="7"/>
  <c r="I30" i="7"/>
  <c r="I25" i="7"/>
  <c r="G59" i="7" l="1"/>
  <c r="H59" i="7" s="1"/>
  <c r="G55" i="7"/>
  <c r="H55" i="7" s="1"/>
  <c r="G56" i="7"/>
  <c r="H56" i="7" s="1"/>
  <c r="I57" i="7"/>
  <c r="J57" i="7" s="1"/>
  <c r="G58" i="7"/>
  <c r="H58" i="7" s="1"/>
  <c r="I59" i="7"/>
  <c r="J59" i="7" s="1"/>
  <c r="G57" i="7"/>
  <c r="H57" i="7" s="1"/>
  <c r="I58" i="7"/>
  <c r="J58" i="7" s="1"/>
  <c r="I55" i="7"/>
  <c r="J55" i="7" s="1"/>
  <c r="I56" i="7"/>
  <c r="J56" i="7" s="1"/>
  <c r="M30" i="7" l="1"/>
  <c r="M29" i="7"/>
  <c r="M28" i="7"/>
  <c r="M27" i="7"/>
  <c r="M26" i="7"/>
  <c r="M25" i="7"/>
  <c r="K22" i="7"/>
  <c r="I22" i="7"/>
  <c r="H59" i="9"/>
  <c r="H61" i="9"/>
  <c r="G59" i="9"/>
  <c r="G61" i="9"/>
  <c r="H58" i="9"/>
  <c r="G58" i="9"/>
  <c r="H55" i="9"/>
  <c r="G55" i="9"/>
  <c r="M38" i="9"/>
  <c r="L38" i="9"/>
  <c r="I44" i="9"/>
  <c r="H44" i="9"/>
  <c r="I42" i="9"/>
  <c r="K38" i="9" s="1"/>
  <c r="I43" i="9"/>
  <c r="K39" i="9" s="1"/>
  <c r="H42" i="9"/>
  <c r="J38" i="9" s="1"/>
  <c r="H43" i="9"/>
  <c r="J39" i="9" s="1"/>
  <c r="I41" i="9"/>
  <c r="H41" i="9"/>
  <c r="H60" i="9" l="1"/>
  <c r="G60" i="9"/>
  <c r="M39" i="9" l="1"/>
  <c r="L39" i="9"/>
  <c r="F112" i="7" l="1"/>
  <c r="H127" i="7"/>
  <c r="G127" i="7"/>
  <c r="N116" i="7"/>
  <c r="O116" i="7"/>
  <c r="P116" i="7"/>
  <c r="Q116" i="7"/>
  <c r="N117" i="7"/>
  <c r="O117" i="7"/>
  <c r="P117" i="7"/>
  <c r="Q117" i="7"/>
  <c r="N118" i="7"/>
  <c r="O118" i="7"/>
  <c r="P118" i="7"/>
  <c r="Q118" i="7"/>
  <c r="N119" i="7"/>
  <c r="O119" i="7"/>
  <c r="P119" i="7"/>
  <c r="Q119" i="7"/>
  <c r="N120" i="7"/>
  <c r="O120" i="7"/>
  <c r="P120" i="7"/>
  <c r="Q120" i="7"/>
  <c r="N121" i="7"/>
  <c r="O121" i="7"/>
  <c r="P121" i="7"/>
  <c r="Q121" i="7"/>
  <c r="N122" i="7"/>
  <c r="O122" i="7"/>
  <c r="P122" i="7"/>
  <c r="Q122" i="7"/>
  <c r="N123" i="7"/>
  <c r="O123" i="7"/>
  <c r="P123" i="7"/>
  <c r="Q123" i="7"/>
  <c r="N124" i="7"/>
  <c r="O124" i="7"/>
  <c r="P124" i="7"/>
  <c r="Q124" i="7"/>
  <c r="N125" i="7"/>
  <c r="O125" i="7"/>
  <c r="P125" i="7"/>
  <c r="Q125" i="7"/>
  <c r="M125" i="7"/>
  <c r="M124" i="7"/>
  <c r="M123" i="7"/>
  <c r="M122" i="7"/>
  <c r="M121" i="7"/>
  <c r="M120" i="7"/>
  <c r="M119" i="7"/>
  <c r="M118" i="7"/>
  <c r="M117" i="7"/>
  <c r="M116" i="7"/>
  <c r="L125" i="7"/>
  <c r="L123" i="7"/>
  <c r="L122" i="7"/>
  <c r="L121" i="7"/>
  <c r="L120" i="7"/>
  <c r="L119" i="7"/>
  <c r="L118" i="7"/>
  <c r="L117" i="7"/>
  <c r="L116" i="7"/>
  <c r="K125" i="7"/>
  <c r="K124" i="7"/>
  <c r="K123" i="7"/>
  <c r="K122" i="7"/>
  <c r="K121" i="7"/>
  <c r="K120" i="7"/>
  <c r="K119" i="7"/>
  <c r="K118" i="7"/>
  <c r="K117" i="7"/>
  <c r="K116" i="7"/>
  <c r="J125" i="7"/>
  <c r="J124" i="7"/>
  <c r="J123" i="7"/>
  <c r="J122" i="7"/>
  <c r="J121" i="7"/>
  <c r="J120" i="7"/>
  <c r="J119" i="7"/>
  <c r="J118" i="7"/>
  <c r="J117" i="7"/>
  <c r="J116" i="7"/>
  <c r="P135" i="7" l="1"/>
  <c r="L133" i="7"/>
  <c r="M133" i="7"/>
  <c r="Q136" i="7"/>
  <c r="Q135" i="7"/>
  <c r="Q134" i="7"/>
  <c r="Q133" i="7"/>
  <c r="Q132" i="7"/>
  <c r="L134" i="7"/>
  <c r="M134" i="7"/>
  <c r="L135" i="7"/>
  <c r="M135" i="7"/>
  <c r="P136" i="7"/>
  <c r="P134" i="7"/>
  <c r="P133" i="7"/>
  <c r="P132" i="7"/>
  <c r="L132" i="7"/>
  <c r="L136" i="7"/>
  <c r="M132" i="7"/>
  <c r="M136" i="7"/>
  <c r="I38" i="9"/>
  <c r="K37" i="9" s="1"/>
  <c r="H38" i="9"/>
  <c r="J37" i="9" s="1"/>
  <c r="I23" i="9" l="1"/>
  <c r="H23" i="9"/>
  <c r="I20" i="9" l="1"/>
  <c r="I21" i="9"/>
  <c r="I22" i="9"/>
  <c r="I19" i="9"/>
  <c r="H20" i="9"/>
  <c r="H21" i="9"/>
  <c r="H22" i="9"/>
  <c r="H19" i="9"/>
  <c r="I16" i="9"/>
  <c r="L19" i="9" s="1"/>
  <c r="H16" i="9"/>
  <c r="K19" i="9" s="1"/>
  <c r="K99" i="10"/>
  <c r="J99" i="10"/>
  <c r="K97" i="10"/>
  <c r="K96" i="10"/>
  <c r="K95" i="10"/>
  <c r="J97" i="10"/>
  <c r="J96" i="10"/>
  <c r="J95" i="10"/>
  <c r="I99" i="10"/>
  <c r="I97" i="10"/>
  <c r="I96" i="10"/>
  <c r="I95" i="10"/>
  <c r="H99" i="10"/>
  <c r="H96" i="10"/>
  <c r="H97" i="10"/>
  <c r="H95" i="10"/>
  <c r="G99" i="10"/>
  <c r="G96" i="10"/>
  <c r="G97" i="10"/>
  <c r="G95" i="10"/>
  <c r="H93" i="10"/>
  <c r="G93" i="10"/>
  <c r="K82" i="10"/>
  <c r="K81" i="10"/>
  <c r="K80" i="10"/>
  <c r="J82" i="10"/>
  <c r="J81" i="10"/>
  <c r="J80" i="10"/>
  <c r="I81" i="10"/>
  <c r="I82" i="10"/>
  <c r="I83" i="10"/>
  <c r="I84" i="10"/>
  <c r="H81" i="10"/>
  <c r="H82" i="10"/>
  <c r="H83" i="10"/>
  <c r="H84" i="10"/>
  <c r="I80" i="10"/>
  <c r="H80" i="10"/>
  <c r="H68" i="10"/>
  <c r="H67" i="10"/>
  <c r="H66" i="10"/>
  <c r="H65" i="10"/>
  <c r="H64" i="10"/>
  <c r="H63" i="10"/>
  <c r="H62" i="10"/>
  <c r="J84" i="10"/>
  <c r="J83" i="10"/>
  <c r="K84" i="10"/>
  <c r="K83" i="10"/>
  <c r="K17" i="9" l="1"/>
  <c r="K22" i="9" s="1"/>
  <c r="L17" i="9"/>
  <c r="L21" i="9" s="1"/>
  <c r="I78" i="10"/>
  <c r="H78" i="10"/>
  <c r="G63" i="10"/>
  <c r="G64" i="10"/>
  <c r="G65" i="10"/>
  <c r="G66" i="10"/>
  <c r="G67" i="10"/>
  <c r="G68" i="10"/>
  <c r="G62" i="10"/>
  <c r="F63" i="10"/>
  <c r="F64" i="10"/>
  <c r="F65" i="10"/>
  <c r="F66" i="10"/>
  <c r="F67" i="10"/>
  <c r="F68" i="10"/>
  <c r="F62" i="10"/>
  <c r="G59" i="10"/>
  <c r="F59" i="10"/>
  <c r="G51" i="10"/>
  <c r="F51" i="10"/>
  <c r="G43" i="10"/>
  <c r="G44" i="10"/>
  <c r="G45" i="10"/>
  <c r="G46" i="10"/>
  <c r="G47" i="10"/>
  <c r="G48" i="10"/>
  <c r="G49" i="10"/>
  <c r="G50" i="10"/>
  <c r="G42" i="10"/>
  <c r="F43" i="10"/>
  <c r="F44" i="10"/>
  <c r="F45" i="10"/>
  <c r="F46" i="10"/>
  <c r="F47" i="10"/>
  <c r="F48" i="10"/>
  <c r="F49" i="10"/>
  <c r="F50" i="10"/>
  <c r="F42" i="10"/>
  <c r="G40" i="10"/>
  <c r="F40" i="10"/>
  <c r="G35" i="10"/>
  <c r="F35" i="10"/>
  <c r="G36" i="10"/>
  <c r="F36" i="10"/>
  <c r="G34" i="10"/>
  <c r="F34" i="10"/>
  <c r="D17" i="10"/>
  <c r="L22" i="9" l="1"/>
  <c r="K21" i="9"/>
  <c r="K20" i="9"/>
  <c r="L20" i="9"/>
  <c r="F26" i="10"/>
  <c r="F24" i="10"/>
  <c r="F19" i="10"/>
  <c r="F114" i="7" s="1"/>
  <c r="D19" i="10"/>
  <c r="F25" i="10"/>
  <c r="G19" i="10"/>
  <c r="E19" i="10"/>
  <c r="H17" i="10"/>
  <c r="I125" i="7" l="1"/>
  <c r="I121" i="7"/>
  <c r="I117" i="7"/>
  <c r="H123" i="7"/>
  <c r="H119" i="7"/>
  <c r="G125" i="7"/>
  <c r="G121" i="7"/>
  <c r="G117" i="7"/>
  <c r="F123" i="7"/>
  <c r="F119" i="7"/>
  <c r="I119" i="7"/>
  <c r="H121" i="7"/>
  <c r="G119" i="7"/>
  <c r="F121" i="7"/>
  <c r="I122" i="7"/>
  <c r="I118" i="7"/>
  <c r="H124" i="7"/>
  <c r="H120" i="7"/>
  <c r="H116" i="7"/>
  <c r="G122" i="7"/>
  <c r="G118" i="7"/>
  <c r="F124" i="7"/>
  <c r="F120" i="7"/>
  <c r="I124" i="7"/>
  <c r="I120" i="7"/>
  <c r="I116" i="7"/>
  <c r="H122" i="7"/>
  <c r="H118" i="7"/>
  <c r="G124" i="7"/>
  <c r="G120" i="7"/>
  <c r="G116" i="7"/>
  <c r="F122" i="7"/>
  <c r="I123" i="7"/>
  <c r="H125" i="7"/>
  <c r="H117" i="7"/>
  <c r="G123" i="7"/>
  <c r="F125" i="7"/>
  <c r="F118" i="7"/>
  <c r="F116" i="7"/>
  <c r="F117" i="7"/>
  <c r="J26" i="10"/>
  <c r="J25" i="10"/>
  <c r="K19" i="10"/>
  <c r="I19" i="10"/>
  <c r="J24" i="10"/>
  <c r="J19" i="10"/>
  <c r="H19" i="10"/>
  <c r="H134" i="7"/>
  <c r="F127" i="7"/>
  <c r="R1" i="10"/>
  <c r="R1" i="9"/>
  <c r="R1" i="8"/>
  <c r="X1" i="7"/>
  <c r="R1" i="6"/>
  <c r="R1" i="5"/>
  <c r="I134" i="7" l="1"/>
  <c r="H132" i="7"/>
  <c r="H133" i="7"/>
  <c r="H135" i="7"/>
  <c r="I135" i="7"/>
  <c r="I132" i="7"/>
  <c r="I133" i="7"/>
  <c r="H136" i="7"/>
  <c r="I136" i="7"/>
  <c r="K26" i="2"/>
</calcChain>
</file>

<file path=xl/comments1.xml><?xml version="1.0" encoding="utf-8"?>
<comments xmlns="http://schemas.openxmlformats.org/spreadsheetml/2006/main">
  <authors>
    <author>Verity Pinkney</author>
  </authors>
  <commentList>
    <comment ref="FB4" authorId="0">
      <text>
        <r>
          <rPr>
            <b/>
            <sz val="9"/>
            <color indexed="81"/>
            <rFont val="Tahoma"/>
            <family val="2"/>
          </rPr>
          <t>Verity Pinkney:</t>
        </r>
        <r>
          <rPr>
            <sz val="9"/>
            <color indexed="81"/>
            <rFont val="Tahoma"/>
            <family val="2"/>
          </rPr>
          <t xml:space="preserve">
to be reassessed when the new data becomes available. This data has been calcuated as an average of the individual percentages for each LSOA (rather than of the sum of each CFC (aggregated from LSOA))</t>
        </r>
      </text>
    </comment>
    <comment ref="JY76" authorId="0">
      <text>
        <r>
          <rPr>
            <b/>
            <sz val="9"/>
            <color indexed="81"/>
            <rFont val="Tahoma"/>
            <family val="2"/>
          </rPr>
          <t>Verity Pinkney:</t>
        </r>
        <r>
          <rPr>
            <sz val="9"/>
            <color indexed="81"/>
            <rFont val="Tahoma"/>
            <family val="2"/>
          </rPr>
          <t xml:space="preserve">
includes those children where a CFC could not be assigned</t>
        </r>
      </text>
    </comment>
  </commentList>
</comments>
</file>

<file path=xl/sharedStrings.xml><?xml version="1.0" encoding="utf-8"?>
<sst xmlns="http://schemas.openxmlformats.org/spreadsheetml/2006/main" count="6912" uniqueCount="1039">
  <si>
    <t>Mid Year Population Estimates (ONS)</t>
  </si>
  <si>
    <t>CFC</t>
  </si>
  <si>
    <t>Code</t>
  </si>
  <si>
    <t>Population (2005)</t>
  </si>
  <si>
    <t>Population (2006)</t>
  </si>
  <si>
    <t>Population (2007)</t>
  </si>
  <si>
    <t>Population (2008)</t>
  </si>
  <si>
    <t>Population (2009)</t>
  </si>
  <si>
    <t>Population (2010)</t>
  </si>
  <si>
    <t>Population (2011)</t>
  </si>
  <si>
    <t xml:space="preserve">Population (2012) </t>
  </si>
  <si>
    <t>Population (2013)</t>
  </si>
  <si>
    <t>Population (2014)</t>
  </si>
  <si>
    <t>Under 5 (2005)</t>
  </si>
  <si>
    <t>Under 5 (2006)</t>
  </si>
  <si>
    <t>Under 5 (2007)</t>
  </si>
  <si>
    <t>Under 5 (2008)</t>
  </si>
  <si>
    <t>Under 5 (2009)</t>
  </si>
  <si>
    <t>Under 5 (2010)</t>
  </si>
  <si>
    <t>Under 5 (2011)</t>
  </si>
  <si>
    <t>Under 5 (2012)</t>
  </si>
  <si>
    <t>Under 5 (2013)</t>
  </si>
  <si>
    <t>Under 5 (2014)</t>
  </si>
  <si>
    <t>All Ethnic groups</t>
  </si>
  <si>
    <t>White British</t>
  </si>
  <si>
    <t>Asian</t>
  </si>
  <si>
    <t>Black</t>
  </si>
  <si>
    <t>Other</t>
  </si>
  <si>
    <t>BAME</t>
  </si>
  <si>
    <t>% Asian</t>
  </si>
  <si>
    <t>% Black</t>
  </si>
  <si>
    <t>% Other</t>
  </si>
  <si>
    <t>% BAME</t>
  </si>
  <si>
    <t>Kingston Buci</t>
  </si>
  <si>
    <t>Stepping Stones</t>
  </si>
  <si>
    <t>Boundstone</t>
  </si>
  <si>
    <t>Lancing</t>
  </si>
  <si>
    <t>Angmering</t>
  </si>
  <si>
    <t>East Preston</t>
  </si>
  <si>
    <t>Littlehampton</t>
  </si>
  <si>
    <t>The Villages</t>
  </si>
  <si>
    <t>Treehouse</t>
  </si>
  <si>
    <t>Bognor Regis</t>
  </si>
  <si>
    <t>Felpham</t>
  </si>
  <si>
    <t>Chichester</t>
  </si>
  <si>
    <t>Midhurst</t>
  </si>
  <si>
    <t>Petworth</t>
  </si>
  <si>
    <t>Selsey</t>
  </si>
  <si>
    <t>Bewbush</t>
  </si>
  <si>
    <t>Broadfield</t>
  </si>
  <si>
    <t>Langley Green</t>
  </si>
  <si>
    <t>Northgate</t>
  </si>
  <si>
    <t>Pound Hill &amp; Maidenbower</t>
  </si>
  <si>
    <t>Southgate</t>
  </si>
  <si>
    <t>Billingshurst &amp; Pulborough</t>
  </si>
  <si>
    <t>Little Footsteps</t>
  </si>
  <si>
    <t>Rural Horsham</t>
  </si>
  <si>
    <t>Rural Steyning and Henfield</t>
  </si>
  <si>
    <t>Horsham Nursery</t>
  </si>
  <si>
    <t>Roffey</t>
  </si>
  <si>
    <t>Southwater</t>
  </si>
  <si>
    <t>The Needles</t>
  </si>
  <si>
    <t>East Grinstead (Blackwells)</t>
  </si>
  <si>
    <t>East Grinstead (Library)</t>
  </si>
  <si>
    <t>Mid Sussex Rural North</t>
  </si>
  <si>
    <t>Rural Haywards Heath</t>
  </si>
  <si>
    <t>Sidney West</t>
  </si>
  <si>
    <t>Sussex Downs</t>
  </si>
  <si>
    <t>The Gattons</t>
  </si>
  <si>
    <t>Durrington</t>
  </si>
  <si>
    <t>Findon</t>
  </si>
  <si>
    <t>Footprints</t>
  </si>
  <si>
    <t>The Wave</t>
  </si>
  <si>
    <t>Adur East</t>
  </si>
  <si>
    <t>Adur West</t>
  </si>
  <si>
    <t>Arun East</t>
  </si>
  <si>
    <t>Arun West North</t>
  </si>
  <si>
    <t>Arun West South</t>
  </si>
  <si>
    <t>Chichester Central</t>
  </si>
  <si>
    <t>Crawley</t>
  </si>
  <si>
    <t>Horsham Town</t>
  </si>
  <si>
    <t>Mid Sussex</t>
  </si>
  <si>
    <t>Worthing</t>
  </si>
  <si>
    <t>Arun</t>
  </si>
  <si>
    <t>Horsham</t>
  </si>
  <si>
    <t>WEST SUSSEX (CFCs)</t>
  </si>
  <si>
    <t>WEST SUSSEX (CFC Groups)</t>
  </si>
  <si>
    <t>WEST SUSSEX (LAs)</t>
  </si>
  <si>
    <t>WEST SUSSEX (CCGs)</t>
  </si>
  <si>
    <t>Ethnicity under 5's (2011 Census, NOMIS)</t>
  </si>
  <si>
    <t>White Irish + White Other</t>
  </si>
  <si>
    <t>Mixed/ Multiple</t>
  </si>
  <si>
    <t>Tenure (0-9's) (2011 Census)</t>
  </si>
  <si>
    <t>% Owned</t>
  </si>
  <si>
    <t>% Socially rented</t>
  </si>
  <si>
    <t>% Privately rented or living rent free</t>
  </si>
  <si>
    <t>Locations</t>
  </si>
  <si>
    <t>Range</t>
  </si>
  <si>
    <t>Name</t>
  </si>
  <si>
    <t>A4</t>
  </si>
  <si>
    <t>A3</t>
  </si>
  <si>
    <t>Selection</t>
  </si>
  <si>
    <t>B5:B69</t>
  </si>
  <si>
    <t>Selection1</t>
  </si>
  <si>
    <t>Row References:</t>
  </si>
  <si>
    <t>Column References:</t>
  </si>
  <si>
    <t>Education Partnership Area - A</t>
  </si>
  <si>
    <t>Education Partnership Area - B</t>
  </si>
  <si>
    <t>Education Partnership Area - C2</t>
  </si>
  <si>
    <t>Education Partnership Area - C1</t>
  </si>
  <si>
    <t>Education Partnership Area - C3</t>
  </si>
  <si>
    <t>WEST SUSSEX</t>
  </si>
  <si>
    <t>SOUTH EAST</t>
  </si>
  <si>
    <t>ENGLAND</t>
  </si>
  <si>
    <t>CFC Group - Adur East</t>
  </si>
  <si>
    <t>CFC Group - Adur West</t>
  </si>
  <si>
    <t>CFC Group - Arun East</t>
  </si>
  <si>
    <t>CFC Group - Arun West North</t>
  </si>
  <si>
    <t>CFC Group - Arun West South</t>
  </si>
  <si>
    <t>CFC Group - Chichester Central</t>
  </si>
  <si>
    <t>CFC Group - Chichester Rural</t>
  </si>
  <si>
    <t>CFC Group - Crawley</t>
  </si>
  <si>
    <t>CFC Group - Mid Sussex</t>
  </si>
  <si>
    <t>CFC Group - Worthing</t>
  </si>
  <si>
    <t>LA - Adur</t>
  </si>
  <si>
    <t>LA - Arun</t>
  </si>
  <si>
    <t>LA - Chichester</t>
  </si>
  <si>
    <t>LA - Crawley</t>
  </si>
  <si>
    <t>LA - Horsham</t>
  </si>
  <si>
    <t>LA - Mid Sussex</t>
  </si>
  <si>
    <t>LA - Worthing</t>
  </si>
  <si>
    <t>CCG - Coastal West Sussex</t>
  </si>
  <si>
    <t>CCG - Horsham and Mid Sussex</t>
  </si>
  <si>
    <t>CCG - Crawley</t>
  </si>
  <si>
    <t>Address</t>
  </si>
  <si>
    <t>Address2</t>
  </si>
  <si>
    <t>Postcode</t>
  </si>
  <si>
    <t xml:space="preserve">Easting </t>
  </si>
  <si>
    <t>Northing</t>
  </si>
  <si>
    <t>CCG</t>
  </si>
  <si>
    <t>Middle Road, Shoreham-by-Sea</t>
  </si>
  <si>
    <t>BN43 6GA</t>
  </si>
  <si>
    <t>office.kingstonbuci@westsussex.gov.uk</t>
  </si>
  <si>
    <t>Gardner Road, Fishersgate</t>
  </si>
  <si>
    <t>BN41 1PN</t>
  </si>
  <si>
    <t>steppingstones.cfc@westsussex.gov.uk</t>
  </si>
  <si>
    <t>Upper Boundstone Lane, Sompting</t>
  </si>
  <si>
    <t>BN15 9QX</t>
  </si>
  <si>
    <t>office@boundstone-nur.w-sussex.sch.uk</t>
  </si>
  <si>
    <t>42 North Road, Lancing</t>
  </si>
  <si>
    <t>BN15 9AB</t>
  </si>
  <si>
    <t>lancing.cfc@westsussex.gov.uk</t>
  </si>
  <si>
    <t>Angmering Library, Arundel Road, Angmering</t>
  </si>
  <si>
    <t>BN16 4JS</t>
  </si>
  <si>
    <t>angmering.cfc@westsussex.gov.uk</t>
  </si>
  <si>
    <t>92 St Mary's Drive, East Preston, Littlehampton</t>
  </si>
  <si>
    <t>BN16 1JB</t>
  </si>
  <si>
    <t>eastpreston.cfc@westsussex.gov.uk</t>
  </si>
  <si>
    <t>Wickbourne Centre, Clun Road, Littlehampton</t>
  </si>
  <si>
    <t>BN17 7DZ</t>
  </si>
  <si>
    <t>littlehampton.c&amp;fc@westsussex.gov.uk</t>
  </si>
  <si>
    <t>Main Road, Yapton, Arundel</t>
  </si>
  <si>
    <t>BN18 0ET</t>
  </si>
  <si>
    <t>thevillages.c&amp;fc@westsussex.gov.uk</t>
  </si>
  <si>
    <t>Laburnum Grove, Bersted, Bognor Regis</t>
  </si>
  <si>
    <t>PO22 9HT</t>
  </si>
  <si>
    <t>treehouse.cfc@westsussex.gov.uk</t>
  </si>
  <si>
    <t>85 Victoria Drive, Bognor Regis</t>
  </si>
  <si>
    <t>PO21 2TB</t>
  </si>
  <si>
    <t>office@bognorregis-nursery.w-sussex.sch.uk</t>
  </si>
  <si>
    <t>Pennyfields, Bognor Regis</t>
  </si>
  <si>
    <t>PO22 6BN</t>
  </si>
  <si>
    <t>felpham.c&amp;fc@westsussex.gov.uk</t>
  </si>
  <si>
    <t>St James' Road, Chichester</t>
  </si>
  <si>
    <t>PO19 7AB</t>
  </si>
  <si>
    <t>office@chichester-nur.w-sussex.sch.uk</t>
  </si>
  <si>
    <t>Ashfield Road, Midhurst</t>
  </si>
  <si>
    <t>GU29 9JX</t>
  </si>
  <si>
    <t>midhurst.office@westsussex.gov.uk</t>
  </si>
  <si>
    <t>South Grove, Petworth</t>
  </si>
  <si>
    <t>GU28 0ED</t>
  </si>
  <si>
    <t>petworth.office@westsussex.gov.uk</t>
  </si>
  <si>
    <t>East Street, Selsey</t>
  </si>
  <si>
    <t>PO20 0BN</t>
  </si>
  <si>
    <t>selsey.cfc@westsussex.gov.uk</t>
  </si>
  <si>
    <t>Park Road, Southbourne</t>
  </si>
  <si>
    <t>PO10 8PJ</t>
  </si>
  <si>
    <t>southbourne.cfc@westsussex.gov.uk</t>
  </si>
  <si>
    <t>Dosten Square, Crawley</t>
  </si>
  <si>
    <t>RH11 8XW</t>
  </si>
  <si>
    <t>bewbush.cfc@westsussex.gov.uk</t>
  </si>
  <si>
    <t>Creasys Drive, Crawley</t>
  </si>
  <si>
    <t>RH11 9HJ</t>
  </si>
  <si>
    <t>broadfieldc&amp;fc@westsussex.gov.uk</t>
  </si>
  <si>
    <t>Langley Green Centre, Stagelands, Langley Green, Crawley</t>
  </si>
  <si>
    <t>RH11 7PF</t>
  </si>
  <si>
    <t>langleygreen.cfc@westsussex.gov.uk</t>
  </si>
  <si>
    <t>Barnfield Road, Crawley</t>
  </si>
  <si>
    <t>RH10 8DP</t>
  </si>
  <si>
    <t>northgate.cfc@westsussex.gov.uk</t>
  </si>
  <si>
    <t xml:space="preserve">Harvest Road, Maidenbower, Crawley                               </t>
  </si>
  <si>
    <t>RH10 7RA</t>
  </si>
  <si>
    <t>maidenbowerandpoundhillcfc@westsussex.gov.uk</t>
  </si>
  <si>
    <t>Barrington Road, Crawley</t>
  </si>
  <si>
    <t>RH10 6DG</t>
  </si>
  <si>
    <t>southgate.cfc@westsussex.gov.uk</t>
  </si>
  <si>
    <t xml:space="preserve">Station Road, Billingshurst                                    </t>
  </si>
  <si>
    <t>Pulborough Village Hall, Swan View, Pulborough, RH20 2BF (pulborough.cfc@westsussex.gov.uk)</t>
  </si>
  <si>
    <t xml:space="preserve">RH14 9RY   </t>
  </si>
  <si>
    <t>office.billingshurst@westsussex.gov.uk</t>
  </si>
  <si>
    <t>24-26 West Street, Storrington, Pulborough</t>
  </si>
  <si>
    <t>RH20 4EE</t>
  </si>
  <si>
    <t>rural.horsham@westsussex.gov.uk</t>
  </si>
  <si>
    <t>RH14 9AX</t>
  </si>
  <si>
    <t>office.ruralhorsham@westsussex.gov.uk</t>
  </si>
  <si>
    <t>Cowfold Village Hall, Bolney Road, Cowfold, Horsham</t>
  </si>
  <si>
    <t>RH13 8AA</t>
  </si>
  <si>
    <t>ruralhenfield.cfc@westsussex.gov.uk</t>
  </si>
  <si>
    <t>Harwood Road, Horsham</t>
  </si>
  <si>
    <t>RH13 5UT</t>
  </si>
  <si>
    <t>office.horsham.nursery.cfc@westsussex.gov.uk</t>
  </si>
  <si>
    <t>Roffey Youth Centre, Godwin Way, Compton Lane, Horsham</t>
  </si>
  <si>
    <t>RH13 6SQ</t>
  </si>
  <si>
    <t>roffey.cfc@westsussex.gov.uk</t>
  </si>
  <si>
    <t>Worthing Road, Southwater, Horsham</t>
  </si>
  <si>
    <t>RH13 9HA</t>
  </si>
  <si>
    <t>southwater.cfc@westsussex.gov.uk</t>
  </si>
  <si>
    <t>The Needles Neighbourhood Centre, Three Acres, Horsham</t>
  </si>
  <si>
    <t>RH12 1RS</t>
  </si>
  <si>
    <t>theneedles.cfc@westsussex.gov.uk</t>
  </si>
  <si>
    <t>Blackwell Farm Road, East Grinstead</t>
  </si>
  <si>
    <t>RH19 3JL</t>
  </si>
  <si>
    <t>east.grinstead.c&amp;fc@westsussex.gov.uk</t>
  </si>
  <si>
    <t>East Grinstead Library, West Street, East Grinstead</t>
  </si>
  <si>
    <t>RH19 4SR</t>
  </si>
  <si>
    <t>east.grinstead.c&amp;fc.library@westsussex.gov.uk</t>
  </si>
  <si>
    <t>51 Penn Crescent, Haywards Heath</t>
  </si>
  <si>
    <t>RH16 3HP</t>
  </si>
  <si>
    <t>haywardsheath.c&amp;fc@westsussex.gov.uk</t>
  </si>
  <si>
    <t>Unit 1 Highlands Farm, London Road, Bolney</t>
  </si>
  <si>
    <t>RH17 5PX</t>
  </si>
  <si>
    <t>mid.sussex.rural@westsussex.gov.uk</t>
  </si>
  <si>
    <t>Leylands Road, Burgess Hill</t>
  </si>
  <si>
    <t>RH15 8HS</t>
  </si>
  <si>
    <t>sidneywest.cfc@westsussex.gov.uk</t>
  </si>
  <si>
    <t>Hurstpierpoint Village Centre, Trinity Road, Hurstpierpoint, Hassocks</t>
  </si>
  <si>
    <t>BN6 9UY</t>
  </si>
  <si>
    <t>Royal George Road, Burgess Hill</t>
  </si>
  <si>
    <t>RH15 9SL</t>
  </si>
  <si>
    <t>thegattons.cfc@westsussex.gov.uk</t>
  </si>
  <si>
    <t>Salvington Road, Durrington, Worthing</t>
  </si>
  <si>
    <t>BN13 2JD</t>
  </si>
  <si>
    <t>acd.durrington.c&amp;fc@westsussex.gov.uk</t>
  </si>
  <si>
    <t>Vale First and Middle School, Vale Avenue, Worthing</t>
  </si>
  <si>
    <t>BN14 0DB</t>
  </si>
  <si>
    <t>findon.cfc@westsussex.gov.uk</t>
  </si>
  <si>
    <t>Crescent - 40 Crescent Road, Worthing</t>
  </si>
  <si>
    <t>BN11 1RQ</t>
  </si>
  <si>
    <t>footprints.c&amp;fc@westsussex.gov.uk</t>
  </si>
  <si>
    <t>Maybridge Community Church, 77 The Strand, Goring-by-Sea, Worthing</t>
  </si>
  <si>
    <t>BN12 6DR</t>
  </si>
  <si>
    <t>maybridgecfc@westsussex.gov.uk</t>
  </si>
  <si>
    <t>Broadwater Baptist Church, Dominion Road, Worthing</t>
  </si>
  <si>
    <t>BN14 8JL</t>
  </si>
  <si>
    <t>acd.the.wave.c&amp;fc@westsussex.gov.uk</t>
  </si>
  <si>
    <t>Email</t>
  </si>
  <si>
    <t>CFC Group</t>
  </si>
  <si>
    <t xml:space="preserve">Chichester Rural </t>
  </si>
  <si>
    <t>Horsham Rural</t>
  </si>
  <si>
    <t>NHS Coastal West Sussex CCG</t>
  </si>
  <si>
    <t>NHS Crawley CCG</t>
  </si>
  <si>
    <t>NHS Horsham and Mid Sussex CCG</t>
  </si>
  <si>
    <t>B</t>
  </si>
  <si>
    <t>C1</t>
  </si>
  <si>
    <t>C3</t>
  </si>
  <si>
    <t>A</t>
  </si>
  <si>
    <t>C2</t>
  </si>
  <si>
    <t>C3/B</t>
  </si>
  <si>
    <t>Haywards Heath (Urban)</t>
  </si>
  <si>
    <t>District</t>
  </si>
  <si>
    <t>Ward/s</t>
  </si>
  <si>
    <t>Geographies</t>
  </si>
  <si>
    <t>A6:L78</t>
  </si>
  <si>
    <t>Wards</t>
  </si>
  <si>
    <t>Parliamentary Constituency</t>
  </si>
  <si>
    <t>Education Locality Name</t>
  </si>
  <si>
    <t>Education Partnership Area</t>
  </si>
  <si>
    <t>n/a</t>
  </si>
  <si>
    <t>NHS Coastal/Horsham and Mid Sussex CCG</t>
  </si>
  <si>
    <t>Education partnership:</t>
  </si>
  <si>
    <t>Education locality:</t>
  </si>
  <si>
    <t>Parliamentary Constituency:</t>
  </si>
  <si>
    <t>West Sussex</t>
  </si>
  <si>
    <t>South East</t>
  </si>
  <si>
    <t>England</t>
  </si>
  <si>
    <t>under 5 (2005)</t>
  </si>
  <si>
    <t>under 5 (2006)</t>
  </si>
  <si>
    <t>under 5 (2007)</t>
  </si>
  <si>
    <t>under 5 (2008)</t>
  </si>
  <si>
    <t>under 5 (2009)</t>
  </si>
  <si>
    <t>under 5 (2010)</t>
  </si>
  <si>
    <t>under 5 (2011)</t>
  </si>
  <si>
    <t>under 5 (2012)</t>
  </si>
  <si>
    <t>under 5 (2013)</t>
  </si>
  <si>
    <t>under 5 (2014)</t>
  </si>
  <si>
    <t>Source: ONS Small Area Population Statistics</t>
  </si>
  <si>
    <t>Source: 2011 Census</t>
  </si>
  <si>
    <t>% White British</t>
  </si>
  <si>
    <t>% White Irish and White Other</t>
  </si>
  <si>
    <t>% Mixed/Multiple</t>
  </si>
  <si>
    <t>% BAME*</t>
  </si>
  <si>
    <t xml:space="preserve">* BAME (Black, Asian and Ethnic Minority) includes White Irish and White Other and Other. </t>
  </si>
  <si>
    <t>Proficiency in English</t>
  </si>
  <si>
    <t>Main language is English</t>
  </si>
  <si>
    <t>Main language is not English</t>
  </si>
  <si>
    <t>Main language is not English but can speak English well or very well</t>
  </si>
  <si>
    <t>Main language is not English and cannot speak it or speak it well</t>
  </si>
  <si>
    <t>% Main language is not English but can speak English well or very well</t>
  </si>
  <si>
    <t>% Main language is not English and cannot speak it or speak it well</t>
  </si>
  <si>
    <t>Population</t>
  </si>
  <si>
    <t>UnderFive</t>
  </si>
  <si>
    <t>Ethnicity</t>
  </si>
  <si>
    <t>Proficiency</t>
  </si>
  <si>
    <t>Tenure</t>
  </si>
  <si>
    <t>Number of households with a child aged 0-9</t>
  </si>
  <si>
    <t>One dependent child in family aged 0 to 4</t>
  </si>
  <si>
    <t>Two dependent children in family; youngest aged 0 to 4</t>
  </si>
  <si>
    <t>Three or more dependent children in family; youngest aged 0 to 4</t>
  </si>
  <si>
    <t>Total dependent children</t>
  </si>
  <si>
    <t>All families in households</t>
  </si>
  <si>
    <t>Southbourne</t>
  </si>
  <si>
    <t>Buckingham, St Mary's, St Nicholas, Southlands</t>
  </si>
  <si>
    <t>Eastbrook, Hillside, Southwick Green</t>
  </si>
  <si>
    <t>Churchill, Cokeham, Manor, Peverel</t>
  </si>
  <si>
    <t>Marine, Mash Barn, Widewater</t>
  </si>
  <si>
    <t>Bersted, Orchard</t>
  </si>
  <si>
    <t>Felpham East, Felpham West, Hotham, Middleton-on-Sea</t>
  </si>
  <si>
    <t>Boxgrove, Chichester East, Chichester North, Chichester South, Chichester West, Donnington, Funtington, Lavant, North Mundham, Sidlesham, Tangmere, Westbourne</t>
  </si>
  <si>
    <t>Easebourne, Fernhurst, Harting, Midhurst, Rogate, Stedham</t>
  </si>
  <si>
    <t>Bury, Fernhurst, Petworth, Plaistow</t>
  </si>
  <si>
    <t>East Wittering, Selsey North, Selsey South, Sidlesham, West Wittering</t>
  </si>
  <si>
    <t>Bosham, Fishbourne, Southbourne</t>
  </si>
  <si>
    <t>Bewbush, Gossops Green</t>
  </si>
  <si>
    <t>Broadfield North, Broadfield South</t>
  </si>
  <si>
    <t>Ifield, Langley Green</t>
  </si>
  <si>
    <t>Northgate, Three Bridges, West Green</t>
  </si>
  <si>
    <t>Maidenbower, Pound Hill North, Pound Hill South and Worth</t>
  </si>
  <si>
    <t>Furnace Green, Southgate, Tilgate</t>
  </si>
  <si>
    <t>Plaistow, Wisborough Green, Billingshurst and Shipley, Chanctonbury, Itchingfield Slinfold and Warnham, Pulborough and Coldwatham</t>
  </si>
  <si>
    <t>Chanctonbury, Chantry</t>
  </si>
  <si>
    <t>Billingshurst and Shipley, Broadbridge Heath, Itchingfield Slinfold and Warnham, Rudgwick, Rusper and Colgate</t>
  </si>
  <si>
    <t>Buckingham, Manor, Bramber Upper Beeding and Woodmancote, Cowfold Shermanbury and West Grinstead, Henfield, Nuthurst, Steyning</t>
  </si>
  <si>
    <t>Forest, Holbrook East, Horsham Park, Roffey North, Roffey South</t>
  </si>
  <si>
    <t>Holbrook East, Holbrook West, Roffey North, Roffey South</t>
  </si>
  <si>
    <t>Denne, Holbrook West, Trafalgar</t>
  </si>
  <si>
    <t>East Grinstead Ashplats, East Grinstead Baldwins, East Grinstead Town</t>
  </si>
  <si>
    <t>Ashurst Wood, East Grinstead Herontye, East Grinstead Imberhorne, East Grinstead Town</t>
  </si>
  <si>
    <t>Haywards Heath Ashenground, Haywards Heath Bentswood, Haywards Heath Franklands, Haywards Heath Heath</t>
  </si>
  <si>
    <t>Ardingly and Balcombe, Bolney, Copthorne and Worth, Crawley Down and Turners Hill, Cuckfield, East Grinstead Herontye, High Weald</t>
  </si>
  <si>
    <t>Cuckfield, Haywards Heath Heath, Haywards Heath Lucastes, High Weald, Lindfield</t>
  </si>
  <si>
    <t>Burgess Hill Franklands, Burgess Hill Leylands, Burgess Hill Meeds, Burgess Hill St Andrews</t>
  </si>
  <si>
    <t>Bolney, Cuckfield, Hassocks, Hurstpierpoint and Downs</t>
  </si>
  <si>
    <t>Burgess Hill Dunstall, Burgess Hill Victoria</t>
  </si>
  <si>
    <t>Durrington, Northbrook, Salvington</t>
  </si>
  <si>
    <t>Central, Heene, Selden</t>
  </si>
  <si>
    <t>Ferring, Castle, Goring, Marine, Tarring</t>
  </si>
  <si>
    <t>Broadwater, Gaisford</t>
  </si>
  <si>
    <t>Shoreham</t>
  </si>
  <si>
    <t xml:space="preserve">Littlehampton </t>
  </si>
  <si>
    <t>Littlehampton, Barham/Westergate</t>
  </si>
  <si>
    <t>Littlehampton, Angmering</t>
  </si>
  <si>
    <t>Angmering, Littlehampton</t>
  </si>
  <si>
    <t>Shoreham, Lancing</t>
  </si>
  <si>
    <t>Bognor Regis/Felpham</t>
  </si>
  <si>
    <t>Chichester, Southbourne, Manhood</t>
  </si>
  <si>
    <t>Midhurst/Petworth</t>
  </si>
  <si>
    <t>Manhood</t>
  </si>
  <si>
    <t>Crawley NW</t>
  </si>
  <si>
    <t>Crawley SW</t>
  </si>
  <si>
    <t>Crawley NE, Crawley NW</t>
  </si>
  <si>
    <t>Crawley SE, Crawley NE</t>
  </si>
  <si>
    <t>Crawley SW, Crawley NW</t>
  </si>
  <si>
    <t>Billingshurst, Steyning/Storrington, Horsham W, Midhurst/Petworth</t>
  </si>
  <si>
    <t>Steyning/Storrington</t>
  </si>
  <si>
    <t>Billingshurst, Horsham W, Horsham E</t>
  </si>
  <si>
    <t>Shoreham, Lancing, Steyning/Storrington, Horsham E</t>
  </si>
  <si>
    <t>Horsham E</t>
  </si>
  <si>
    <t>Horsham W</t>
  </si>
  <si>
    <t>East Grinstead</t>
  </si>
  <si>
    <t>Haywards Heath/Cuckfield</t>
  </si>
  <si>
    <t>Haywards Heath/Cuckfield, East Grinstead</t>
  </si>
  <si>
    <t>Burgess Hill</t>
  </si>
  <si>
    <t>Haywards Heath/Cuckfield, Hassocks</t>
  </si>
  <si>
    <t>Durrington, Worthing</t>
  </si>
  <si>
    <t>Angmering, Worthing</t>
  </si>
  <si>
    <t>Angmering, Durrington, Worthing</t>
  </si>
  <si>
    <t>B/A</t>
  </si>
  <si>
    <t>C3/B/A</t>
  </si>
  <si>
    <t>NHS Coastal West Sussex CCG/Horsham Mid Sussex CCG</t>
  </si>
  <si>
    <t>Adur</t>
  </si>
  <si>
    <t>WEST SUSSEX (Edu)</t>
  </si>
  <si>
    <t>East Worthing and Shoreham</t>
  </si>
  <si>
    <t>Arundel and Southdowns</t>
  </si>
  <si>
    <t>Worthing West</t>
  </si>
  <si>
    <t>Bognor Regis and Littlehampton</t>
  </si>
  <si>
    <t>All families with dependent children</t>
  </si>
  <si>
    <t>Two children</t>
  </si>
  <si>
    <t>One child</t>
  </si>
  <si>
    <t>Three children</t>
  </si>
  <si>
    <t>Married Couple with dependent child/ren</t>
  </si>
  <si>
    <t>Same-sex civil partnership couple with dependent child/ren</t>
  </si>
  <si>
    <t>Cohabiting couple with dependent child/ren</t>
  </si>
  <si>
    <t>Lone parent with dependent child/ren</t>
  </si>
  <si>
    <t>Other household type with dependent child/ren</t>
  </si>
  <si>
    <t>All households with dependent children</t>
  </si>
  <si>
    <t>Household Composition (2011 Census)</t>
  </si>
  <si>
    <t>Families with Dependent Children (2011 Census)</t>
  </si>
  <si>
    <t>Living in a couple household</t>
  </si>
  <si>
    <t>Not living in a couple household</t>
  </si>
  <si>
    <t>LCI</t>
  </si>
  <si>
    <t>UCI</t>
  </si>
  <si>
    <t>1998</t>
  </si>
  <si>
    <t>1999</t>
  </si>
  <si>
    <t>2000</t>
  </si>
  <si>
    <t>2001</t>
  </si>
  <si>
    <t>2002</t>
  </si>
  <si>
    <t>2003</t>
  </si>
  <si>
    <t>2004</t>
  </si>
  <si>
    <t>2005</t>
  </si>
  <si>
    <t>2006</t>
  </si>
  <si>
    <t>2007</t>
  </si>
  <si>
    <t>2008</t>
  </si>
  <si>
    <t>2009</t>
  </si>
  <si>
    <t>2010</t>
  </si>
  <si>
    <t>2011</t>
  </si>
  <si>
    <t>2012</t>
  </si>
  <si>
    <t>2013</t>
  </si>
  <si>
    <t>RATE</t>
  </si>
  <si>
    <t>COUNT</t>
  </si>
  <si>
    <t>Number</t>
  </si>
  <si>
    <t>Rate</t>
  </si>
  <si>
    <t>Selected CFC:</t>
  </si>
  <si>
    <t>Lone parent household</t>
  </si>
  <si>
    <t>Householdunder5</t>
  </si>
  <si>
    <t>BW5:CA83</t>
  </si>
  <si>
    <t>Number of households with a dependent child under 5</t>
  </si>
  <si>
    <t>% in non-couple households</t>
  </si>
  <si>
    <t>couple</t>
  </si>
  <si>
    <t>non-couple</t>
  </si>
  <si>
    <t>Lone parent families on low income (2011)</t>
  </si>
  <si>
    <t>Lone parent families on low income (2012)</t>
  </si>
  <si>
    <t>Lone parent families on low income (2013)</t>
  </si>
  <si>
    <t>Lone parents (with dependent children)</t>
  </si>
  <si>
    <t>% not in employment</t>
  </si>
  <si>
    <t>Male lone parents</t>
  </si>
  <si>
    <t>Lone parents (2011 Census)</t>
  </si>
  <si>
    <t>Not in employment</t>
  </si>
  <si>
    <t>Births (2009)</t>
  </si>
  <si>
    <t>Births (2010)</t>
  </si>
  <si>
    <t>Births (2011)</t>
  </si>
  <si>
    <t>Births (2012)</t>
  </si>
  <si>
    <t>Births (2013)</t>
  </si>
  <si>
    <t>Births (2014)</t>
  </si>
  <si>
    <t>Births</t>
  </si>
  <si>
    <t>Births ONS</t>
  </si>
  <si>
    <r>
      <t xml:space="preserve">   </t>
    </r>
    <r>
      <rPr>
        <b/>
        <sz val="11"/>
        <color theme="1"/>
        <rFont val="Calibri"/>
        <family val="2"/>
        <scheme val="minor"/>
      </rPr>
      <t xml:space="preserve">Source: </t>
    </r>
    <r>
      <rPr>
        <sz val="11"/>
        <color theme="1"/>
        <rFont val="Calibri"/>
        <family val="2"/>
        <scheme val="minor"/>
      </rPr>
      <t xml:space="preserve">Birth Notification (Child Health Bureau) and ONS </t>
    </r>
  </si>
  <si>
    <t>Source: Child Health Bureau and ONS</t>
  </si>
  <si>
    <t>Births to Mothers Under 20 (2009)</t>
  </si>
  <si>
    <t>Births to Mothers Under 20 (2010)</t>
  </si>
  <si>
    <t>Births to Mothers Under 20 (2011)</t>
  </si>
  <si>
    <t>Births to Mothers Under 20 (2012)</t>
  </si>
  <si>
    <t>Births to Mothers Under 20 (2013)</t>
  </si>
  <si>
    <t>Births to Mothers Under 20 (2014)</t>
  </si>
  <si>
    <t>Number of Babies born of low birth weight</t>
  </si>
  <si>
    <t>-</t>
  </si>
  <si>
    <r>
      <t xml:space="preserve">   </t>
    </r>
    <r>
      <rPr>
        <b/>
        <sz val="11"/>
        <color theme="1"/>
        <rFont val="Calibri"/>
        <family val="2"/>
        <scheme val="minor"/>
      </rPr>
      <t>Source:</t>
    </r>
    <r>
      <rPr>
        <sz val="11"/>
        <color theme="1"/>
        <rFont val="Calibri"/>
        <family val="2"/>
        <scheme val="minor"/>
      </rPr>
      <t xml:space="preserve"> Birth Notification (Child Health Bureau)</t>
    </r>
  </si>
  <si>
    <t xml:space="preserve">   </t>
  </si>
  <si>
    <t>Source: Child Health Bureau</t>
  </si>
  <si>
    <t>Births to mothers under 20 (2009)</t>
  </si>
  <si>
    <t>Births to mothers under 20 (2010)</t>
  </si>
  <si>
    <t>Births to mothers under 20 (2011)</t>
  </si>
  <si>
    <t>Births to mothers under 20 (2012)</t>
  </si>
  <si>
    <t>Births to mothers under 20 (2013)</t>
  </si>
  <si>
    <t>Births to mothers under 20 (2014)</t>
  </si>
  <si>
    <t>YoungMums</t>
  </si>
  <si>
    <t>Births to mothers &lt; 20</t>
  </si>
  <si>
    <t>From ONS birth summary tables</t>
  </si>
  <si>
    <t>Live births to women under 20 years</t>
  </si>
  <si>
    <t>All other live births</t>
  </si>
  <si>
    <r>
      <rPr>
        <b/>
        <sz val="11"/>
        <color theme="1"/>
        <rFont val="Calibri"/>
        <family val="2"/>
        <scheme val="minor"/>
      </rPr>
      <t xml:space="preserve">   Source: </t>
    </r>
    <r>
      <rPr>
        <sz val="11"/>
        <color theme="1"/>
        <rFont val="Calibri"/>
        <family val="2"/>
        <scheme val="minor"/>
      </rPr>
      <t>Birth Notification (Child Health Bureau)</t>
    </r>
  </si>
  <si>
    <t>Estimated number of teenage mothers</t>
  </si>
  <si>
    <t>TeenMums</t>
  </si>
  <si>
    <t>These figures have been calcuated by combining births to mothers under 20 in 2013, births to mothers under 19 in 2012, births to mothers under 18 is 2011, births to mothers under 17 in 2010, births to mothers under 16 in 2009, and births to mothers under 15 in 2008.</t>
  </si>
  <si>
    <t>Source: Child Health Bureau (2008-13)</t>
  </si>
  <si>
    <r>
      <rPr>
        <b/>
        <sz val="11"/>
        <color theme="1"/>
        <rFont val="Calibri"/>
        <family val="2"/>
        <scheme val="minor"/>
      </rPr>
      <t>Source:</t>
    </r>
    <r>
      <rPr>
        <sz val="11"/>
        <color theme="1"/>
        <rFont val="Calibri"/>
        <family val="2"/>
        <scheme val="minor"/>
      </rPr>
      <t xml:space="preserve">  This data is provided annually by the ONS. </t>
    </r>
  </si>
  <si>
    <r>
      <rPr>
        <b/>
        <sz val="11"/>
        <color theme="1"/>
        <rFont val="Calibri"/>
        <family val="2"/>
        <scheme val="minor"/>
      </rPr>
      <t>Statistical Issues:</t>
    </r>
    <r>
      <rPr>
        <sz val="11"/>
        <color theme="1"/>
        <rFont val="Calibri"/>
        <family val="2"/>
        <scheme val="minor"/>
      </rPr>
      <t xml:space="preserve"> The number of teenage conceptions for each CFC are very small and so it is not possible to calculate rates at this level. Data is instead presented by the local authority of the selected CFC.</t>
    </r>
  </si>
  <si>
    <r>
      <t xml:space="preserve">Source: </t>
    </r>
    <r>
      <rPr>
        <sz val="11"/>
        <color theme="1"/>
        <rFont val="Calibri"/>
        <family val="2"/>
        <scheme val="minor"/>
      </rPr>
      <t>Birth Notification 2013 (Child Health Bureau)</t>
    </r>
  </si>
  <si>
    <t>Number of babies born of low birth weight</t>
  </si>
  <si>
    <t>% of all live births &lt; 2500g</t>
  </si>
  <si>
    <t>Percentages are based on the total number of infants, not just those with recorded status.</t>
  </si>
  <si>
    <t>Number of babies eligible for 6 week check (2012/13)</t>
  </si>
  <si>
    <t>Number of babies receiving 6 week check (2012/13)</t>
  </si>
  <si>
    <t>% of eligible babies checked</t>
  </si>
  <si>
    <t>England figures for same period (2012-13): 32.2% breastfed exclusively, 47.1% breastfed (exclusively and partially)</t>
  </si>
  <si>
    <t>Since 2008/09, each Primary Care Trust submits quarterly data on the prevalence of breastfeeding at 6-8 weeks. Since 2013/14 this data have been provided at CCG level. This collection reports on the number and proportion of women seen and assessed by a healthcare professional within 12 weeks and 6 days of their maternity, the number and proportion of mothers' who have initiated or not initiated breastfeeding and the number and proportion of infants who have been fully or partially breastfed, or not breastfed at all at 6-8 weeks.</t>
  </si>
  <si>
    <r>
      <rPr>
        <b/>
        <sz val="11"/>
        <color theme="1"/>
        <rFont val="Calibri"/>
        <family val="2"/>
        <scheme val="minor"/>
      </rPr>
      <t>Statistical issue:</t>
    </r>
    <r>
      <rPr>
        <sz val="11"/>
        <color theme="1"/>
        <rFont val="Calibri"/>
        <family val="2"/>
        <scheme val="minor"/>
      </rPr>
      <t xml:space="preserve"> Areas are required to attain a "threshold quality" on coverage. This means that performance data are not published where there are a high number of infants whose breastfeeding status is unknown.  The threshold quality has increased since 2008/09.</t>
    </r>
  </si>
  <si>
    <t>Between 2008/09 Q1 to 2009/10 Q3, the threshold required was 85%</t>
  </si>
  <si>
    <t>Between 2009/10 Q4 to 2010/11 Q3, the threshold required was 90%.</t>
  </si>
  <si>
    <r>
      <t xml:space="preserve">From 2010/11 Q4 onwards the threshold required is </t>
    </r>
    <r>
      <rPr>
        <b/>
        <i/>
        <u/>
        <sz val="11"/>
        <color theme="1"/>
        <rFont val="Calibri"/>
        <family val="2"/>
        <scheme val="minor"/>
      </rPr>
      <t>95%</t>
    </r>
    <r>
      <rPr>
        <i/>
        <sz val="11"/>
        <color theme="1"/>
        <rFont val="Calibri"/>
        <family val="2"/>
        <scheme val="minor"/>
      </rPr>
      <t>.</t>
    </r>
  </si>
  <si>
    <t>Surrey and Sussex Area Team</t>
  </si>
  <si>
    <t>2013/14</t>
  </si>
  <si>
    <t>2014/15</t>
  </si>
  <si>
    <t>Q1</t>
  </si>
  <si>
    <t>Q2</t>
  </si>
  <si>
    <t>Q3</t>
  </si>
  <si>
    <t>Q4</t>
  </si>
  <si>
    <t>does not meet validation criteria</t>
  </si>
  <si>
    <t>Cells shaded in red did not meet the coverage threshold % in the quarter.</t>
  </si>
  <si>
    <r>
      <t xml:space="preserve">Source: </t>
    </r>
    <r>
      <rPr>
        <sz val="11"/>
        <color theme="1"/>
        <rFont val="Calibri"/>
        <family val="2"/>
        <scheme val="minor"/>
      </rPr>
      <t>NHS Statistics (Maternity Services)</t>
    </r>
  </si>
  <si>
    <t>Source: NHS Statistics (Maternity Services)</t>
  </si>
  <si>
    <r>
      <rPr>
        <b/>
        <sz val="11"/>
        <color theme="1"/>
        <rFont val="Calibri"/>
        <family val="2"/>
        <scheme val="minor"/>
      </rPr>
      <t xml:space="preserve">Source: </t>
    </r>
    <r>
      <rPr>
        <sz val="11"/>
        <color theme="1"/>
        <rFont val="Calibri"/>
        <family val="2"/>
        <scheme val="minor"/>
      </rPr>
      <t xml:space="preserve">NCMP </t>
    </r>
  </si>
  <si>
    <r>
      <t xml:space="preserve">Statistical Issues: </t>
    </r>
    <r>
      <rPr>
        <sz val="11"/>
        <color theme="1"/>
        <rFont val="Calibri"/>
        <family val="2"/>
        <scheme val="minor"/>
      </rPr>
      <t>95% confidence intervals are shown, where confidence intervals overlap, it is not possible to say that a difference is statistically significant. A statement is provided in the tables to state where centres/areas have rates significantly different to England. Results at centre and cluster level have wide confidence intervals because of small numbers.</t>
    </r>
  </si>
  <si>
    <r>
      <t xml:space="preserve">The data in these profiles relate to where the pupil lives, </t>
    </r>
    <r>
      <rPr>
        <b/>
        <u/>
        <sz val="11"/>
        <color theme="1"/>
        <rFont val="Calibri"/>
        <family val="2"/>
        <scheme val="minor"/>
      </rPr>
      <t>not school location</t>
    </r>
    <r>
      <rPr>
        <sz val="11"/>
        <color theme="1"/>
        <rFont val="Calibri"/>
        <family val="2"/>
        <scheme val="minor"/>
      </rPr>
      <t>.</t>
    </r>
  </si>
  <si>
    <t>Reception Pupils: 2009/10</t>
  </si>
  <si>
    <t>Reception Pupils: 2010/11</t>
  </si>
  <si>
    <t>Reception Pupils: 2011/12</t>
  </si>
  <si>
    <t>Reception Pupils: 2012/13</t>
  </si>
  <si>
    <t>Reception Pupils: 2013/14</t>
  </si>
  <si>
    <t>Year 6 Pupils: 2009/10</t>
  </si>
  <si>
    <t>Year 6 Pupils: 2010/11</t>
  </si>
  <si>
    <t>Year 6 Pupils: 2011/12</t>
  </si>
  <si>
    <t>Year 6 Pupils: 2012/13</t>
  </si>
  <si>
    <t>Year 6 Pupils: 2013/14</t>
  </si>
  <si>
    <t>% of children Measured as Obese 2009/10 to 2013/14</t>
  </si>
  <si>
    <r>
      <t xml:space="preserve">Source: </t>
    </r>
    <r>
      <rPr>
        <sz val="11"/>
        <rFont val="Calibri"/>
        <family val="2"/>
        <scheme val="minor"/>
      </rPr>
      <t>National Dental Epidemiology Programme for England</t>
    </r>
  </si>
  <si>
    <r>
      <rPr>
        <b/>
        <sz val="11"/>
        <color theme="1"/>
        <rFont val="Calibri"/>
        <family val="2"/>
        <scheme val="minor"/>
      </rPr>
      <t xml:space="preserve">Statistical Issues: </t>
    </r>
    <r>
      <rPr>
        <sz val="11"/>
        <color theme="1"/>
        <rFont val="Calibri"/>
        <family val="2"/>
        <scheme val="minor"/>
      </rPr>
      <t>In the national survey only a small number of children were sampled in Adur, Chichester and Mid Sussex so results are not robust in those areas.</t>
    </r>
  </si>
  <si>
    <t xml:space="preserve">% D3MFT &gt; 0 </t>
  </si>
  <si>
    <t>LCL</t>
  </si>
  <si>
    <t>UCL</t>
  </si>
  <si>
    <t>% of children examined with dental decay</t>
  </si>
  <si>
    <t>Of children with decay, the average number of teeth per child</t>
  </si>
  <si>
    <t>The number of children examined was too small (&lt;30) for a robust sample</t>
  </si>
  <si>
    <t xml:space="preserve">Mean % D3MFT (% D3MFT &gt; 0)  </t>
  </si>
  <si>
    <r>
      <rPr>
        <b/>
        <sz val="11"/>
        <rFont val="Calibri"/>
        <family val="2"/>
        <scheme val="minor"/>
      </rPr>
      <t>Rationale for the Indicator:</t>
    </r>
    <r>
      <rPr>
        <sz val="11"/>
        <rFont val="Calibri"/>
        <family val="2"/>
        <scheme val="minor"/>
      </rPr>
      <t xml:space="preserve"> The most recent dental health survey - with national comparators - for children aged 5 was undertaken in 2011/12. A sample of children in each LA in England examined the number of decayed, missing or filled teeth (DMFT) assessed. The survey provides an indication or oral health in West Sussex.</t>
    </r>
  </si>
  <si>
    <t>A note on Dental Decay in 3yr olds</t>
  </si>
  <si>
    <t>The Oral Health survey of three-year-old children, carried out during the 2012-13 school year measured the dental decay by visually examining for missing teeth, filled teeth and teeth with obvious decay. The sampling method was primarily through local authorities, creating a sample of children from a range of different childcare institutions. However the dental examination required parental consent, and the samples collected finally represented 8% of the population of that age group. At a national level 12% of the children surveyed had obvious decay; however this figure varied across regions. In West Sussex the number of children surveyed was less than 1% and the data collected was from Arun, Chichester and Worthing only. The eventual figure for West Sussex of 3.5% of children with early childhood caries is relatively low. However the very small size of the data collected for West Sussex was not comprehensive enough to give a truly accurate figure of the prevalence of dental decay in children under 3.</t>
  </si>
  <si>
    <t>Why is this important?</t>
  </si>
  <si>
    <t>1. The data relate only to those women who have agreed to a 12-16 week visit and therefore not all mothers are included in the figures</t>
  </si>
  <si>
    <t>2. The number of babies eligible for a 12-16 week check and data from checks conducted are stored on different systems, linked by baby's date of birth</t>
  </si>
  <si>
    <r>
      <rPr>
        <b/>
        <sz val="11"/>
        <color theme="1"/>
        <rFont val="Calibri"/>
        <family val="2"/>
        <scheme val="minor"/>
      </rPr>
      <t xml:space="preserve">Statistical Issues: </t>
    </r>
    <r>
      <rPr>
        <sz val="11"/>
        <color theme="1"/>
        <rFont val="Calibri"/>
        <family val="2"/>
        <scheme val="minor"/>
      </rPr>
      <t xml:space="preserve">In compiling the information relating to post-natal depression a number of issues were identified. </t>
    </r>
  </si>
  <si>
    <t>Background Data</t>
  </si>
  <si>
    <t>Family Structure and Composition</t>
  </si>
  <si>
    <t>Health indicators</t>
  </si>
  <si>
    <t>Family size (families with a 0-4 yr old)</t>
  </si>
  <si>
    <t>Overall population</t>
  </si>
  <si>
    <t>Couple/non-couple households (with 0-4yrs)</t>
  </si>
  <si>
    <t>Breastfeeding (CCG DoH published data)</t>
  </si>
  <si>
    <t>Population of 0-4 year olds</t>
  </si>
  <si>
    <t>Census 2011 data - lone parents</t>
  </si>
  <si>
    <t>Childhood obesity (reception)</t>
  </si>
  <si>
    <t>Ethnicity - 0-4 year olds</t>
  </si>
  <si>
    <t>Lone parent families on low income</t>
  </si>
  <si>
    <t>Childhood obesity (Year 6)</t>
  </si>
  <si>
    <t>Proficiency in English (relates to 3-15yr olds)</t>
  </si>
  <si>
    <t>Oral Health</t>
  </si>
  <si>
    <t>Tenure (relates to 0-9 yr olds)</t>
  </si>
  <si>
    <t xml:space="preserve">Mental health </t>
  </si>
  <si>
    <t>Identification of Post Natal Depression</t>
  </si>
  <si>
    <t>Births and Early Health Status</t>
  </si>
  <si>
    <t>Deprivation</t>
  </si>
  <si>
    <t>Smoking in pregnancy/in new born households</t>
  </si>
  <si>
    <t>ID2010 Deprivation decile (location of CFC)</t>
  </si>
  <si>
    <t>Immunisations</t>
  </si>
  <si>
    <t>Births to women aged under 20 years</t>
  </si>
  <si>
    <t>Census 2011 % of households 3/4 measures</t>
  </si>
  <si>
    <t>Estimation of teenage mothers in area</t>
  </si>
  <si>
    <t>0-4yr olds in workless households</t>
  </si>
  <si>
    <t>Early Years Foundation Stage Measures</t>
  </si>
  <si>
    <t>Teenage pregnancy</t>
  </si>
  <si>
    <t>Child Poverty</t>
  </si>
  <si>
    <t xml:space="preserve">% of Children "Good Level of Development" </t>
  </si>
  <si>
    <t>Low birth weight</t>
  </si>
  <si>
    <t>Gap between lowest scores and median score</t>
  </si>
  <si>
    <t>0-4 yrs with daily activities limited</t>
  </si>
  <si>
    <t>old data</t>
  </si>
  <si>
    <t>Abbreviations:</t>
  </si>
  <si>
    <t xml:space="preserve">Abbreviations: </t>
  </si>
  <si>
    <t xml:space="preserve">Mean D3MFT (% D3MFT &gt; 0) </t>
  </si>
  <si>
    <t>For those children with decay experience, the average number of obviously decayed, missing (due to decay) and filled teeth per child.</t>
  </si>
  <si>
    <t>ULC/LCL</t>
  </si>
  <si>
    <t>Upper/Lower Confidence Limit. 95% confidence intervals are shown and should be used when making comparisons. Where confidence intervals overlap, it is not possible to say that a difference is statistically significant. Significance relates to whether an area has a significantly higher or lower percentage of children with dental decay than England average.</t>
  </si>
  <si>
    <t>Q1. Smoking at the TIME OF BOOKING</t>
  </si>
  <si>
    <t>Q2. Smoking at the TIME OF DELIVERY</t>
  </si>
  <si>
    <t>Q3. Smoking at the HEALTH VISITOR 12 WEEK CHECK</t>
  </si>
  <si>
    <t>Q4. SMOKING IN THE HOME</t>
  </si>
  <si>
    <t>5-in-1 (DTaP/IPV/Hib)</t>
  </si>
  <si>
    <t>Men C</t>
  </si>
  <si>
    <t>Pneumo jab</t>
  </si>
  <si>
    <t>MMR</t>
  </si>
  <si>
    <t>Hib/Men C booster</t>
  </si>
  <si>
    <t>Pre-School booster</t>
  </si>
  <si>
    <t>Diptheria/Tetanus/Acellular Pertussis/Polio/Haemophilus Influenza Type B. Also known as the 5-in-1. Vaccine offered at 2, 3 and 4 months.</t>
  </si>
  <si>
    <t>Meningitis C. First vaccine is given to babies at between 3 and 4 months and a third dose is given at 12 months. The third dose is combined with the Hib vaccine (Hib/Men C booster)</t>
  </si>
  <si>
    <t>Vaccination provided to protect against streptococcus pneumoniae, and provided at 2 and 4 months.</t>
  </si>
  <si>
    <t>Measles, mumps and rubella (MMR) is the combined vaccine. Children vaccinated usually within a month of the first birthday and a booster before starting school (3 and 5).</t>
  </si>
  <si>
    <t>Vaccine against Haemophilus Influenxa tye B (Hib) and meningitis C (MenC) booster. Given at between 12 - 13 months.</t>
  </si>
  <si>
    <t xml:space="preserve">Booster for diptheria, tetanus, pertussis and polio. Given at 3 years and 4 months of age or shortly thereafter. </t>
  </si>
  <si>
    <t xml:space="preserve">Vaccinated </t>
  </si>
  <si>
    <t>% Vaccinated</t>
  </si>
  <si>
    <t>Coverage vs. 95%</t>
  </si>
  <si>
    <t>Number of Eligible Children (1 year olds)</t>
  </si>
  <si>
    <t>Number of Eligible Children (2 year olds)</t>
  </si>
  <si>
    <t>Number of Eligible Children (5 year olds)</t>
  </si>
  <si>
    <t>Number of admissions</t>
  </si>
  <si>
    <t>Resident population</t>
  </si>
  <si>
    <t>Rate per 10,000</t>
  </si>
  <si>
    <t>Lower 95% CI</t>
  </si>
  <si>
    <t>Upper 95% CI</t>
  </si>
  <si>
    <t>Significance compared to England</t>
  </si>
  <si>
    <t xml:space="preserve">Data on 0-4 year olds with long term limiting illness (LTLI) or health conditions which act to affect activities of daily living has been taken from the 2011 census and relates to children aged 0-4 years only. A long-term health problem or disability that limits a person's day-to-day activities, and has lasted, or is expected to last, at least 12 months. </t>
  </si>
  <si>
    <r>
      <t>Source:</t>
    </r>
    <r>
      <rPr>
        <sz val="11"/>
        <color theme="1"/>
        <rFont val="Calibri"/>
        <family val="2"/>
        <scheme val="minor"/>
      </rPr>
      <t xml:space="preserve"> 2011 Census</t>
    </r>
  </si>
  <si>
    <t>Number of 0-4 year olds with their day-to-day activities limited</t>
  </si>
  <si>
    <t>% of all 0-4 year olds</t>
  </si>
  <si>
    <t>2.07i - Hospital admissions caused by unintentional and deliberate injuries in children (aged 0-4 years)</t>
  </si>
  <si>
    <t>2010/11</t>
  </si>
  <si>
    <t>South East region</t>
  </si>
  <si>
    <t>Persons</t>
  </si>
  <si>
    <t>0-4 yrs</t>
  </si>
  <si>
    <t>2011/12</t>
  </si>
  <si>
    <t>2012/13</t>
  </si>
  <si>
    <t>Time Period</t>
  </si>
  <si>
    <t>Area Name</t>
  </si>
  <si>
    <t>Value</t>
  </si>
  <si>
    <t>Lower CI</t>
  </si>
  <si>
    <t>Upper CI</t>
  </si>
  <si>
    <t>Count</t>
  </si>
  <si>
    <t>Denominator</t>
  </si>
  <si>
    <t>Sex</t>
  </si>
  <si>
    <t>Age</t>
  </si>
  <si>
    <t>Source: HES and ONS</t>
  </si>
  <si>
    <r>
      <t xml:space="preserve">Source: </t>
    </r>
    <r>
      <rPr>
        <sz val="11"/>
        <color theme="1"/>
        <rFont val="Calibri"/>
        <family val="2"/>
        <scheme val="minor"/>
      </rPr>
      <t>ONS and Hospital Episode Statistics (2010/11 - 2013/14)</t>
    </r>
  </si>
  <si>
    <t>This data summarises the number and rate of hospital admissions that were caused by unintentional and deliberate injuries in children aged 0-4 years (per 10,000 resident population). This data is from 2013/14.</t>
  </si>
  <si>
    <t>No difference</t>
  </si>
  <si>
    <t>Higher than England</t>
  </si>
  <si>
    <t>Lower than England</t>
  </si>
  <si>
    <r>
      <t xml:space="preserve">Source: </t>
    </r>
    <r>
      <rPr>
        <sz val="11"/>
        <color theme="1"/>
        <rFont val="Calibri"/>
        <family val="2"/>
        <scheme val="minor"/>
      </rPr>
      <t>2011 Census</t>
    </r>
  </si>
  <si>
    <t xml:space="preserve">• Percentage of children being breastfed at six to eight weeks </t>
  </si>
  <si>
    <t xml:space="preserve">• Percentage of children in reception year who are obese </t>
  </si>
  <si>
    <t xml:space="preserve">• Rate of emergency hospital admissions caused by unintentional and deliberate injuries to children and young people </t>
  </si>
  <si>
    <t>• Percentage of children aged 0–4 living in households dependent on workless benefits</t>
  </si>
  <si>
    <t xml:space="preserve">• Percentage of eligible families benefiting from the childcare element of Working Tax Credit </t>
  </si>
  <si>
    <t>The following indicators rely on information collected / available at each centre.</t>
  </si>
  <si>
    <t xml:space="preserve">• Percentage of each of the following target groups in the children’s centre reach area and with whom the children’s centre establishes contact: teenage parents and pregnant teenagers, lone parents, children in workless households, children in minority ethnic groups, disabled children and children of disabled parents, fathers, other groups that are priority vulnerable groups in the children’s centre area </t>
  </si>
  <si>
    <t>• Any evidence on the percentage of parents of children aged 0–5 in the children’s centre area who are satisfied with the services</t>
  </si>
  <si>
    <t>Deprived households (2011 Census)</t>
  </si>
  <si>
    <t>Number of households with 3 or 4 measures of deprivation</t>
  </si>
  <si>
    <t>DB5:DC83</t>
  </si>
  <si>
    <t>Deprived households as a % of all households in an area</t>
  </si>
  <si>
    <t>Information is the provided as to the number of households experiencing deprivation on any or all or the issues identified.</t>
  </si>
  <si>
    <r>
      <rPr>
        <b/>
        <sz val="11"/>
        <color theme="1"/>
        <rFont val="Calibri"/>
        <family val="2"/>
        <scheme val="minor"/>
      </rPr>
      <t>Statistical Issues:</t>
    </r>
    <r>
      <rPr>
        <sz val="11"/>
        <color theme="1"/>
        <rFont val="Calibri"/>
        <family val="2"/>
        <scheme val="minor"/>
      </rPr>
      <t xml:space="preserve"> This is a measure of general deprivation and relates to all households, not just households with dependent children</t>
    </r>
  </si>
  <si>
    <r>
      <t>Source:</t>
    </r>
    <r>
      <rPr>
        <sz val="11"/>
        <color theme="1"/>
        <rFont val="Calibri"/>
        <family val="2"/>
        <scheme val="minor"/>
      </rPr>
      <t xml:space="preserve"> Department for Work and Pensions</t>
    </r>
  </si>
  <si>
    <t>Source: DWP</t>
  </si>
  <si>
    <t>0-4 year olds in out-of-work benefits households (2010)</t>
  </si>
  <si>
    <t>0-4 year olds in out-of-work benefits households (2011)</t>
  </si>
  <si>
    <t>0-4 year olds in out-of-work benefits households (2012)</t>
  </si>
  <si>
    <t>0-4 year olds in out-of-work benefits households (2013)</t>
  </si>
  <si>
    <t>0-4 year olds in out-of-work benefits households (2014)</t>
  </si>
  <si>
    <t>0-4 year olds in out-of-work benefits households (DWP)</t>
  </si>
  <si>
    <t>OutofWork</t>
  </si>
  <si>
    <t>DD5:DH83</t>
  </si>
  <si>
    <t>% of families with 3 or more children (0-18 years)</t>
  </si>
  <si>
    <t>IMD 2010</t>
  </si>
  <si>
    <t>Number 2008</t>
  </si>
  <si>
    <t>Number 2009</t>
  </si>
  <si>
    <t>Number 2010</t>
  </si>
  <si>
    <t>Number 2011</t>
  </si>
  <si>
    <t>Number 2012</t>
  </si>
  <si>
    <t>Number of babies not checked 2012/13</t>
  </si>
  <si>
    <t>exclusiveLCL</t>
  </si>
  <si>
    <t>exclusiveUCL</t>
  </si>
  <si>
    <t>partialLCL</t>
  </si>
  <si>
    <t>partialUCL</t>
  </si>
  <si>
    <t>Number of children (2013)</t>
  </si>
  <si>
    <t>DevLCL (2013)</t>
  </si>
  <si>
    <t>DevUCL (2013)</t>
  </si>
  <si>
    <t>Number of children (2014)</t>
  </si>
  <si>
    <t>DevLCL (2014)</t>
  </si>
  <si>
    <t>DevUCL (2014)</t>
  </si>
  <si>
    <t>%not smoking at time of booking</t>
  </si>
  <si>
    <t>% smoking at time of booking</t>
  </si>
  <si>
    <t>LCLbook</t>
  </si>
  <si>
    <t>UCLbook</t>
  </si>
  <si>
    <t>%not smoking at delivery</t>
  </si>
  <si>
    <t>LCLdel</t>
  </si>
  <si>
    <t>UCLdel</t>
  </si>
  <si>
    <t>%not current smoker</t>
  </si>
  <si>
    <t>%current smoker</t>
  </si>
  <si>
    <t>LCLsmoke</t>
  </si>
  <si>
    <t>UCLsmoke</t>
  </si>
  <si>
    <t>%No smoker in household</t>
  </si>
  <si>
    <t>%Smoker in household</t>
  </si>
  <si>
    <t>LCLhouse</t>
  </si>
  <si>
    <t>UCLhouse</t>
  </si>
  <si>
    <t>age1 2nd MenC</t>
  </si>
  <si>
    <t>age1 2nd Pneu</t>
  </si>
  <si>
    <t>age1 1st Pneu</t>
  </si>
  <si>
    <t>age1 3rd5in1</t>
  </si>
  <si>
    <t>total age2 eligible</t>
  </si>
  <si>
    <t>age2 HibMenCBoost</t>
  </si>
  <si>
    <t>age2 2ndMenC</t>
  </si>
  <si>
    <t>age2 PneuBoost</t>
  </si>
  <si>
    <t>age2 2ndPneu</t>
  </si>
  <si>
    <t>age2 1stPneu</t>
  </si>
  <si>
    <t>age2 MMR1</t>
  </si>
  <si>
    <t>age2 3rd5in1</t>
  </si>
  <si>
    <t>Total age5 eligible</t>
  </si>
  <si>
    <t>age5 HibMenCBoost</t>
  </si>
  <si>
    <t>age5 2ndMenC</t>
  </si>
  <si>
    <t>age5 PneuBoost</t>
  </si>
  <si>
    <t>age5 2ndPneu</t>
  </si>
  <si>
    <t>age5 1stPneu</t>
  </si>
  <si>
    <t>age5 MMR2</t>
  </si>
  <si>
    <t>age5 MMR1</t>
  </si>
  <si>
    <t>age5 PSB</t>
  </si>
  <si>
    <t>age5 3rd5in1</t>
  </si>
  <si>
    <t>No Sig diff</t>
  </si>
  <si>
    <t>Sig better than Eng.</t>
  </si>
  <si>
    <t>Sig worse than Eng.</t>
  </si>
  <si>
    <t>Breastfeeding</t>
  </si>
  <si>
    <t>Childhood Obesity (Year 6) NCMP</t>
  </si>
  <si>
    <t>Childhood Obesity Reception Age (NCMP)</t>
  </si>
  <si>
    <t>Early Years Foundation Stage ("a good level of development")</t>
  </si>
  <si>
    <t>Smoking</t>
  </si>
  <si>
    <t>IMD</t>
  </si>
  <si>
    <t>Source: HMRC</t>
  </si>
  <si>
    <r>
      <rPr>
        <b/>
        <sz val="11"/>
        <color theme="1"/>
        <rFont val="Calibri"/>
        <family val="2"/>
        <scheme val="minor"/>
      </rPr>
      <t>Source</t>
    </r>
    <r>
      <rPr>
        <sz val="11"/>
        <color theme="1"/>
        <rFont val="Calibri"/>
        <family val="2"/>
        <scheme val="minor"/>
      </rPr>
      <t>: HMRC</t>
    </r>
  </si>
  <si>
    <t>% of children in poverty (2008)</t>
  </si>
  <si>
    <t>% of children in poverty (2009)</t>
  </si>
  <si>
    <t>% of children in poverty (2010)</t>
  </si>
  <si>
    <t>% of children in poverty (2011)</t>
  </si>
  <si>
    <t>% of children in poverty (2012)</t>
  </si>
  <si>
    <t>%</t>
  </si>
  <si>
    <t>N</t>
  </si>
  <si>
    <t>Number of babies exclusively breastfed (2012/13)</t>
  </si>
  <si>
    <t>Number of babies partially or exclusively breastfed (2012/13)</t>
  </si>
  <si>
    <t>% of babies breastfed (partially and exclusively)</t>
  </si>
  <si>
    <t>% of babies exclusively breastfed (2012/13)</t>
  </si>
  <si>
    <t>PartialLCL</t>
  </si>
  <si>
    <t>PartialUCL</t>
  </si>
  <si>
    <t>ExclusiveLCL</t>
  </si>
  <si>
    <t>ExclusiveUCL</t>
  </si>
  <si>
    <t>Partiallower</t>
  </si>
  <si>
    <t>Partialupper</t>
  </si>
  <si>
    <t>exclusivelower</t>
  </si>
  <si>
    <t>exclusiveupper</t>
  </si>
  <si>
    <t>% Obese</t>
  </si>
  <si>
    <t>Number of children measured</t>
  </si>
  <si>
    <t>Significance</t>
  </si>
  <si>
    <t>95% Confidence intervals</t>
  </si>
  <si>
    <t>2009/10</t>
  </si>
  <si>
    <t>Number measured as obese</t>
  </si>
  <si>
    <t xml:space="preserve">Significance </t>
  </si>
  <si>
    <t>to</t>
  </si>
  <si>
    <t>Reception</t>
  </si>
  <si>
    <t>Year6</t>
  </si>
  <si>
    <t>Source: EYFS</t>
  </si>
  <si>
    <t>2013 data:</t>
  </si>
  <si>
    <t xml:space="preserve">2014 data: </t>
  </si>
  <si>
    <t>% of children with a good level of development</t>
  </si>
  <si>
    <t>Number of children</t>
  </si>
  <si>
    <t>Number of children assessed as having a good level of development</t>
  </si>
  <si>
    <t>pos</t>
  </si>
  <si>
    <t>neg</t>
  </si>
  <si>
    <t>Median score all children</t>
  </si>
  <si>
    <t>% Gap</t>
  </si>
  <si>
    <t>Lowest scores - 20% of all children</t>
  </si>
  <si>
    <t>Mean score of lowest 20%</t>
  </si>
  <si>
    <r>
      <t>It should be noted that the National Child Measurement Programme remains voluntary.</t>
    </r>
    <r>
      <rPr>
        <sz val="11"/>
        <rFont val="Calibri"/>
        <family val="2"/>
        <scheme val="minor"/>
      </rPr>
      <t xml:space="preserve"> In 2011/12 80% of all reception class pupils in West Sussex were measured and 90.5% of Year 6 pupils. Across England, 92.4% of reception class pupils and 92.4% of Year 6 pupils were measured.</t>
    </r>
  </si>
  <si>
    <r>
      <t xml:space="preserve">Statistical issues: </t>
    </r>
    <r>
      <rPr>
        <sz val="11"/>
        <color theme="1"/>
        <rFont val="Calibri"/>
        <family val="2"/>
        <scheme val="minor"/>
      </rPr>
      <t>This data relates</t>
    </r>
    <r>
      <rPr>
        <sz val="11"/>
        <rFont val="Calibri"/>
        <family val="2"/>
        <scheme val="minor"/>
      </rPr>
      <t xml:space="preserve"> to 2012</t>
    </r>
    <r>
      <rPr>
        <sz val="11"/>
        <color theme="1"/>
        <rFont val="Calibri"/>
        <family val="2"/>
        <scheme val="minor"/>
      </rPr>
      <t xml:space="preserve">. The data were collected as part of the 12-16 week check. Information provided relating to smoking at the time of delivery was therefore collected retrospectively. Only "yes" and "no" responses have been included. Non-response or "don't know" have been excluded from these calculations. This means that the total number of responses to each of the questions is different. </t>
    </r>
  </si>
  <si>
    <t>At the time of booking 550 women (11.1%) of the 4,950 who provided information said that they smoked</t>
  </si>
  <si>
    <t>At the time of their 12-16 week check, 532 women (10.8%) of the 4,941 who provided information said that they smoked</t>
  </si>
  <si>
    <t>At the time of delivery 431 women (8.7%) of the 4,949 who provided information said that they smoked</t>
  </si>
  <si>
    <t>Mothers were asked whether anyone (including themselves) smoked at home. 22.4% (1,103 of 4,922 who answered the question) said that there was someone at home who smoked.</t>
  </si>
  <si>
    <t>% Book</t>
  </si>
  <si>
    <t>% Deliver</t>
  </si>
  <si>
    <t>% Current</t>
  </si>
  <si>
    <t>% smoking at time of delivery</t>
  </si>
  <si>
    <r>
      <t xml:space="preserve">Statistical Issues: </t>
    </r>
    <r>
      <rPr>
        <sz val="11"/>
        <color theme="1"/>
        <rFont val="Calibri"/>
        <family val="2"/>
        <scheme val="minor"/>
      </rPr>
      <t xml:space="preserve">The information below refers to children aged </t>
    </r>
    <r>
      <rPr>
        <u/>
        <sz val="11"/>
        <color theme="1"/>
        <rFont val="Calibri"/>
        <family val="2"/>
        <scheme val="minor"/>
      </rPr>
      <t>under 5</t>
    </r>
    <r>
      <rPr>
        <sz val="11"/>
        <color theme="1"/>
        <rFont val="Calibri"/>
        <family val="2"/>
        <scheme val="minor"/>
      </rPr>
      <t xml:space="preserve"> and living in households living on income 60% or below median income levels. Note they have been some changes in the sub national child povery measure and so comparions over time should be treated with some caution. CFC, CFC Group and Eduction Partnership data calculated from aggregated LSOA data and so may not sum to West Sussex overall child poverty.</t>
    </r>
  </si>
  <si>
    <t>need to be updated to 2015 reach areas</t>
  </si>
  <si>
    <t>awaiting new data, needs to be updated to new reach areas</t>
  </si>
  <si>
    <t>up to date</t>
  </si>
  <si>
    <t>up to date with new reach areas but data might get updated soon</t>
  </si>
  <si>
    <t>No sig diff</t>
  </si>
  <si>
    <t>updated with new areas (summing maybridge and worthing central, chichester rural and chichester nursery)</t>
  </si>
  <si>
    <t>% lone parent households</t>
  </si>
  <si>
    <t>worthing central</t>
  </si>
  <si>
    <t>maybridge</t>
  </si>
  <si>
    <t>Breastfeeding (2012/13)</t>
  </si>
  <si>
    <t>http://www.unicef.org.uk/BabyFriendly/</t>
  </si>
  <si>
    <t>HM Government. (2014). An evidence review of the drivers of child poverty for families in poverty now and for poor children growing up to be poor adults. Page 56</t>
  </si>
  <si>
    <t>https://www.gov.uk/government/uploads/system/uploads/attachment_data/file/285389/Cm_8781_Child_Poverty_Evidence_Review_Print.pdf</t>
  </si>
  <si>
    <t>Department of Health. (2014). Early Years High Impact Area 1 – Transition to parenthood and the early weeks. Retrieved from</t>
  </si>
  <si>
    <t>Department of Health. (2014). Early Years High Impact Area 2 – Maternal (perinatal) Mental Health. Retrieved from</t>
  </si>
  <si>
    <t>https://www.gov.uk/government/publications/commissioning-of-public-health-services-for-children</t>
  </si>
  <si>
    <t>Marmot, M. (2010). Fair Society, Healthy Lives, Retrieved from</t>
  </si>
  <si>
    <t>http://www.instituteofhealthequity.org/projects/fair-society-healthy-lives-the-marmot-review</t>
  </si>
  <si>
    <r>
      <t xml:space="preserve"> </t>
    </r>
    <r>
      <rPr>
        <b/>
        <sz val="11"/>
        <color theme="1"/>
        <rFont val="Calibri"/>
        <family val="2"/>
        <scheme val="minor"/>
      </rPr>
      <t>Teenage pregnancy</t>
    </r>
  </si>
  <si>
    <r>
      <t xml:space="preserve"> </t>
    </r>
    <r>
      <rPr>
        <sz val="11"/>
        <color rgb="FF000000"/>
        <rFont val="Calibri"/>
        <family val="2"/>
        <scheme val="minor"/>
      </rPr>
      <t xml:space="preserve">Hadley, A. (2014). Teenage pregnancy: huge progress ... but more to do. </t>
    </r>
    <r>
      <rPr>
        <i/>
        <sz val="11"/>
        <color rgb="FF000000"/>
        <rFont val="Calibri"/>
        <family val="2"/>
        <scheme val="minor"/>
      </rPr>
      <t>Community Practitioner </t>
    </r>
    <r>
      <rPr>
        <sz val="11"/>
        <color rgb="FF000000"/>
        <rFont val="Calibri"/>
        <family val="2"/>
        <scheme val="minor"/>
      </rPr>
      <t>Volume 87 Number 6, pp44-47</t>
    </r>
  </si>
  <si>
    <t>Workless benefits</t>
  </si>
  <si>
    <t>Field, F. (2010), The Foundation Years: Preventing poor children becoming poor adults. HM Government (Page 27). Retrieved from</t>
  </si>
  <si>
    <t>Improving children's emotional health and wellbeing and adult mental health</t>
  </si>
  <si>
    <t>Postnatal depression</t>
  </si>
  <si>
    <t>Good level of development</t>
  </si>
  <si>
    <t>Breastfeeding (at CFC level) - what was the denominator for the percentages?</t>
  </si>
  <si>
    <t>CFC URN</t>
  </si>
  <si>
    <t>CFC Group URN</t>
  </si>
  <si>
    <t>Ofsted Report</t>
  </si>
  <si>
    <t>Report</t>
  </si>
  <si>
    <t>Births (ONS, Birth Notification)</t>
  </si>
  <si>
    <t>Estimate of Teenage Mothers (Birth Notification)</t>
  </si>
  <si>
    <t>Low Birth Weight (Birth Notification)</t>
  </si>
  <si>
    <t>LTLI (2011 Census; NOMIS)</t>
  </si>
  <si>
    <t>Households with a 0-4 year old (2011 Census)</t>
  </si>
  <si>
    <t>Child Poverty (under 5's; Child Benefit and Child Poverty Measure HMRC)</t>
  </si>
  <si>
    <t>Child Poverty (under 16's; Child Poverty Measure HMRC)</t>
  </si>
  <si>
    <t>Lone parent families on low income (2014)</t>
  </si>
  <si>
    <t>Lone parent families on low income (2015)</t>
  </si>
  <si>
    <r>
      <rPr>
        <b/>
        <sz val="11"/>
        <color theme="1"/>
        <rFont val="Calibri"/>
        <family val="2"/>
        <scheme val="minor"/>
      </rPr>
      <t xml:space="preserve">  Source:</t>
    </r>
    <r>
      <rPr>
        <sz val="11"/>
        <color theme="1"/>
        <rFont val="Calibri"/>
        <family val="2"/>
        <scheme val="minor"/>
      </rPr>
      <t xml:space="preserve"> DWP February 2011-2015</t>
    </r>
  </si>
  <si>
    <r>
      <t xml:space="preserve">This data summarises the number of working age lone parents claiming benefits. This is </t>
    </r>
    <r>
      <rPr>
        <b/>
        <u/>
        <sz val="11"/>
        <color theme="1"/>
        <rFont val="Calibri"/>
        <family val="2"/>
        <scheme val="minor"/>
      </rPr>
      <t>not</t>
    </r>
    <r>
      <rPr>
        <sz val="11"/>
        <color theme="1"/>
        <rFont val="Calibri"/>
        <family val="2"/>
        <scheme val="minor"/>
      </rPr>
      <t xml:space="preserve"> a count of all lone parent families - only those on low incomes. National research (DWP) estimates that approximately half of all lone parent families are living on low incomes.</t>
    </r>
  </si>
  <si>
    <t>Worthing W/Bognor and Littlehampton</t>
  </si>
  <si>
    <t>Arundel and South Downs/Horsham</t>
  </si>
  <si>
    <t>East Worthing and Shoreham/Worthing</t>
  </si>
  <si>
    <r>
      <t xml:space="preserve">Source: </t>
    </r>
    <r>
      <rPr>
        <sz val="11"/>
        <color theme="1"/>
        <rFont val="Calibri"/>
        <family val="2"/>
        <scheme val="minor"/>
      </rPr>
      <t>SCT</t>
    </r>
  </si>
  <si>
    <t>Total age1 eligible</t>
  </si>
  <si>
    <t>Maternal mental ill health is common, with around 1 in 10 mothers experiencing mild to moderate postnatal depression. A much smaller percentage of mothers develop more serious mental health conditions requiring specialist psychiatric intervention. Post natal depression can have an impact on a mother’s ability to bond with her baby and be sensitive and attuned to the baby’s needs and emotions. This in turn will affect the development of secure attachment.</t>
  </si>
  <si>
    <t>Sudden Infant Death (SIDS)</t>
  </si>
  <si>
    <t>ONS - Unexplained Deaths in Infancy: England and Wales, 2013 Statistical Bulletin</t>
  </si>
  <si>
    <t>Ostfeld, B. M. Esposito, L. Perl, H., et al (2010). Concurrent risks in sudden infant death syndrome. Pediatrics, 125, 447-453</t>
  </si>
  <si>
    <t>District:</t>
  </si>
  <si>
    <t>Source: ONS</t>
  </si>
  <si>
    <t xml:space="preserve">Unexplained infant death rate (per 1,000 live births) </t>
  </si>
  <si>
    <t>ENGLAND AND WALES</t>
  </si>
  <si>
    <t>Data in italics denotes low reliability (&lt;20 deaths)</t>
  </si>
  <si>
    <t>0 deaths</t>
  </si>
  <si>
    <t>http://www.poverty.ac.uk/report-poverty-measurement-life-chances-children-parenting-uk-government-policy/field-review</t>
  </si>
  <si>
    <t>1. Infant Feeding</t>
  </si>
  <si>
    <t>3. Physical activity</t>
  </si>
  <si>
    <t>4. Improving oral health of children</t>
  </si>
  <si>
    <t>5. Improving mental health/emotional health and wellbeing of parents and children</t>
  </si>
  <si>
    <t>6. Improving children's speech, language and communication</t>
  </si>
  <si>
    <t>7. Reducing teenage pregnancy rates and supporting teenage parents</t>
  </si>
  <si>
    <t>8. Reducing alcohol and substance misuse</t>
  </si>
  <si>
    <t>9. Increasing smoking cessation</t>
  </si>
  <si>
    <t>10. Increasing coverage of childhood immunisation rates</t>
  </si>
  <si>
    <t>11. Reducing childhood accidents</t>
  </si>
  <si>
    <t>12. Reducing the risk of sudden infant deaths</t>
  </si>
  <si>
    <t>The West Sussex Health4Families Programme</t>
  </si>
  <si>
    <t xml:space="preserve">• The achievement of children who have accessed services provided or commissioned by the centre, shown by the percentage of children attaining a Good Level </t>
  </si>
  <si>
    <t xml:space="preserve">  of Development (GLD), which is children who have attained level 2 or more in all aspects of the Prime Areas of Learning, Literacy and Mathematics</t>
  </si>
  <si>
    <t>Rate not calculated due to small counts</t>
  </si>
  <si>
    <t>Proficiency in English (3 - 15 years; 2011 Census, NOMIS)</t>
  </si>
  <si>
    <t>Lone parent families on low income (as at February 2011-15; DWP)</t>
  </si>
  <si>
    <t>IMD 2015</t>
  </si>
  <si>
    <t>Source: IMD</t>
  </si>
  <si>
    <t>IMD 2010 Decile:</t>
  </si>
  <si>
    <t>IMD 2010 decile:</t>
  </si>
  <si>
    <t>IMD 2015 decile:</t>
  </si>
  <si>
    <t>IMD 2015 Decile:</t>
  </si>
  <si>
    <t>DevUCL (2015)</t>
  </si>
  <si>
    <t>DevLCL (2015)</t>
  </si>
  <si>
    <t xml:space="preserve">2015 data: </t>
  </si>
  <si>
    <t>The West Sussex Health4Families Programme (H4FP) is an evidence-based framework that supports the integrated Children's Workforce (health services, early years, private and voluntary sector) to improve the health outcomes that most affect families and children from conception to the age of five. 
The key public health priorities focus on the following areas:</t>
  </si>
  <si>
    <t>2. Healthy eating and healthy weight</t>
  </si>
  <si>
    <t>Births to Mothers Under 20 (ONS, Birth Notification)</t>
  </si>
  <si>
    <t>% of children in poverty (2013)</t>
  </si>
  <si>
    <t>Number 2013</t>
  </si>
  <si>
    <t>LCI 2008</t>
  </si>
  <si>
    <t>UCI 2008</t>
  </si>
  <si>
    <t>LCI 2009</t>
  </si>
  <si>
    <t>UCI 2009</t>
  </si>
  <si>
    <t>LCI 2010</t>
  </si>
  <si>
    <t>UCI 2010</t>
  </si>
  <si>
    <t>LCI 2011</t>
  </si>
  <si>
    <t>UCI 2011</t>
  </si>
  <si>
    <t>LCI 2012</t>
  </si>
  <si>
    <t>UCI 2012</t>
  </si>
  <si>
    <t>LCI 2013</t>
  </si>
  <si>
    <t>UCI 2013</t>
  </si>
  <si>
    <t>CFC Group - Horsham Urban</t>
  </si>
  <si>
    <r>
      <t xml:space="preserve">Source: </t>
    </r>
    <r>
      <rPr>
        <sz val="11"/>
        <color theme="1"/>
        <rFont val="Calibri"/>
        <family val="2"/>
        <scheme val="minor"/>
      </rPr>
      <t>ONS Unexplained deaths in Infancy: England and Wales</t>
    </r>
  </si>
  <si>
    <t>Horsham Urban</t>
  </si>
  <si>
    <t>The Hive at Tangmere Academy, Bishops Road, Tangmere, Chichester</t>
  </si>
  <si>
    <t>35 Parkfield Road, Worthing</t>
  </si>
  <si>
    <t>Methodist Church, Lyndhurst Road, Worthing</t>
  </si>
  <si>
    <t>Pound Hill Infant School, Crawley Lane, Pound Hill, Crawley</t>
  </si>
  <si>
    <t>Postcode2</t>
  </si>
  <si>
    <t>PO20 2JB</t>
  </si>
  <si>
    <t>BN13 1EP</t>
  </si>
  <si>
    <t>BN11 2DG</t>
  </si>
  <si>
    <t>RH10 7EB</t>
  </si>
  <si>
    <t>RH20 2BF</t>
  </si>
  <si>
    <t>Upper Beeding Baptist Church, 19 Church Lane, Upper Beeding Steyning (ruralsteyning.cfc@westsussex.gov.uk)</t>
  </si>
  <si>
    <t>BN44 3HP</t>
  </si>
  <si>
    <t>Angmering and Findon, Arundel and Walberton, Brookfield, Rustington East, Rustington West</t>
  </si>
  <si>
    <t>Beach, Brookfield, East Preston, Rustington East, Rustington West</t>
  </si>
  <si>
    <t>Beach, Brookfield, River, Courtwick with Toddington</t>
  </si>
  <si>
    <t>Barnham, Arundel and Walberton, Yapton</t>
  </si>
  <si>
    <t>Aldwick East, Aldwick West, Bersted, Hotham, Marine, Pagham, Pevensey</t>
  </si>
  <si>
    <t>Angmering and Findon, Broadwater, Offington, Salvington</t>
  </si>
  <si>
    <t>Unintentional injuries</t>
  </si>
  <si>
    <t>Child Accident Prevention Trust</t>
  </si>
  <si>
    <t>http://www.capt.org.uk/</t>
  </si>
  <si>
    <t>Lullaby Trust, retrieved from</t>
  </si>
  <si>
    <t>http://www.lullabytrust.org.uk/</t>
  </si>
  <si>
    <t>Speech Language and Communication Needs</t>
  </si>
  <si>
    <t>http://webarchive.nationalarchives.gov.uk/20130401151715/http://www.education.gov.uk/publications/standard/publicationdetail/page1/DCSF-00632-2008</t>
  </si>
  <si>
    <t>Number of children (2015)</t>
  </si>
  <si>
    <t>Immunisations  (quarter 1 2013/14)</t>
  </si>
  <si>
    <t>Number of eligible children (12 months)</t>
  </si>
  <si>
    <t>% Dtap/IPV/Hib (12 months)</t>
  </si>
  <si>
    <t>% Men C (12 months)</t>
  </si>
  <si>
    <t>% PCV (12 months)</t>
  </si>
  <si>
    <t>N Dtap/IPV/Hib (12 months)</t>
  </si>
  <si>
    <t>N Men C (12 months)</t>
  </si>
  <si>
    <t>N PCV (12 months)</t>
  </si>
  <si>
    <t>Number of eligible children (24 months)</t>
  </si>
  <si>
    <t>% Dtap/IPV/Hib (24 months)</t>
  </si>
  <si>
    <t>% MMR (24 months)</t>
  </si>
  <si>
    <t>% Men C (24 months)</t>
  </si>
  <si>
    <t>% Men C Booster (24 months)</t>
  </si>
  <si>
    <t>% PCV Booster (24 months)</t>
  </si>
  <si>
    <t>N Dtap/IPV/Hib (24 months)</t>
  </si>
  <si>
    <t>N MMR (24 months)</t>
  </si>
  <si>
    <t>N Men C (24 months)</t>
  </si>
  <si>
    <t>N Men C Booster (24 months)</t>
  </si>
  <si>
    <t>N PCV Booster (24 months)</t>
  </si>
  <si>
    <t>Number of eligible children (5 years)</t>
  </si>
  <si>
    <t>% Dt/Pol Primary (5 years)</t>
  </si>
  <si>
    <t>% Dtap/IPV Booster (5 years)</t>
  </si>
  <si>
    <t>N Pertussis Primary (5 years)</t>
  </si>
  <si>
    <t>% Pertussis Primary (5 years)</t>
  </si>
  <si>
    <t>% Hib (5 years)</t>
  </si>
  <si>
    <t>% Men C (5 years)</t>
  </si>
  <si>
    <t>% Hib/Men C Booster (5 years)</t>
  </si>
  <si>
    <t>% MMR Dose 1 (5 years)</t>
  </si>
  <si>
    <t>% MMR Dose 2 (5 years)</t>
  </si>
  <si>
    <t>% PCV (5 years)</t>
  </si>
  <si>
    <t>% PCV Booster (5 years)</t>
  </si>
  <si>
    <t>N Dt/Pol Primary (5 years)</t>
  </si>
  <si>
    <t>N Dtap/IPV Booster (5 years)</t>
  </si>
  <si>
    <t>N Hib (5 years)</t>
  </si>
  <si>
    <t>N Men C (5 years)</t>
  </si>
  <si>
    <t>N Hib/Men C Booster (5 years)</t>
  </si>
  <si>
    <t>N MMR Dose 1 (5 years)</t>
  </si>
  <si>
    <t>N MMR Dose 2 (5 years)</t>
  </si>
  <si>
    <t>N PCV (5 years)</t>
  </si>
  <si>
    <t>N PCV Booster (5 years)</t>
  </si>
  <si>
    <t>Immunisations 2014/15 (full year) aggregated from GP Surgery records</t>
  </si>
  <si>
    <r>
      <t>Source:</t>
    </r>
    <r>
      <rPr>
        <sz val="11"/>
        <color theme="1"/>
        <rFont val="Calibri"/>
        <family val="2"/>
        <scheme val="minor"/>
      </rPr>
      <t xml:space="preserve"> NHS England Childhood Immunisations Data</t>
    </r>
  </si>
  <si>
    <r>
      <t xml:space="preserve">Statistical Issues: </t>
    </r>
    <r>
      <rPr>
        <sz val="11"/>
        <color theme="1"/>
        <rFont val="Calibri"/>
        <family val="2"/>
        <scheme val="minor"/>
      </rPr>
      <t>Immunisation coverage data is aggregated from GP practice level data and this includes "in and out" of area children (i.e. some children may reside in a different CFC catchment area to the catchment area of their registered GP surgery, or may live beyond the county boundary). Data here only relate to children registered to a West Sussex GP surgery. Each GP surgery has been assigned to a CFC catchment area based on the postcode. This data is from</t>
    </r>
    <r>
      <rPr>
        <sz val="11"/>
        <rFont val="Calibri"/>
        <family val="2"/>
        <scheme val="minor"/>
      </rPr>
      <t xml:space="preserve"> 2014/15 and relates to children who had their 1st, 2nd and 5th birthday.</t>
    </r>
  </si>
  <si>
    <t>Note that due to the closure/merger of some GP surgeries within the county, data from these sites have been excluded as it is not clear whether duplication exists. Data from 88 GP surgeries within West Sussex have been included. For consistency, CCG data relates to the CCG assigned to the CFC (based on majority of LSOAs within the catchment area) rather than of the surgery; this may result in small differences with similar publications.</t>
  </si>
  <si>
    <t>2nd dose MenC (by first birthday)*</t>
  </si>
  <si>
    <t>*low coverage likely reflects recent changes to dosing schedule for MenC to only one dose for those born on or after 1st March 2013</t>
  </si>
  <si>
    <t>3 doses 5 in 1 vaccination (by 1st birthday)</t>
  </si>
  <si>
    <t>3rd 5 in 1 vaccination (by 2nd birthday)</t>
  </si>
  <si>
    <t>1st MMR (on or after 1st birthday, and up to 2nd birthday)</t>
  </si>
  <si>
    <t>Hib/Men C booster or or after 1st birthday, and up to 2nd birthday)</t>
  </si>
  <si>
    <t>Hib/MenC booster (on or after 1st birthday, and up to 2nd birthday)</t>
  </si>
  <si>
    <t>Pneumococcal booster (on or after 1st birthday, and up to 2nd birthday)</t>
  </si>
  <si>
    <t>2nd MenC (by 1st birthday - of those aged 24 months)</t>
  </si>
  <si>
    <t>2nd MenC (by 1st birthday - of those aged 5 years)</t>
  </si>
  <si>
    <t>Hib (by first birthday - of those aged 5 years)</t>
  </si>
  <si>
    <t>2nd dose of Pneumococcal vaccine (by 1st birthday)</t>
  </si>
  <si>
    <t>2nd dose of Pneumococcal vaccine (by 1st birthday - of those aged 5 years)</t>
  </si>
  <si>
    <t>Pneumococcal booster (on or after 1st birthday, and up to 5th birthday)</t>
  </si>
  <si>
    <t>2nd MMR (by 5th birthday, where first dose was on or after 1st birthday)</t>
  </si>
  <si>
    <t>1st MMR (on or after 1st birthday - of those aged 5 years)</t>
  </si>
  <si>
    <t>Hib/Men C booster (on or after 1st birthday and up to 5th birthday)</t>
  </si>
  <si>
    <t>Pre-school booster (by 5th birthday)</t>
  </si>
  <si>
    <t>3rd  5 in 1 vaccination (by fifth birthday)</t>
  </si>
  <si>
    <t>The data is split into age cohorts. Immunisations for children aged 1, 2, and 5. Where possible, for each cohort the immunisations for all ages are shown. This means that for the age 5 cohort (for example) the vaccine coverage of these children at ages other than 5 are shown.</t>
  </si>
  <si>
    <t>Great Britain. Department for Education. (2008).The Bercow Report: A Review of Services for Children and Young People (0-19) with Speech, Language and
 Communication Needs. Retrieved from</t>
  </si>
  <si>
    <r>
      <rPr>
        <b/>
        <sz val="11"/>
        <color theme="1"/>
        <rFont val="Calibri"/>
        <family val="2"/>
        <scheme val="minor"/>
      </rPr>
      <t xml:space="preserve">Statistical issues: </t>
    </r>
    <r>
      <rPr>
        <sz val="11"/>
        <color theme="1"/>
        <rFont val="Calibri"/>
        <family val="2"/>
        <scheme val="minor"/>
      </rPr>
      <t>The data shows the number and percentage of babies born of weight less than 2.5kg. The data relates to 2013 only. Single year data should be treated with caution.</t>
    </r>
  </si>
  <si>
    <t>Number of babies eligible for 6 week check (2014/15)</t>
  </si>
  <si>
    <t>Number of babies not checked 2014/15</t>
  </si>
  <si>
    <t>Number of babies receiving 6 week check (2014/15)</t>
  </si>
  <si>
    <t>% of eligible babies checked (2014/15)</t>
  </si>
  <si>
    <t>Number of babies exclusively breastfed (2014/15)</t>
  </si>
  <si>
    <t>Number of babies partially or exclusively breastfed (2014/15)</t>
  </si>
  <si>
    <t>% of babies exclusively breastfed (2014/15)</t>
  </si>
  <si>
    <t>% of babies breastfed (partially and exclusively) (2014/15)</t>
  </si>
  <si>
    <t>Number of babies partially breastfed (2014/15)</t>
  </si>
  <si>
    <t>England figures for same period (2014/15): 30.1% breastfed exclusively, 43.8% breastfed (exclusively and partially)</t>
  </si>
  <si>
    <t>babies exclusively breastfed</t>
  </si>
  <si>
    <t>babies partially and exclusively breastfed</t>
  </si>
  <si>
    <t>Maybridge</t>
  </si>
  <si>
    <t>CFC Group - Horsham Rural</t>
  </si>
  <si>
    <t>Breastfeeding 2014/15 (based on postcode of mother)</t>
  </si>
  <si>
    <t>Breastfeeding (2014/15) - based on postcode of GP (assigned to CFC area)</t>
  </si>
  <si>
    <t xml:space="preserve">More information on the Health4Families programme can be found here: </t>
  </si>
  <si>
    <t>West Sussex Health4Families Programme (formerly Healthy Children and Family Centre Programme</t>
  </si>
  <si>
    <r>
      <rPr>
        <b/>
        <sz val="11"/>
        <color theme="1"/>
        <rFont val="Calibri"/>
        <family val="2"/>
        <scheme val="minor"/>
      </rPr>
      <t xml:space="preserve">Statistical Issues: </t>
    </r>
    <r>
      <rPr>
        <sz val="11"/>
        <color theme="1"/>
        <rFont val="Calibri"/>
        <family val="2"/>
        <scheme val="minor"/>
      </rPr>
      <t>Similar statistical issues were identified when compiling the information relating to post-natal depression from 2014.</t>
    </r>
  </si>
  <si>
    <t>1. The data relate only to those women who have agreed to a 12 week visit and therefore not all mothers are included in the figures.</t>
  </si>
  <si>
    <r>
      <rPr>
        <i/>
        <sz val="11"/>
        <rFont val="Calibri"/>
        <family val="2"/>
        <scheme val="minor"/>
      </rPr>
      <t>4. The figures shown relate to the calendar year 2011</t>
    </r>
    <r>
      <rPr>
        <i/>
        <sz val="11"/>
        <color theme="1"/>
        <rFont val="Calibri"/>
        <family val="2"/>
        <scheme val="minor"/>
      </rPr>
      <t xml:space="preserve">. </t>
    </r>
  </si>
  <si>
    <r>
      <rPr>
        <i/>
        <sz val="11"/>
        <rFont val="Calibri"/>
        <family val="2"/>
        <scheme val="minor"/>
      </rPr>
      <t>4. The figures shown relate to the calendar year 2014</t>
    </r>
    <r>
      <rPr>
        <i/>
        <sz val="11"/>
        <color theme="1"/>
        <rFont val="Calibri"/>
        <family val="2"/>
        <scheme val="minor"/>
      </rPr>
      <t>.</t>
    </r>
  </si>
  <si>
    <t>3. Some of the data did not have a valid postcode but is included in the figures below.</t>
  </si>
  <si>
    <t>3. Mother's may answer "yes" to the Whooley questionnaire but may refue to take the EPDS questionnaire</t>
  </si>
  <si>
    <t>2. Mother's may answer "yes" to the Whooley questionnaire but may refuse to take the EPDS questionnaire</t>
  </si>
  <si>
    <r>
      <rPr>
        <b/>
        <sz val="11"/>
        <color theme="1"/>
        <rFont val="Calibri"/>
        <family val="2"/>
        <scheme val="minor"/>
      </rPr>
      <t xml:space="preserve">Source: </t>
    </r>
    <r>
      <rPr>
        <sz val="11"/>
        <color theme="1"/>
        <rFont val="Calibri"/>
        <family val="2"/>
        <scheme val="minor"/>
      </rPr>
      <t>CHB (CHIS)</t>
    </r>
  </si>
  <si>
    <t>Data from 4,353 women were recorded in the HV 12 week check database. Of these records, 365 did not have a valid postcode, or the postcode was omitted. It is not known where in West Sussex these women reside, and so these records are not included at lower geographies, although these data have been included for countywide calculations.</t>
  </si>
  <si>
    <r>
      <rPr>
        <b/>
        <sz val="11"/>
        <color theme="1"/>
        <rFont val="Calibri"/>
        <family val="2"/>
        <scheme val="minor"/>
      </rPr>
      <t>Statistical Issues</t>
    </r>
    <r>
      <rPr>
        <sz val="11"/>
        <color theme="1"/>
        <rFont val="Calibri"/>
        <family val="2"/>
        <scheme val="minor"/>
      </rPr>
      <t>:  This data relates to 2014. The data were collected as part of the 12 week check. Information provided relating to smoking at time of delivery was therefore collected retrospectively. Only “yes” and “no” responses have been included. Non-responses and “don’t know” responses have been removed from these calculations. This means that the total number of responses to each question may differ.</t>
    </r>
  </si>
  <si>
    <t>At the time of booking, 477 women (11.0%) of the 4,343 who provided information said that they smoked</t>
  </si>
  <si>
    <t>At the time of delivery, 366 women (8.4%) of the 4,343 who provided information said that the smoked</t>
  </si>
  <si>
    <t>At the time of their 12 week check, 426 women (9.9%) of the 4,318 who provided information said that they smoked</t>
  </si>
  <si>
    <t>Mothers were asked whether anyone (including themselves) smoked at home. 19.1% (811 of the 4,245 women who answered the question) said that there was someone at home who smoked.</t>
  </si>
  <si>
    <t>N smoking at booking</t>
  </si>
  <si>
    <t>Total responders (at booking)</t>
  </si>
  <si>
    <t>% smoking at booking</t>
  </si>
  <si>
    <t>N smoking at delivery</t>
  </si>
  <si>
    <t>Total responders (at delivery)</t>
  </si>
  <si>
    <t>% smoking at delivery</t>
  </si>
  <si>
    <t>N current smokers</t>
  </si>
  <si>
    <t>Total responders (at 12 weeks)</t>
  </si>
  <si>
    <t>% current smokers</t>
  </si>
  <si>
    <t>LCLcur</t>
  </si>
  <si>
    <t>UCLcur</t>
  </si>
  <si>
    <t>N smoking in the home</t>
  </si>
  <si>
    <t>Total respondents (smoking in the home)</t>
  </si>
  <si>
    <t>% smokers in the home</t>
  </si>
  <si>
    <t>LCLhome</t>
  </si>
  <si>
    <t>UCLhome</t>
  </si>
  <si>
    <t>Q1 - booking</t>
  </si>
  <si>
    <t>Q2 - delivery</t>
  </si>
  <si>
    <t>Q3 - 12 week check</t>
  </si>
  <si>
    <t>Q4 - in the home</t>
  </si>
  <si>
    <t>Maternal Smoking 2014</t>
  </si>
  <si>
    <t>Reception Pupils: 2014/15</t>
  </si>
  <si>
    <t>Year 6 Pupils: 2014/15</t>
  </si>
  <si>
    <t>Source: ONS Mid-Year Estimates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</si>
</sst>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hh:mmAM/PM\ dddd\ dd\ mmmm\ yyyy"/>
    <numFmt numFmtId="165" formatCode="0.0%"/>
    <numFmt numFmtId="166" formatCode="_-* #,##0_-;\-* #,##0_-;_-* &quot;-&quot;??_-;_-@_-"/>
    <numFmt numFmtId="167" formatCode="0.0"/>
    <numFmt numFmtId="168" formatCode="#.00"/>
    <numFmt numFmtId="169" formatCode="#,##0_ ;\-#,##0\ "/>
    <numFmt numFmtId="170" formatCode="0.00000"/>
    <numFmt numFmtId="171" formatCode="0.000%"/>
  </numFmts>
  <fonts count="71" x14ac:knownFonts="1">
    <font>
      <sz val="11"/>
      <color theme="1"/>
      <name val="Verdana"/>
      <family val="2"/>
    </font>
    <font>
      <sz val="11"/>
      <color theme="1"/>
      <name val="Verdana"/>
      <family val="2"/>
    </font>
    <font>
      <sz val="11"/>
      <color theme="1"/>
      <name val="Calibri"/>
      <family val="2"/>
      <scheme val="minor"/>
    </font>
    <font>
      <b/>
      <sz val="10"/>
      <color theme="1"/>
      <name val="Calibri"/>
      <family val="2"/>
      <scheme val="minor"/>
    </font>
    <font>
      <sz val="10"/>
      <color theme="1"/>
      <name val="Calibri"/>
      <family val="2"/>
      <scheme val="minor"/>
    </font>
    <font>
      <b/>
      <sz val="12"/>
      <color theme="0"/>
      <name val="Calibri"/>
      <family val="2"/>
      <scheme val="minor"/>
    </font>
    <font>
      <sz val="11"/>
      <color theme="0"/>
      <name val="Calibri"/>
      <family val="2"/>
      <scheme val="minor"/>
    </font>
    <font>
      <b/>
      <sz val="14"/>
      <color theme="1"/>
      <name val="Calibri"/>
      <family val="2"/>
      <scheme val="minor"/>
    </font>
    <font>
      <b/>
      <sz val="11"/>
      <color theme="1"/>
      <name val="Calibri"/>
      <family val="2"/>
      <scheme val="minor"/>
    </font>
    <font>
      <b/>
      <sz val="11"/>
      <name val="Calibri"/>
      <family val="2"/>
      <scheme val="minor"/>
    </font>
    <font>
      <sz val="9"/>
      <color theme="1"/>
      <name val="Calibri"/>
      <family val="2"/>
      <scheme val="minor"/>
    </font>
    <font>
      <sz val="10"/>
      <name val="Calibri"/>
      <family val="2"/>
      <scheme val="minor"/>
    </font>
    <font>
      <sz val="9"/>
      <color indexed="81"/>
      <name val="Tahoma"/>
      <family val="2"/>
    </font>
    <font>
      <b/>
      <sz val="9"/>
      <color indexed="81"/>
      <name val="Tahoma"/>
      <family val="2"/>
    </font>
    <font>
      <sz val="10"/>
      <color indexed="8"/>
      <name val="Arial"/>
      <family val="2"/>
    </font>
    <font>
      <sz val="10"/>
      <name val="Arial"/>
      <family val="2"/>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color theme="1"/>
      <name val="Arial"/>
      <family val="2"/>
    </font>
    <font>
      <sz val="11"/>
      <color theme="0"/>
      <name val="Verdana"/>
      <family val="2"/>
    </font>
    <font>
      <sz val="11"/>
      <name val="Calibri"/>
      <family val="2"/>
      <scheme val="minor"/>
    </font>
    <font>
      <b/>
      <sz val="12"/>
      <color theme="1"/>
      <name val="Calibri"/>
      <family val="2"/>
      <scheme val="minor"/>
    </font>
    <font>
      <sz val="12"/>
      <color theme="1"/>
      <name val="Calibri"/>
      <family val="2"/>
      <scheme val="minor"/>
    </font>
    <font>
      <sz val="9"/>
      <color theme="0"/>
      <name val="Calibri"/>
      <family val="2"/>
      <scheme val="minor"/>
    </font>
    <font>
      <sz val="10"/>
      <name val="Arial"/>
      <family val="2"/>
    </font>
    <font>
      <sz val="8"/>
      <color theme="1"/>
      <name val="Gill Sans MT"/>
      <family val="2"/>
    </font>
    <font>
      <sz val="8"/>
      <color theme="1"/>
      <name val="Calibri"/>
      <family val="2"/>
      <scheme val="minor"/>
    </font>
    <font>
      <b/>
      <sz val="10"/>
      <name val="Arial"/>
      <family val="2"/>
    </font>
    <font>
      <b/>
      <sz val="8"/>
      <name val="Arial"/>
      <family val="2"/>
    </font>
    <font>
      <sz val="8"/>
      <name val="Arial"/>
      <family val="2"/>
    </font>
    <font>
      <i/>
      <sz val="11"/>
      <color theme="1"/>
      <name val="Calibri"/>
      <family val="2"/>
      <scheme val="minor"/>
    </font>
    <font>
      <b/>
      <i/>
      <u/>
      <sz val="11"/>
      <color theme="1"/>
      <name val="Calibri"/>
      <family val="2"/>
      <scheme val="minor"/>
    </font>
    <font>
      <b/>
      <u/>
      <sz val="11"/>
      <color theme="1"/>
      <name val="Calibri"/>
      <family val="2"/>
      <scheme val="minor"/>
    </font>
    <font>
      <sz val="11"/>
      <name val="Verdana"/>
      <family val="2"/>
    </font>
    <font>
      <b/>
      <sz val="10"/>
      <name val="Calibri"/>
      <family val="2"/>
      <scheme val="minor"/>
    </font>
    <font>
      <b/>
      <sz val="12"/>
      <name val="Calibri"/>
      <family val="2"/>
      <scheme val="minor"/>
    </font>
    <font>
      <b/>
      <i/>
      <sz val="11"/>
      <color theme="1"/>
      <name val="Calibri"/>
      <family val="2"/>
      <scheme val="minor"/>
    </font>
    <font>
      <b/>
      <i/>
      <sz val="11"/>
      <color theme="4"/>
      <name val="Calibri"/>
      <family val="2"/>
      <scheme val="minor"/>
    </font>
    <font>
      <b/>
      <sz val="12"/>
      <color theme="4"/>
      <name val="Calibri"/>
      <family val="2"/>
      <scheme val="minor"/>
    </font>
    <font>
      <i/>
      <sz val="10"/>
      <name val="Calibri"/>
      <family val="2"/>
      <scheme val="minor"/>
    </font>
    <font>
      <i/>
      <sz val="10"/>
      <color indexed="9"/>
      <name val="Calibri"/>
      <family val="2"/>
      <scheme val="minor"/>
    </font>
    <font>
      <sz val="10"/>
      <color theme="0"/>
      <name val="Calibri"/>
      <family val="2"/>
      <scheme val="minor"/>
    </font>
    <font>
      <sz val="10"/>
      <color theme="1"/>
      <name val="Verdana"/>
      <family val="2"/>
    </font>
    <font>
      <sz val="8"/>
      <color theme="0"/>
      <name val="Calibri"/>
      <family val="2"/>
      <scheme val="minor"/>
    </font>
    <font>
      <u/>
      <sz val="11"/>
      <color theme="1"/>
      <name val="Calibri"/>
      <family val="2"/>
      <scheme val="minor"/>
    </font>
    <font>
      <b/>
      <sz val="11"/>
      <color rgb="FF000000"/>
      <name val="Calibri"/>
      <family val="2"/>
      <scheme val="minor"/>
    </font>
    <font>
      <sz val="11"/>
      <color rgb="FF000000"/>
      <name val="Calibri"/>
      <family val="2"/>
      <scheme val="minor"/>
    </font>
    <font>
      <i/>
      <sz val="11"/>
      <color rgb="FF000000"/>
      <name val="Calibri"/>
      <family val="2"/>
      <scheme val="minor"/>
    </font>
    <font>
      <u/>
      <sz val="11"/>
      <color indexed="12"/>
      <name val="Calibri"/>
      <family val="2"/>
      <scheme val="minor"/>
    </font>
    <font>
      <i/>
      <sz val="11"/>
      <name val="Calibri"/>
      <family val="2"/>
      <scheme val="minor"/>
    </font>
    <font>
      <sz val="11"/>
      <color rgb="FFFF0000"/>
      <name val="Verdana"/>
      <family val="2"/>
    </font>
    <font>
      <sz val="11"/>
      <color theme="5"/>
      <name val="Calibri"/>
      <family val="2"/>
      <scheme val="minor"/>
    </font>
    <font>
      <u/>
      <sz val="10"/>
      <color indexed="12"/>
      <name val="Calibri"/>
      <family val="2"/>
      <scheme val="minor"/>
    </font>
    <font>
      <b/>
      <sz val="10"/>
      <color theme="0"/>
      <name val="Calibri"/>
      <family val="2"/>
      <scheme val="minor"/>
    </font>
    <font>
      <b/>
      <sz val="11"/>
      <color theme="0"/>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39997558519241921"/>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92D050"/>
        <bgColor indexed="64"/>
      </patternFill>
    </fill>
    <fill>
      <patternFill patternType="solid">
        <fgColor rgb="FFCC0000"/>
        <bgColor indexed="64"/>
      </patternFill>
    </fill>
    <fill>
      <patternFill patternType="solid">
        <fgColor indexed="9"/>
        <bgColor indexed="64"/>
      </patternFill>
    </fill>
    <fill>
      <patternFill patternType="solid">
        <fgColor theme="6" tint="0.79998168889431442"/>
        <bgColor indexed="64"/>
      </patternFill>
    </fill>
    <fill>
      <patternFill patternType="solid">
        <fgColor theme="6" tint="0.59999389629810485"/>
        <bgColor indexed="64"/>
      </patternFill>
    </fill>
  </fills>
  <borders count="10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medium">
        <color theme="7"/>
      </right>
      <top/>
      <bottom style="thin">
        <color theme="0" tint="-0.249977111117893"/>
      </bottom>
      <diagonal/>
    </border>
    <border>
      <left style="thin">
        <color theme="0" tint="-0.249977111117893"/>
      </left>
      <right style="medium">
        <color theme="7"/>
      </right>
      <top/>
      <bottom style="thin">
        <color theme="0" tint="-0.249977111117893"/>
      </bottom>
      <diagonal/>
    </border>
    <border>
      <left style="thin">
        <color theme="0" tint="-0.249977111117893"/>
      </left>
      <right style="medium">
        <color theme="7"/>
      </right>
      <top style="thin">
        <color theme="0" tint="-0.249977111117893"/>
      </top>
      <bottom style="thin">
        <color theme="0" tint="-0.249977111117893"/>
      </bottom>
      <diagonal/>
    </border>
    <border>
      <left/>
      <right style="medium">
        <color theme="7"/>
      </right>
      <top style="thin">
        <color theme="0" tint="-0.249977111117893"/>
      </top>
      <bottom/>
      <diagonal/>
    </border>
    <border>
      <left style="thin">
        <color theme="0" tint="-0.249977111117893"/>
      </left>
      <right style="medium">
        <color theme="7"/>
      </right>
      <top style="thin">
        <color theme="0" tint="-0.249977111117893"/>
      </top>
      <bottom style="thin">
        <color theme="7"/>
      </bottom>
      <diagonal/>
    </border>
    <border>
      <left/>
      <right style="medium">
        <color theme="7"/>
      </right>
      <top style="thin">
        <color theme="0" tint="-0.249977111117893"/>
      </top>
      <bottom style="thin">
        <color theme="0" tint="-0.249977111117893"/>
      </bottom>
      <diagonal/>
    </border>
    <border>
      <left/>
      <right/>
      <top/>
      <bottom style="medium">
        <color theme="7"/>
      </bottom>
      <diagonal/>
    </border>
    <border>
      <left/>
      <right style="medium">
        <color theme="7"/>
      </right>
      <top/>
      <bottom style="medium">
        <color theme="7"/>
      </bottom>
      <diagonal/>
    </border>
    <border>
      <left/>
      <right style="thin">
        <color theme="0" tint="-0.249977111117893"/>
      </right>
      <top/>
      <bottom style="medium">
        <color theme="7"/>
      </bottom>
      <diagonal/>
    </border>
    <border>
      <left style="thin">
        <color theme="0" tint="-0.249977111117893"/>
      </left>
      <right/>
      <top/>
      <bottom style="medium">
        <color theme="7"/>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style="thin">
        <color indexed="64"/>
      </right>
      <top style="thin">
        <color indexed="64"/>
      </top>
      <bottom/>
      <diagonal/>
    </border>
    <border>
      <left style="thin">
        <color theme="0" tint="-0.249977111117893"/>
      </left>
      <right style="thin">
        <color theme="0" tint="-0.249977111117893"/>
      </right>
      <top style="thin">
        <color theme="0" tint="-0.249977111117893"/>
      </top>
      <bottom style="double">
        <color theme="7"/>
      </bottom>
      <diagonal/>
    </border>
    <border>
      <left style="thin">
        <color theme="0" tint="-0.249977111117893"/>
      </left>
      <right/>
      <top/>
      <bottom style="double">
        <color theme="7"/>
      </bottom>
      <diagonal/>
    </border>
    <border>
      <left/>
      <right/>
      <top/>
      <bottom style="double">
        <color theme="7"/>
      </bottom>
      <diagonal/>
    </border>
    <border>
      <left/>
      <right style="thin">
        <color theme="0" tint="-0.249977111117893"/>
      </right>
      <top/>
      <bottom style="double">
        <color theme="7"/>
      </bottom>
      <diagonal/>
    </border>
    <border>
      <left style="thin">
        <color theme="0" tint="-0.249977111117893"/>
      </left>
      <right/>
      <top style="double">
        <color theme="7"/>
      </top>
      <bottom style="double">
        <color theme="7"/>
      </bottom>
      <diagonal/>
    </border>
    <border>
      <left/>
      <right/>
      <top style="double">
        <color theme="7"/>
      </top>
      <bottom style="double">
        <color theme="7"/>
      </bottom>
      <diagonal/>
    </border>
    <border>
      <left/>
      <right style="thin">
        <color theme="0" tint="-0.249977111117893"/>
      </right>
      <top style="double">
        <color theme="7"/>
      </top>
      <bottom style="double">
        <color theme="7"/>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diagonal/>
    </border>
    <border>
      <left style="thin">
        <color indexed="9"/>
      </left>
      <right style="thin">
        <color indexed="9"/>
      </right>
      <top style="thin">
        <color indexed="9"/>
      </top>
      <bottom style="thin">
        <color indexed="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249977111117893"/>
      </left>
      <right/>
      <top style="double">
        <color theme="7"/>
      </top>
      <bottom style="thin">
        <color theme="0" tint="-0.249977111117893"/>
      </bottom>
      <diagonal/>
    </border>
    <border>
      <left/>
      <right/>
      <top style="double">
        <color theme="7"/>
      </top>
      <bottom style="thin">
        <color theme="0" tint="-0.249977111117893"/>
      </bottom>
      <diagonal/>
    </border>
    <border>
      <left/>
      <right style="thin">
        <color theme="0" tint="-0.249977111117893"/>
      </right>
      <top style="double">
        <color theme="7"/>
      </top>
      <bottom style="thin">
        <color theme="0" tint="-0.249977111117893"/>
      </bottom>
      <diagonal/>
    </border>
    <border>
      <left style="thin">
        <color theme="0" tint="-0.249977111117893"/>
      </left>
      <right/>
      <top style="thin">
        <color theme="0" tint="-0.249977111117893"/>
      </top>
      <bottom style="double">
        <color theme="7"/>
      </bottom>
      <diagonal/>
    </border>
    <border>
      <left/>
      <right/>
      <top style="thin">
        <color theme="0" tint="-0.249977111117893"/>
      </top>
      <bottom style="double">
        <color theme="7"/>
      </bottom>
      <diagonal/>
    </border>
    <border>
      <left/>
      <right style="thin">
        <color theme="0" tint="-0.249977111117893"/>
      </right>
      <top style="thin">
        <color theme="0" tint="-0.249977111117893"/>
      </top>
      <bottom style="double">
        <color theme="7"/>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theme="0" tint="-0.34998626667073579"/>
      </bottom>
      <diagonal/>
    </border>
    <border>
      <left/>
      <right style="thin">
        <color theme="0" tint="-0.249977111117893"/>
      </right>
      <top/>
      <bottom style="thin">
        <color theme="0" tint="-0.34998626667073579"/>
      </bottom>
      <diagonal/>
    </border>
    <border>
      <left/>
      <right/>
      <top style="thin">
        <color theme="0" tint="-0.34998626667073579"/>
      </top>
      <bottom/>
      <diagonal/>
    </border>
    <border>
      <left/>
      <right style="thin">
        <color theme="0" tint="-0.249977111117893"/>
      </right>
      <top style="thin">
        <color theme="0" tint="-0.34998626667073579"/>
      </top>
      <bottom/>
      <diagonal/>
    </border>
    <border>
      <left style="thin">
        <color theme="0" tint="-0.249977111117893"/>
      </left>
      <right/>
      <top style="double">
        <color theme="7"/>
      </top>
      <bottom/>
      <diagonal/>
    </border>
    <border>
      <left/>
      <right/>
      <top style="double">
        <color theme="7"/>
      </top>
      <bottom/>
      <diagonal/>
    </border>
    <border>
      <left/>
      <right style="thin">
        <color theme="0" tint="-0.249977111117893"/>
      </right>
      <top style="double">
        <color theme="7"/>
      </top>
      <bottom/>
      <diagonal/>
    </border>
    <border>
      <left style="thin">
        <color theme="0" tint="-0.249977111117893"/>
      </left>
      <right style="thin">
        <color theme="0" tint="-0.249977111117893"/>
      </right>
      <top style="thin">
        <color theme="7"/>
      </top>
      <bottom style="thin">
        <color theme="0" tint="-0.249977111117893"/>
      </bottom>
      <diagonal/>
    </border>
    <border>
      <left style="thin">
        <color theme="0" tint="-0.249977111117893"/>
      </left>
      <right/>
      <top style="thin">
        <color theme="7"/>
      </top>
      <bottom style="thin">
        <color theme="0" tint="-0.249977111117893"/>
      </bottom>
      <diagonal/>
    </border>
    <border>
      <left/>
      <right/>
      <top style="thin">
        <color theme="7"/>
      </top>
      <bottom style="thin">
        <color theme="0" tint="-0.249977111117893"/>
      </bottom>
      <diagonal/>
    </border>
    <border>
      <left/>
      <right style="thin">
        <color theme="0" tint="-0.249977111117893"/>
      </right>
      <top style="thin">
        <color theme="7"/>
      </top>
      <bottom style="thin">
        <color theme="0" tint="-0.249977111117893"/>
      </bottom>
      <diagonal/>
    </border>
    <border>
      <left style="thin">
        <color theme="0" tint="-0.249977111117893"/>
      </left>
      <right style="thin">
        <color theme="0" tint="-0.249977111117893"/>
      </right>
      <top style="double">
        <color theme="7"/>
      </top>
      <bottom style="thin">
        <color theme="0" tint="-0.249977111117893"/>
      </bottom>
      <diagonal/>
    </border>
    <border>
      <left style="thin">
        <color theme="0" tint="-0.249977111117893"/>
      </left>
      <right/>
      <top/>
      <bottom style="double">
        <color theme="7" tint="0.39997558519241921"/>
      </bottom>
      <diagonal/>
    </border>
    <border>
      <left/>
      <right/>
      <top/>
      <bottom style="double">
        <color theme="7" tint="0.39997558519241921"/>
      </bottom>
      <diagonal/>
    </border>
    <border>
      <left/>
      <right style="thin">
        <color theme="0" tint="-0.249977111117893"/>
      </right>
      <top/>
      <bottom style="double">
        <color theme="7" tint="0.39997558519241921"/>
      </bottom>
      <diagonal/>
    </border>
    <border>
      <left style="thin">
        <color theme="0" tint="-0.249977111117893"/>
      </left>
      <right style="thin">
        <color theme="0" tint="-0.249977111117893"/>
      </right>
      <top style="thin">
        <color theme="0" tint="-0.249977111117893"/>
      </top>
      <bottom style="double">
        <color theme="7" tint="0.39997558519241921"/>
      </bottom>
      <diagonal/>
    </border>
    <border>
      <left style="thin">
        <color theme="0" tint="-0.249977111117893"/>
      </left>
      <right/>
      <top style="thin">
        <color theme="0" tint="-0.249977111117893"/>
      </top>
      <bottom style="double">
        <color theme="7" tint="0.39997558519241921"/>
      </bottom>
      <diagonal/>
    </border>
    <border>
      <left/>
      <right/>
      <top style="thin">
        <color theme="0" tint="-0.249977111117893"/>
      </top>
      <bottom style="double">
        <color theme="7" tint="0.39997558519241921"/>
      </bottom>
      <diagonal/>
    </border>
    <border>
      <left/>
      <right style="thin">
        <color theme="0" tint="-0.249977111117893"/>
      </right>
      <top style="thin">
        <color theme="0" tint="-0.249977111117893"/>
      </top>
      <bottom style="double">
        <color theme="7" tint="0.39997558519241921"/>
      </bottom>
      <diagonal/>
    </border>
    <border>
      <left style="thin">
        <color theme="0" tint="-0.249977111117893"/>
      </left>
      <right style="thin">
        <color theme="0" tint="-0.249977111117893"/>
      </right>
      <top style="thin">
        <color theme="0" tint="-0.249977111117893"/>
      </top>
      <bottom style="thin">
        <color theme="7"/>
      </bottom>
      <diagonal/>
    </border>
    <border>
      <left style="thin">
        <color theme="0" tint="-0.249977111117893"/>
      </left>
      <right/>
      <top/>
      <bottom style="thin">
        <color theme="7"/>
      </bottom>
      <diagonal/>
    </border>
    <border>
      <left/>
      <right/>
      <top/>
      <bottom style="thin">
        <color theme="7"/>
      </bottom>
      <diagonal/>
    </border>
    <border>
      <left/>
      <right style="thin">
        <color theme="0" tint="-0.249977111117893"/>
      </right>
      <top/>
      <bottom style="thin">
        <color theme="7"/>
      </bottom>
      <diagonal/>
    </border>
    <border>
      <left style="thin">
        <color theme="0" tint="-0.249977111117893"/>
      </left>
      <right/>
      <top style="thin">
        <color theme="7"/>
      </top>
      <bottom/>
      <diagonal/>
    </border>
    <border>
      <left/>
      <right/>
      <top style="thin">
        <color theme="7"/>
      </top>
      <bottom/>
      <diagonal/>
    </border>
    <border>
      <left/>
      <right style="thin">
        <color theme="0" tint="-0.249977111117893"/>
      </right>
      <top style="thin">
        <color theme="7"/>
      </top>
      <bottom/>
      <diagonal/>
    </border>
    <border>
      <left/>
      <right style="thin">
        <color theme="7"/>
      </right>
      <top/>
      <bottom/>
      <diagonal/>
    </border>
    <border>
      <left/>
      <right style="thin">
        <color theme="7"/>
      </right>
      <top/>
      <bottom style="thin">
        <color indexed="64"/>
      </bottom>
      <diagonal/>
    </border>
    <border>
      <left/>
      <right/>
      <top style="thin">
        <color indexed="64"/>
      </top>
      <bottom/>
      <diagonal/>
    </border>
  </borders>
  <cellStyleXfs count="66">
    <xf numFmtId="0" fontId="0" fillId="0" borderId="0"/>
    <xf numFmtId="9" fontId="1" fillId="0" borderId="0" applyFont="0" applyFill="0" applyBorder="0" applyAlignment="0" applyProtection="0"/>
    <xf numFmtId="43" fontId="1" fillId="0" borderId="0" applyFont="0" applyFill="0" applyBorder="0" applyAlignment="0" applyProtection="0"/>
    <xf numFmtId="0" fontId="14" fillId="0" borderId="0">
      <alignment vertical="top"/>
    </xf>
    <xf numFmtId="0" fontId="15" fillId="0" borderId="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6" borderId="0" applyNumberFormat="0" applyBorder="0" applyAlignment="0" applyProtection="0"/>
    <xf numFmtId="0" fontId="17" fillId="19" borderId="0" applyNumberFormat="0" applyBorder="0" applyAlignment="0" applyProtection="0"/>
    <xf numFmtId="0" fontId="18" fillId="20"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7" borderId="0" applyNumberFormat="0" applyBorder="0" applyAlignment="0" applyProtection="0"/>
    <xf numFmtId="0" fontId="19" fillId="11" borderId="0" applyNumberFormat="0" applyBorder="0" applyAlignment="0" applyProtection="0"/>
    <xf numFmtId="0" fontId="20" fillId="28" borderId="21" applyNumberFormat="0" applyAlignment="0" applyProtection="0"/>
    <xf numFmtId="0" fontId="21" fillId="29" borderId="22" applyNumberFormat="0" applyAlignment="0" applyProtection="0"/>
    <xf numFmtId="43" fontId="15" fillId="0" borderId="0" applyFont="0" applyFill="0" applyBorder="0" applyAlignment="0" applyProtection="0"/>
    <xf numFmtId="0" fontId="22" fillId="0" borderId="0" applyNumberFormat="0" applyFill="0" applyBorder="0" applyAlignment="0" applyProtection="0"/>
    <xf numFmtId="0" fontId="23" fillId="12" borderId="0" applyNumberFormat="0" applyBorder="0" applyAlignment="0" applyProtection="0"/>
    <xf numFmtId="0" fontId="24" fillId="0" borderId="23" applyNumberFormat="0" applyFill="0" applyAlignment="0" applyProtection="0"/>
    <xf numFmtId="0" fontId="25" fillId="0" borderId="24" applyNumberFormat="0" applyFill="0" applyAlignment="0" applyProtection="0"/>
    <xf numFmtId="0" fontId="26" fillId="0" borderId="25" applyNumberFormat="0" applyFill="0" applyAlignment="0" applyProtection="0"/>
    <xf numFmtId="0" fontId="26" fillId="0" borderId="0" applyNumberFormat="0" applyFill="0" applyBorder="0" applyAlignment="0" applyProtection="0"/>
    <xf numFmtId="0" fontId="27" fillId="15" borderId="21" applyNumberFormat="0" applyAlignment="0" applyProtection="0"/>
    <xf numFmtId="0" fontId="28" fillId="0" borderId="26" applyNumberFormat="0" applyFill="0" applyAlignment="0" applyProtection="0"/>
    <xf numFmtId="0" fontId="29" fillId="30" borderId="0" applyNumberFormat="0" applyBorder="0" applyAlignment="0" applyProtection="0"/>
    <xf numFmtId="0" fontId="15" fillId="0" borderId="0"/>
    <xf numFmtId="0" fontId="34" fillId="0" borderId="0"/>
    <xf numFmtId="0" fontId="2" fillId="0" borderId="0"/>
    <xf numFmtId="0" fontId="15" fillId="31" borderId="27" applyNumberFormat="0" applyFont="0" applyAlignment="0" applyProtection="0"/>
    <xf numFmtId="0" fontId="30" fillId="28" borderId="28" applyNumberFormat="0" applyAlignment="0" applyProtection="0"/>
    <xf numFmtId="9" fontId="15" fillId="0" borderId="0" applyFont="0" applyFill="0" applyBorder="0" applyAlignment="0" applyProtection="0"/>
    <xf numFmtId="9" fontId="15" fillId="0" borderId="0" applyFont="0" applyFill="0" applyBorder="0" applyAlignment="0" applyProtection="0"/>
    <xf numFmtId="0" fontId="31" fillId="0" borderId="0" applyNumberFormat="0" applyFill="0" applyBorder="0" applyAlignment="0" applyProtection="0"/>
    <xf numFmtId="0" fontId="32" fillId="0" borderId="29" applyNumberFormat="0" applyFill="0" applyAlignment="0" applyProtection="0"/>
    <xf numFmtId="0" fontId="33" fillId="0" borderId="0" applyNumberFormat="0" applyFill="0" applyBorder="0" applyAlignment="0" applyProtection="0"/>
    <xf numFmtId="0" fontId="15" fillId="0" borderId="0"/>
    <xf numFmtId="0" fontId="16" fillId="0" borderId="0" applyNumberFormat="0" applyFill="0" applyBorder="0" applyAlignment="0" applyProtection="0">
      <alignment vertical="top"/>
      <protection locked="0"/>
    </xf>
    <xf numFmtId="0" fontId="2" fillId="0" borderId="0"/>
    <xf numFmtId="9" fontId="15" fillId="0" borderId="0" applyFont="0" applyFill="0" applyBorder="0" applyAlignment="0" applyProtection="0"/>
    <xf numFmtId="0" fontId="15" fillId="0" borderId="0"/>
    <xf numFmtId="0" fontId="40" fillId="0" borderId="0"/>
    <xf numFmtId="0" fontId="27" fillId="15" borderId="41" applyNumberFormat="0" applyAlignment="0" applyProtection="0"/>
    <xf numFmtId="0" fontId="20" fillId="28" borderId="41" applyNumberFormat="0" applyAlignment="0" applyProtection="0"/>
    <xf numFmtId="0" fontId="15" fillId="31" borderId="42" applyNumberFormat="0" applyFont="0" applyAlignment="0" applyProtection="0"/>
    <xf numFmtId="0" fontId="30" fillId="28" borderId="43" applyNumberFormat="0" applyAlignment="0" applyProtection="0"/>
    <xf numFmtId="0" fontId="32" fillId="0" borderId="44" applyNumberFormat="0" applyFill="0" applyAlignment="0" applyProtection="0"/>
    <xf numFmtId="0" fontId="20" fillId="28" borderId="45" applyNumberFormat="0" applyAlignment="0" applyProtection="0"/>
    <xf numFmtId="0" fontId="27" fillId="15" borderId="45" applyNumberFormat="0" applyAlignment="0" applyProtection="0"/>
    <xf numFmtId="0" fontId="16" fillId="0" borderId="0" applyNumberFormat="0" applyFill="0" applyBorder="0" applyAlignment="0" applyProtection="0">
      <alignment vertical="top"/>
      <protection locked="0"/>
    </xf>
  </cellStyleXfs>
  <cellXfs count="1208">
    <xf numFmtId="0" fontId="0" fillId="0" borderId="0" xfId="0"/>
    <xf numFmtId="0" fontId="0" fillId="2" borderId="0" xfId="0" applyFill="1"/>
    <xf numFmtId="0" fontId="2" fillId="2" borderId="0" xfId="0" applyFont="1" applyFill="1"/>
    <xf numFmtId="0" fontId="4" fillId="2" borderId="0" xfId="0" applyFont="1" applyFill="1"/>
    <xf numFmtId="0" fontId="4" fillId="2" borderId="1" xfId="0" applyFont="1" applyFill="1" applyBorder="1"/>
    <xf numFmtId="0" fontId="2" fillId="3" borderId="0" xfId="0" applyFont="1" applyFill="1"/>
    <xf numFmtId="0" fontId="0" fillId="3" borderId="0" xfId="0" applyFill="1"/>
    <xf numFmtId="164" fontId="2" fillId="3" borderId="0" xfId="0" applyNumberFormat="1" applyFont="1" applyFill="1"/>
    <xf numFmtId="0" fontId="4" fillId="2" borderId="2" xfId="0" applyFont="1" applyFill="1" applyBorder="1"/>
    <xf numFmtId="0" fontId="4" fillId="2" borderId="3" xfId="0" applyFont="1" applyFill="1" applyBorder="1"/>
    <xf numFmtId="0" fontId="2" fillId="2" borderId="2" xfId="0" applyFont="1" applyFill="1" applyBorder="1"/>
    <xf numFmtId="0" fontId="4" fillId="2" borderId="0" xfId="0" applyFont="1" applyFill="1" applyBorder="1"/>
    <xf numFmtId="0" fontId="2" fillId="2" borderId="0" xfId="0" applyFont="1" applyFill="1" applyBorder="1"/>
    <xf numFmtId="0" fontId="3" fillId="2" borderId="1" xfId="0" applyFont="1" applyFill="1" applyBorder="1" applyAlignment="1">
      <alignment wrapText="1"/>
    </xf>
    <xf numFmtId="0" fontId="3" fillId="2" borderId="3" xfId="0" applyFont="1" applyFill="1" applyBorder="1" applyAlignment="1">
      <alignment wrapText="1"/>
    </xf>
    <xf numFmtId="0" fontId="4" fillId="2" borderId="4" xfId="0" applyFont="1" applyFill="1" applyBorder="1"/>
    <xf numFmtId="0" fontId="4" fillId="2" borderId="5" xfId="0" applyFont="1" applyFill="1" applyBorder="1"/>
    <xf numFmtId="0" fontId="3" fillId="2" borderId="5" xfId="0" applyFont="1" applyFill="1" applyBorder="1" applyAlignment="1">
      <alignment horizontal="center" wrapText="1"/>
    </xf>
    <xf numFmtId="165" fontId="4" fillId="2" borderId="4" xfId="1" applyNumberFormat="1" applyFont="1" applyFill="1" applyBorder="1"/>
    <xf numFmtId="165" fontId="4" fillId="2" borderId="0" xfId="1" applyNumberFormat="1" applyFont="1" applyFill="1"/>
    <xf numFmtId="165" fontId="4" fillId="2" borderId="0" xfId="1" applyNumberFormat="1" applyFont="1" applyFill="1" applyBorder="1"/>
    <xf numFmtId="165" fontId="4" fillId="2" borderId="5" xfId="1" applyNumberFormat="1" applyFont="1" applyFill="1" applyBorder="1"/>
    <xf numFmtId="165" fontId="4" fillId="2" borderId="1" xfId="1" applyNumberFormat="1" applyFont="1" applyFill="1" applyBorder="1"/>
    <xf numFmtId="164" fontId="6" fillId="2" borderId="0" xfId="0" applyNumberFormat="1" applyFont="1" applyFill="1"/>
    <xf numFmtId="165" fontId="4" fillId="2" borderId="0" xfId="0" applyNumberFormat="1" applyFont="1" applyFill="1"/>
    <xf numFmtId="165" fontId="4" fillId="2" borderId="1" xfId="0" applyNumberFormat="1" applyFont="1" applyFill="1" applyBorder="1"/>
    <xf numFmtId="0" fontId="7" fillId="2" borderId="0" xfId="0" applyFont="1" applyFill="1" applyBorder="1"/>
    <xf numFmtId="0" fontId="7" fillId="2" borderId="0" xfId="0" applyFont="1" applyFill="1"/>
    <xf numFmtId="0" fontId="8" fillId="2" borderId="0" xfId="0" applyFont="1" applyFill="1"/>
    <xf numFmtId="0" fontId="8" fillId="2" borderId="0" xfId="0" applyFont="1" applyFill="1" applyBorder="1"/>
    <xf numFmtId="0" fontId="9" fillId="5" borderId="11" xfId="0" applyFont="1" applyFill="1" applyBorder="1" applyAlignment="1">
      <alignment horizontal="center"/>
    </xf>
    <xf numFmtId="0" fontId="9" fillId="5" borderId="12" xfId="0" applyFont="1" applyFill="1" applyBorder="1" applyAlignment="1">
      <alignment horizontal="center"/>
    </xf>
    <xf numFmtId="0" fontId="9" fillId="6" borderId="12" xfId="0" applyFont="1" applyFill="1" applyBorder="1" applyAlignment="1">
      <alignment horizontal="center"/>
    </xf>
    <xf numFmtId="0" fontId="9" fillId="5" borderId="17" xfId="0" applyFont="1" applyFill="1" applyBorder="1" applyAlignment="1">
      <alignment horizontal="center"/>
    </xf>
    <xf numFmtId="0" fontId="8" fillId="5" borderId="17" xfId="0" applyFont="1" applyFill="1" applyBorder="1" applyAlignment="1">
      <alignment horizontal="center"/>
    </xf>
    <xf numFmtId="0" fontId="9" fillId="6" borderId="14" xfId="0" applyFont="1" applyFill="1" applyBorder="1" applyAlignment="1">
      <alignment horizontal="center"/>
    </xf>
    <xf numFmtId="0" fontId="8" fillId="6" borderId="14" xfId="0" applyFont="1" applyFill="1" applyBorder="1" applyAlignment="1">
      <alignment horizontal="center"/>
    </xf>
    <xf numFmtId="0" fontId="0" fillId="2" borderId="0" xfId="0" applyFill="1" applyBorder="1"/>
    <xf numFmtId="166" fontId="4" fillId="2" borderId="4" xfId="2" applyNumberFormat="1" applyFont="1" applyFill="1" applyBorder="1"/>
    <xf numFmtId="166" fontId="4" fillId="2" borderId="0" xfId="2" applyNumberFormat="1" applyFont="1" applyFill="1"/>
    <xf numFmtId="166" fontId="4" fillId="2" borderId="2" xfId="2" applyNumberFormat="1" applyFont="1" applyFill="1" applyBorder="1"/>
    <xf numFmtId="166" fontId="4" fillId="2" borderId="5" xfId="2" applyNumberFormat="1" applyFont="1" applyFill="1" applyBorder="1"/>
    <xf numFmtId="166" fontId="4" fillId="2" borderId="1" xfId="2" applyNumberFormat="1" applyFont="1" applyFill="1" applyBorder="1"/>
    <xf numFmtId="166" fontId="4" fillId="2" borderId="3" xfId="2" applyNumberFormat="1" applyFont="1" applyFill="1" applyBorder="1"/>
    <xf numFmtId="166" fontId="4" fillId="2" borderId="0" xfId="2" applyNumberFormat="1" applyFont="1" applyFill="1" applyBorder="1"/>
    <xf numFmtId="166" fontId="2" fillId="2" borderId="14" xfId="2" applyNumberFormat="1" applyFont="1" applyFill="1" applyBorder="1"/>
    <xf numFmtId="166" fontId="2" fillId="2" borderId="14" xfId="2" applyNumberFormat="1" applyFont="1" applyFill="1" applyBorder="1" applyAlignment="1">
      <alignment horizontal="right"/>
    </xf>
    <xf numFmtId="166" fontId="2" fillId="2" borderId="18" xfId="2" applyNumberFormat="1" applyFont="1" applyFill="1" applyBorder="1" applyAlignment="1">
      <alignment horizontal="right"/>
    </xf>
    <xf numFmtId="0" fontId="2" fillId="2" borderId="18" xfId="0" applyFont="1" applyFill="1" applyBorder="1" applyAlignment="1"/>
    <xf numFmtId="0" fontId="2" fillId="2" borderId="20" xfId="0" applyFont="1" applyFill="1" applyBorder="1" applyAlignment="1"/>
    <xf numFmtId="165" fontId="2" fillId="2" borderId="14" xfId="1" applyNumberFormat="1" applyFont="1" applyFill="1" applyBorder="1"/>
    <xf numFmtId="3" fontId="11" fillId="2" borderId="0" xfId="0" applyNumberFormat="1" applyFont="1" applyFill="1" applyBorder="1" applyAlignment="1">
      <alignment horizontal="right" vertical="top"/>
    </xf>
    <xf numFmtId="3" fontId="11" fillId="2" borderId="4" xfId="0" applyNumberFormat="1" applyFont="1" applyFill="1" applyBorder="1" applyAlignment="1">
      <alignment horizontal="right" vertical="top"/>
    </xf>
    <xf numFmtId="3" fontId="11" fillId="2" borderId="5" xfId="0" applyNumberFormat="1" applyFont="1" applyFill="1" applyBorder="1" applyAlignment="1">
      <alignment horizontal="right" vertical="top"/>
    </xf>
    <xf numFmtId="3" fontId="11" fillId="2" borderId="1" xfId="0" applyNumberFormat="1" applyFont="1" applyFill="1" applyBorder="1" applyAlignment="1">
      <alignment horizontal="right" vertical="top"/>
    </xf>
    <xf numFmtId="165" fontId="2" fillId="9" borderId="14" xfId="1" applyNumberFormat="1" applyFont="1" applyFill="1" applyBorder="1"/>
    <xf numFmtId="0" fontId="8" fillId="7" borderId="14"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8" borderId="14" xfId="0" applyFont="1" applyFill="1" applyBorder="1" applyAlignment="1">
      <alignment horizontal="center" vertical="center" wrapText="1"/>
    </xf>
    <xf numFmtId="0" fontId="8" fillId="8" borderId="18" xfId="0" applyFont="1" applyFill="1" applyBorder="1" applyAlignment="1">
      <alignment horizontal="center" vertical="center" wrapText="1"/>
    </xf>
    <xf numFmtId="0" fontId="2" fillId="8" borderId="14" xfId="0" applyFont="1" applyFill="1" applyBorder="1"/>
    <xf numFmtId="166" fontId="8" fillId="2" borderId="14" xfId="2" applyNumberFormat="1" applyFont="1" applyFill="1" applyBorder="1"/>
    <xf numFmtId="166" fontId="2" fillId="2" borderId="14" xfId="2" applyNumberFormat="1" applyFont="1" applyFill="1" applyBorder="1" applyAlignment="1">
      <alignment vertical="center"/>
    </xf>
    <xf numFmtId="0" fontId="2" fillId="2" borderId="0" xfId="0" applyFont="1" applyFill="1" applyBorder="1"/>
    <xf numFmtId="0" fontId="3" fillId="2" borderId="1" xfId="0" applyFont="1" applyFill="1" applyBorder="1" applyAlignment="1">
      <alignment horizontal="center" wrapText="1"/>
    </xf>
    <xf numFmtId="0" fontId="2" fillId="2" borderId="4" xfId="0" applyFont="1" applyFill="1" applyBorder="1"/>
    <xf numFmtId="166" fontId="4" fillId="2" borderId="1" xfId="2" applyNumberFormat="1" applyFont="1" applyFill="1" applyBorder="1" applyAlignment="1">
      <alignment horizontal="right"/>
    </xf>
    <xf numFmtId="0" fontId="3" fillId="2" borderId="5" xfId="0" applyFont="1" applyFill="1" applyBorder="1" applyAlignment="1">
      <alignment wrapText="1"/>
    </xf>
    <xf numFmtId="0" fontId="2" fillId="2" borderId="0" xfId="0" applyFont="1" applyFill="1" applyBorder="1"/>
    <xf numFmtId="0" fontId="0" fillId="2" borderId="0" xfId="0" applyFill="1"/>
    <xf numFmtId="0" fontId="2" fillId="2" borderId="4" xfId="0" applyFont="1" applyFill="1" applyBorder="1"/>
    <xf numFmtId="0" fontId="2" fillId="2" borderId="0" xfId="0" applyFont="1" applyFill="1" applyAlignment="1">
      <alignment horizontal="center" vertical="center"/>
    </xf>
    <xf numFmtId="0" fontId="36" fillId="2" borderId="0" xfId="0" applyFont="1" applyFill="1"/>
    <xf numFmtId="0" fontId="6" fillId="2" borderId="0" xfId="0" applyFont="1" applyFill="1"/>
    <xf numFmtId="166" fontId="6" fillId="2" borderId="0" xfId="0" applyNumberFormat="1" applyFont="1" applyFill="1"/>
    <xf numFmtId="1" fontId="6" fillId="2" borderId="0" xfId="1" applyNumberFormat="1" applyFont="1" applyFill="1"/>
    <xf numFmtId="0" fontId="35" fillId="2" borderId="0" xfId="0" applyFont="1" applyFill="1"/>
    <xf numFmtId="165" fontId="6" fillId="2" borderId="0" xfId="1" applyNumberFormat="1" applyFont="1" applyFill="1"/>
    <xf numFmtId="165" fontId="2" fillId="2" borderId="14" xfId="1" applyNumberFormat="1" applyFont="1" applyFill="1" applyBorder="1" applyAlignment="1">
      <alignment vertical="center"/>
    </xf>
    <xf numFmtId="0" fontId="2" fillId="2" borderId="0" xfId="0" applyFont="1" applyFill="1" applyAlignment="1">
      <alignment horizontal="left" vertical="center" wrapText="1" indent="1"/>
    </xf>
    <xf numFmtId="0" fontId="0" fillId="0" borderId="30" xfId="0" applyBorder="1"/>
    <xf numFmtId="167" fontId="0" fillId="0" borderId="30" xfId="0" applyNumberFormat="1" applyBorder="1"/>
    <xf numFmtId="1" fontId="0" fillId="0" borderId="30" xfId="0" applyNumberFormat="1" applyBorder="1"/>
    <xf numFmtId="0" fontId="0" fillId="0" borderId="30" xfId="0" applyBorder="1" applyAlignment="1">
      <alignment horizontal="center"/>
    </xf>
    <xf numFmtId="0" fontId="2" fillId="2" borderId="0" xfId="0" applyFont="1" applyFill="1" applyAlignment="1">
      <alignment horizontal="left" vertical="center" wrapText="1" indent="1"/>
    </xf>
    <xf numFmtId="0" fontId="0" fillId="0" borderId="30" xfId="0" applyBorder="1" applyAlignment="1"/>
    <xf numFmtId="0" fontId="8" fillId="33" borderId="14" xfId="0" applyFont="1" applyFill="1" applyBorder="1" applyAlignment="1">
      <alignment horizontal="center" vertical="center" wrapText="1"/>
    </xf>
    <xf numFmtId="167" fontId="2" fillId="2" borderId="14" xfId="0" applyNumberFormat="1" applyFont="1" applyFill="1" applyBorder="1"/>
    <xf numFmtId="167" fontId="0" fillId="0" borderId="0" xfId="0" applyNumberFormat="1" applyFill="1" applyBorder="1"/>
    <xf numFmtId="167" fontId="2" fillId="2" borderId="17" xfId="0" applyNumberFormat="1" applyFont="1" applyFill="1" applyBorder="1"/>
    <xf numFmtId="0" fontId="2" fillId="2" borderId="13" xfId="0" applyFont="1" applyFill="1" applyBorder="1"/>
    <xf numFmtId="0" fontId="2" fillId="2" borderId="20" xfId="0" applyFont="1" applyFill="1" applyBorder="1"/>
    <xf numFmtId="166" fontId="2" fillId="2" borderId="13" xfId="2" applyNumberFormat="1" applyFont="1" applyFill="1" applyBorder="1"/>
    <xf numFmtId="166" fontId="2" fillId="2" borderId="20" xfId="2" applyNumberFormat="1" applyFont="1" applyFill="1" applyBorder="1"/>
    <xf numFmtId="167" fontId="2" fillId="2" borderId="32" xfId="0" applyNumberFormat="1" applyFont="1" applyFill="1" applyBorder="1"/>
    <xf numFmtId="167" fontId="2" fillId="2" borderId="33" xfId="0" applyNumberFormat="1" applyFont="1" applyFill="1" applyBorder="1"/>
    <xf numFmtId="167" fontId="2" fillId="2" borderId="35" xfId="0" applyNumberFormat="1" applyFont="1" applyFill="1" applyBorder="1"/>
    <xf numFmtId="0" fontId="38" fillId="7" borderId="37" xfId="0" applyFont="1" applyFill="1" applyBorder="1" applyAlignment="1">
      <alignment horizontal="center"/>
    </xf>
    <xf numFmtId="0" fontId="38" fillId="7" borderId="38" xfId="0" applyFont="1" applyFill="1" applyBorder="1" applyAlignment="1">
      <alignment horizontal="center"/>
    </xf>
    <xf numFmtId="0" fontId="38" fillId="33" borderId="37" xfId="0" applyFont="1" applyFill="1" applyBorder="1" applyAlignment="1">
      <alignment horizontal="center"/>
    </xf>
    <xf numFmtId="0" fontId="38" fillId="33" borderId="38" xfId="0" applyFont="1" applyFill="1" applyBorder="1" applyAlignment="1">
      <alignment horizontal="center"/>
    </xf>
    <xf numFmtId="167" fontId="0" fillId="2" borderId="0" xfId="0" applyNumberFormat="1" applyFill="1"/>
    <xf numFmtId="167" fontId="35" fillId="2" borderId="0" xfId="0" applyNumberFormat="1" applyFont="1" applyFill="1"/>
    <xf numFmtId="0" fontId="2" fillId="2" borderId="0" xfId="0" applyFont="1" applyFill="1"/>
    <xf numFmtId="165" fontId="4" fillId="2" borderId="2" xfId="1" applyNumberFormat="1" applyFont="1" applyFill="1" applyBorder="1"/>
    <xf numFmtId="165" fontId="4" fillId="2" borderId="3" xfId="1" applyNumberFormat="1" applyFont="1" applyFill="1" applyBorder="1"/>
    <xf numFmtId="0" fontId="2" fillId="2" borderId="0" xfId="0" applyFont="1" applyFill="1" applyAlignment="1">
      <alignment vertical="top"/>
    </xf>
    <xf numFmtId="0" fontId="39" fillId="2" borderId="0" xfId="0" applyFont="1" applyFill="1" applyAlignment="1">
      <alignment horizontal="center" vertical="center"/>
    </xf>
    <xf numFmtId="0" fontId="39" fillId="2" borderId="0" xfId="0" applyFont="1" applyFill="1"/>
    <xf numFmtId="166" fontId="39" fillId="2" borderId="0" xfId="0" applyNumberFormat="1" applyFont="1" applyFill="1" applyAlignment="1">
      <alignment horizontal="center" vertical="center"/>
    </xf>
    <xf numFmtId="0" fontId="38" fillId="8" borderId="37" xfId="0" applyFont="1" applyFill="1" applyBorder="1" applyAlignment="1">
      <alignment horizontal="center"/>
    </xf>
    <xf numFmtId="0" fontId="38" fillId="8" borderId="39" xfId="0" applyFont="1" applyFill="1" applyBorder="1" applyAlignment="1">
      <alignment horizontal="center"/>
    </xf>
    <xf numFmtId="165" fontId="2" fillId="2" borderId="20" xfId="1" applyNumberFormat="1" applyFont="1" applyFill="1" applyBorder="1"/>
    <xf numFmtId="0" fontId="8" fillId="8" borderId="0" xfId="0" applyFont="1" applyFill="1"/>
    <xf numFmtId="3" fontId="11" fillId="0" borderId="0" xfId="57" applyNumberFormat="1" applyFont="1"/>
    <xf numFmtId="0" fontId="2" fillId="0" borderId="0" xfId="0" applyFont="1"/>
    <xf numFmtId="0" fontId="2" fillId="8" borderId="0" xfId="0" applyFont="1" applyFill="1"/>
    <xf numFmtId="3" fontId="42" fillId="0" borderId="0" xfId="57" applyNumberFormat="1" applyFont="1" applyFill="1" applyBorder="1" applyAlignment="1">
      <alignment horizontal="right" vertical="center"/>
    </xf>
    <xf numFmtId="3" fontId="41" fillId="0" borderId="0" xfId="42" applyNumberFormat="1" applyFont="1" applyFill="1" applyBorder="1" applyAlignment="1">
      <alignment horizontal="right" vertical="center"/>
    </xf>
    <xf numFmtId="0" fontId="4" fillId="2" borderId="0" xfId="0" applyFont="1" applyFill="1" applyBorder="1" applyAlignment="1">
      <alignment vertical="center" wrapText="1"/>
    </xf>
    <xf numFmtId="49" fontId="4" fillId="2" borderId="2" xfId="0" applyNumberFormat="1" applyFont="1" applyFill="1" applyBorder="1" applyAlignment="1">
      <alignment horizontal="center"/>
    </xf>
    <xf numFmtId="49" fontId="4" fillId="2" borderId="3" xfId="0" applyNumberFormat="1" applyFont="1" applyFill="1" applyBorder="1" applyAlignment="1">
      <alignment horizontal="center"/>
    </xf>
    <xf numFmtId="166" fontId="4" fillId="2" borderId="0" xfId="2" applyNumberFormat="1" applyFont="1" applyFill="1" applyAlignment="1">
      <alignment horizontal="right"/>
    </xf>
    <xf numFmtId="166" fontId="4" fillId="2" borderId="2" xfId="2" applyNumberFormat="1" applyFont="1" applyFill="1" applyBorder="1" applyAlignment="1">
      <alignment horizontal="right"/>
    </xf>
    <xf numFmtId="166" fontId="4" fillId="2" borderId="2" xfId="2" applyNumberFormat="1" applyFont="1" applyFill="1" applyBorder="1" applyAlignment="1">
      <alignment horizontal="center"/>
    </xf>
    <xf numFmtId="166" fontId="4" fillId="2" borderId="3" xfId="2" applyNumberFormat="1"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0" xfId="0" applyFont="1" applyFill="1" applyBorder="1" applyAlignment="1">
      <alignment horizontal="right"/>
    </xf>
    <xf numFmtId="0" fontId="4" fillId="2" borderId="1" xfId="0" applyFont="1" applyFill="1" applyBorder="1" applyAlignment="1">
      <alignment horizontal="right"/>
    </xf>
    <xf numFmtId="0" fontId="2" fillId="2" borderId="0" xfId="0" applyFont="1" applyFill="1" applyBorder="1" applyAlignment="1">
      <alignment vertical="center"/>
    </xf>
    <xf numFmtId="0" fontId="2" fillId="2" borderId="0" xfId="0" applyFont="1" applyFill="1" applyBorder="1" applyAlignment="1">
      <alignment horizontal="center" vertical="center"/>
    </xf>
    <xf numFmtId="3" fontId="2" fillId="2" borderId="0" xfId="0" applyNumberFormat="1" applyFont="1" applyFill="1" applyBorder="1" applyAlignment="1">
      <alignment horizontal="center" vertical="center"/>
    </xf>
    <xf numFmtId="166" fontId="4" fillId="2" borderId="0" xfId="2" applyNumberFormat="1" applyFont="1" applyFill="1" applyBorder="1" applyAlignment="1">
      <alignment horizontal="right"/>
    </xf>
    <xf numFmtId="49" fontId="4" fillId="2" borderId="3" xfId="0" applyNumberFormat="1" applyFont="1" applyFill="1" applyBorder="1" applyAlignment="1">
      <alignment horizontal="center" vertical="top"/>
    </xf>
    <xf numFmtId="0" fontId="4" fillId="2" borderId="2" xfId="0" applyFont="1" applyFill="1" applyBorder="1" applyAlignment="1">
      <alignment horizontal="center" vertical="top"/>
    </xf>
    <xf numFmtId="0" fontId="4" fillId="2" borderId="2" xfId="0" applyFont="1" applyFill="1" applyBorder="1" applyAlignment="1">
      <alignment horizontal="right"/>
    </xf>
    <xf numFmtId="0" fontId="4" fillId="2" borderId="3" xfId="0" applyFont="1" applyFill="1" applyBorder="1" applyAlignment="1">
      <alignment horizontal="right"/>
    </xf>
    <xf numFmtId="3" fontId="43" fillId="0" borderId="0" xfId="0" applyNumberFormat="1" applyFont="1" applyAlignment="1">
      <alignment horizontal="right"/>
    </xf>
    <xf numFmtId="3" fontId="15" fillId="0" borderId="0" xfId="0" applyNumberFormat="1" applyFont="1" applyAlignment="1">
      <alignment horizontal="right"/>
    </xf>
    <xf numFmtId="3" fontId="44" fillId="0" borderId="0" xfId="0" applyNumberFormat="1" applyFont="1"/>
    <xf numFmtId="3" fontId="45" fillId="0" borderId="0" xfId="0" applyNumberFormat="1" applyFont="1"/>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6" fillId="2" borderId="0" xfId="0" applyFont="1" applyFill="1" applyBorder="1" applyAlignment="1">
      <alignment vertical="center"/>
    </xf>
    <xf numFmtId="0" fontId="6" fillId="2" borderId="0" xfId="0" applyFont="1" applyFill="1" applyBorder="1" applyAlignment="1">
      <alignment horizontal="center" vertical="center"/>
    </xf>
    <xf numFmtId="165" fontId="6" fillId="2" borderId="0" xfId="1" applyNumberFormat="1" applyFont="1" applyFill="1" applyBorder="1" applyAlignment="1">
      <alignment vertical="center"/>
    </xf>
    <xf numFmtId="165" fontId="6" fillId="2" borderId="0" xfId="0" applyNumberFormat="1" applyFont="1" applyFill="1" applyBorder="1" applyAlignment="1">
      <alignment vertical="center"/>
    </xf>
    <xf numFmtId="165" fontId="6" fillId="2" borderId="0" xfId="1" applyNumberFormat="1" applyFont="1" applyFill="1" applyBorder="1" applyAlignment="1">
      <alignment horizontal="center" vertical="center"/>
    </xf>
    <xf numFmtId="165" fontId="6" fillId="2" borderId="0" xfId="0" applyNumberFormat="1"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3" fontId="2" fillId="3" borderId="0" xfId="0" applyNumberFormat="1" applyFont="1" applyFill="1" applyBorder="1" applyAlignment="1">
      <alignment horizontal="center" vertical="center"/>
    </xf>
    <xf numFmtId="0" fontId="2" fillId="2" borderId="0" xfId="0" applyFont="1" applyFill="1" applyAlignment="1">
      <alignment horizontal="left" indent="1"/>
    </xf>
    <xf numFmtId="0" fontId="8" fillId="2" borderId="0" xfId="0" applyFont="1" applyFill="1" applyAlignment="1">
      <alignment horizontal="left" vertical="center" indent="1"/>
    </xf>
    <xf numFmtId="0" fontId="2" fillId="2" borderId="0" xfId="0" applyFont="1" applyFill="1" applyAlignment="1">
      <alignment horizontal="left" vertical="center" indent="1"/>
    </xf>
    <xf numFmtId="0" fontId="6" fillId="2" borderId="0" xfId="0" applyFont="1" applyFill="1" applyAlignment="1">
      <alignment horizontal="right"/>
    </xf>
    <xf numFmtId="165" fontId="6" fillId="2" borderId="0" xfId="0" applyNumberFormat="1" applyFont="1" applyFill="1" applyAlignment="1">
      <alignment horizontal="right"/>
    </xf>
    <xf numFmtId="0" fontId="46" fillId="2" borderId="0" xfId="0" applyFont="1" applyFill="1"/>
    <xf numFmtId="49" fontId="2" fillId="2" borderId="0" xfId="0" applyNumberFormat="1" applyFont="1" applyFill="1" applyAlignment="1">
      <alignment horizontal="left" indent="1"/>
    </xf>
    <xf numFmtId="49" fontId="2" fillId="2" borderId="0" xfId="0" applyNumberFormat="1" applyFont="1" applyFill="1"/>
    <xf numFmtId="49" fontId="46" fillId="2" borderId="0" xfId="0" applyNumberFormat="1" applyFont="1" applyFill="1" applyAlignment="1">
      <alignment horizontal="left" indent="2"/>
    </xf>
    <xf numFmtId="49" fontId="46" fillId="2" borderId="0" xfId="0" applyNumberFormat="1" applyFont="1" applyFill="1"/>
    <xf numFmtId="0" fontId="46" fillId="2" borderId="0" xfId="0" applyFont="1" applyFill="1" applyAlignment="1">
      <alignment horizontal="left" indent="2"/>
    </xf>
    <xf numFmtId="0" fontId="8" fillId="8" borderId="15" xfId="0" applyFont="1" applyFill="1" applyBorder="1" applyAlignment="1">
      <alignment horizontal="center" vertical="center"/>
    </xf>
    <xf numFmtId="0" fontId="2" fillId="2" borderId="0" xfId="0" applyFont="1" applyFill="1"/>
    <xf numFmtId="3" fontId="0" fillId="0" borderId="0" xfId="0" applyNumberFormat="1"/>
    <xf numFmtId="10" fontId="0" fillId="0" borderId="0" xfId="0" applyNumberFormat="1"/>
    <xf numFmtId="0" fontId="0" fillId="34" borderId="0" xfId="0" applyFill="1"/>
    <xf numFmtId="0" fontId="2" fillId="2" borderId="0" xfId="0" applyFont="1" applyFill="1" applyAlignment="1">
      <alignment horizontal="center" vertical="center"/>
    </xf>
    <xf numFmtId="0" fontId="2" fillId="2" borderId="0" xfId="0" applyFont="1" applyFill="1"/>
    <xf numFmtId="165" fontId="0" fillId="34" borderId="0" xfId="1" applyNumberFormat="1" applyFont="1" applyFill="1"/>
    <xf numFmtId="165" fontId="0" fillId="0" borderId="0" xfId="1" applyNumberFormat="1" applyFont="1"/>
    <xf numFmtId="165" fontId="0" fillId="34" borderId="0" xfId="0" applyNumberFormat="1" applyFill="1"/>
    <xf numFmtId="165" fontId="0" fillId="0" borderId="0" xfId="0" applyNumberFormat="1"/>
    <xf numFmtId="165" fontId="2" fillId="0" borderId="6" xfId="1" applyNumberFormat="1" applyFont="1" applyBorder="1"/>
    <xf numFmtId="165" fontId="2" fillId="34" borderId="8" xfId="1" applyNumberFormat="1" applyFont="1" applyFill="1" applyBorder="1"/>
    <xf numFmtId="165" fontId="2" fillId="34" borderId="18" xfId="1" applyNumberFormat="1" applyFont="1" applyFill="1" applyBorder="1"/>
    <xf numFmtId="165" fontId="2" fillId="34" borderId="20" xfId="1" applyNumberFormat="1" applyFont="1" applyFill="1" applyBorder="1"/>
    <xf numFmtId="165" fontId="2" fillId="0" borderId="9" xfId="1" applyNumberFormat="1" applyFont="1" applyBorder="1"/>
    <xf numFmtId="165" fontId="2" fillId="34" borderId="10" xfId="1" applyNumberFormat="1" applyFont="1" applyFill="1" applyBorder="1"/>
    <xf numFmtId="165" fontId="2" fillId="34" borderId="11" xfId="1" applyNumberFormat="1" applyFont="1" applyFill="1" applyBorder="1"/>
    <xf numFmtId="165" fontId="2" fillId="0" borderId="13" xfId="1" applyNumberFormat="1" applyFont="1" applyBorder="1"/>
    <xf numFmtId="165" fontId="2" fillId="34" borderId="15" xfId="1" applyNumberFormat="1" applyFont="1" applyFill="1" applyBorder="1"/>
    <xf numFmtId="165" fontId="2" fillId="34" borderId="14" xfId="1" applyNumberFormat="1" applyFont="1" applyFill="1" applyBorder="1"/>
    <xf numFmtId="165" fontId="2" fillId="34" borderId="16" xfId="1" applyNumberFormat="1" applyFont="1" applyFill="1" applyBorder="1"/>
    <xf numFmtId="165" fontId="2" fillId="0" borderId="17" xfId="1" applyNumberFormat="1" applyFont="1" applyBorder="1"/>
    <xf numFmtId="165" fontId="2" fillId="34" borderId="7" xfId="1" applyNumberFormat="1" applyFont="1" applyFill="1" applyBorder="1"/>
    <xf numFmtId="165" fontId="2" fillId="34" borderId="19" xfId="1" applyNumberFormat="1" applyFont="1" applyFill="1" applyBorder="1"/>
    <xf numFmtId="165" fontId="2" fillId="34" borderId="0" xfId="1" applyNumberFormat="1" applyFont="1" applyFill="1" applyBorder="1"/>
    <xf numFmtId="165" fontId="2" fillId="0" borderId="12" xfId="1" applyNumberFormat="1" applyFont="1" applyBorder="1"/>
    <xf numFmtId="165" fontId="2" fillId="34" borderId="17" xfId="1" applyNumberFormat="1" applyFont="1" applyFill="1" applyBorder="1"/>
    <xf numFmtId="165" fontId="2" fillId="34" borderId="6" xfId="1" applyNumberFormat="1" applyFont="1" applyFill="1" applyBorder="1"/>
    <xf numFmtId="165" fontId="2" fillId="34" borderId="9" xfId="1" applyNumberFormat="1" applyFont="1" applyFill="1" applyBorder="1"/>
    <xf numFmtId="49" fontId="8" fillId="2" borderId="0" xfId="0" applyNumberFormat="1" applyFont="1" applyFill="1" applyAlignment="1">
      <alignment horizontal="left" vertical="top" indent="1"/>
    </xf>
    <xf numFmtId="0" fontId="8" fillId="2" borderId="0" xfId="0" applyFont="1" applyFill="1" applyAlignment="1">
      <alignment horizontal="left" indent="1"/>
    </xf>
    <xf numFmtId="0" fontId="49" fillId="2" borderId="0" xfId="0" applyFont="1" applyFill="1"/>
    <xf numFmtId="0" fontId="49" fillId="3" borderId="0" xfId="0" applyFont="1" applyFill="1"/>
    <xf numFmtId="0" fontId="9" fillId="2" borderId="0" xfId="0" applyFont="1" applyFill="1" applyAlignment="1">
      <alignment horizontal="left" vertical="center" indent="1"/>
    </xf>
    <xf numFmtId="0" fontId="52" fillId="2" borderId="0" xfId="0" applyFont="1" applyFill="1" applyAlignment="1">
      <alignment horizontal="left" vertical="top" indent="1"/>
    </xf>
    <xf numFmtId="0" fontId="2" fillId="2" borderId="0" xfId="0" applyFont="1" applyFill="1" applyAlignment="1">
      <alignment horizontal="left" vertical="top" indent="1"/>
    </xf>
    <xf numFmtId="0" fontId="11" fillId="5" borderId="0" xfId="42" applyFont="1" applyFill="1" applyAlignment="1">
      <alignment vertical="center"/>
    </xf>
    <xf numFmtId="0" fontId="11" fillId="2" borderId="0" xfId="42" applyFont="1" applyFill="1" applyAlignment="1">
      <alignment vertical="center"/>
    </xf>
    <xf numFmtId="0" fontId="50" fillId="5" borderId="0" xfId="65" applyFont="1" applyFill="1" applyBorder="1" applyAlignment="1" applyProtection="1">
      <alignment vertical="center" wrapText="1"/>
    </xf>
    <xf numFmtId="0" fontId="11" fillId="5" borderId="0" xfId="42" applyFont="1" applyFill="1" applyBorder="1" applyAlignment="1">
      <alignment vertical="center" wrapText="1"/>
    </xf>
    <xf numFmtId="0" fontId="51" fillId="2" borderId="0" xfId="65" applyFont="1" applyFill="1" applyBorder="1" applyAlignment="1" applyProtection="1">
      <alignment vertical="center" wrapText="1"/>
    </xf>
    <xf numFmtId="0" fontId="11" fillId="2" borderId="4" xfId="42" applyFont="1" applyFill="1" applyBorder="1" applyAlignment="1">
      <alignment vertical="center"/>
    </xf>
    <xf numFmtId="0" fontId="11" fillId="2" borderId="0" xfId="42" applyFont="1" applyFill="1" applyBorder="1" applyAlignment="1">
      <alignment vertical="center" wrapText="1"/>
    </xf>
    <xf numFmtId="0" fontId="2" fillId="2" borderId="19" xfId="0" applyFont="1" applyFill="1" applyBorder="1" applyAlignment="1"/>
    <xf numFmtId="0" fontId="52" fillId="2" borderId="0" xfId="0" applyFont="1" applyFill="1"/>
    <xf numFmtId="0" fontId="52" fillId="2" borderId="0" xfId="0" applyFont="1" applyFill="1" applyAlignment="1">
      <alignment vertical="top"/>
    </xf>
    <xf numFmtId="0" fontId="2" fillId="33" borderId="18" xfId="0" applyFont="1" applyFill="1" applyBorder="1" applyAlignment="1"/>
    <xf numFmtId="0" fontId="2" fillId="33" borderId="19" xfId="0" applyFont="1" applyFill="1" applyBorder="1" applyAlignment="1"/>
    <xf numFmtId="0" fontId="2" fillId="33" borderId="20" xfId="0" applyFont="1" applyFill="1" applyBorder="1" applyAlignment="1"/>
    <xf numFmtId="0" fontId="2" fillId="8" borderId="18" xfId="0" applyFont="1" applyFill="1" applyBorder="1" applyAlignment="1"/>
    <xf numFmtId="0" fontId="2" fillId="8" borderId="19" xfId="0" applyFont="1" applyFill="1" applyBorder="1" applyAlignment="1"/>
    <xf numFmtId="0" fontId="2" fillId="8" borderId="20" xfId="0" applyFont="1" applyFill="1" applyBorder="1" applyAlignment="1"/>
    <xf numFmtId="49" fontId="0" fillId="0" borderId="0" xfId="0" applyNumberFormat="1" applyAlignment="1">
      <alignment horizontal="left"/>
    </xf>
    <xf numFmtId="168" fontId="0" fillId="0" borderId="0" xfId="0" applyNumberFormat="1"/>
    <xf numFmtId="167" fontId="0" fillId="0" borderId="0" xfId="0" applyNumberFormat="1"/>
    <xf numFmtId="0" fontId="2" fillId="35" borderId="6" xfId="0" applyFont="1" applyFill="1" applyBorder="1" applyAlignment="1">
      <alignment vertical="center"/>
    </xf>
    <xf numFmtId="0" fontId="2" fillId="35" borderId="7" xfId="0" applyFont="1" applyFill="1" applyBorder="1" applyAlignment="1">
      <alignment vertical="center"/>
    </xf>
    <xf numFmtId="0" fontId="2" fillId="35" borderId="8" xfId="0" applyFont="1" applyFill="1" applyBorder="1" applyAlignment="1">
      <alignment vertical="center"/>
    </xf>
    <xf numFmtId="0" fontId="2" fillId="35" borderId="9" xfId="0" applyFont="1" applyFill="1" applyBorder="1" applyAlignment="1">
      <alignment vertical="center"/>
    </xf>
    <xf numFmtId="0" fontId="2" fillId="35" borderId="0" xfId="0" applyFont="1" applyFill="1" applyBorder="1" applyAlignment="1">
      <alignment vertical="center"/>
    </xf>
    <xf numFmtId="0" fontId="2" fillId="35" borderId="10" xfId="0" applyFont="1" applyFill="1" applyBorder="1" applyAlignment="1">
      <alignment vertical="center"/>
    </xf>
    <xf numFmtId="0" fontId="2" fillId="35" borderId="11" xfId="0" applyFont="1" applyFill="1" applyBorder="1" applyAlignment="1">
      <alignment vertical="center"/>
    </xf>
    <xf numFmtId="0" fontId="2" fillId="35" borderId="12" xfId="0" applyFont="1" applyFill="1" applyBorder="1" applyAlignment="1">
      <alignment vertical="center"/>
    </xf>
    <xf numFmtId="0" fontId="2" fillId="35" borderId="13" xfId="0" applyFont="1" applyFill="1" applyBorder="1" applyAlignment="1">
      <alignment vertical="center"/>
    </xf>
    <xf numFmtId="0" fontId="2" fillId="35" borderId="14" xfId="0" applyFont="1" applyFill="1" applyBorder="1" applyAlignment="1">
      <alignment horizontal="center" vertical="center"/>
    </xf>
    <xf numFmtId="0" fontId="2" fillId="4" borderId="18" xfId="0" applyFont="1" applyFill="1" applyBorder="1" applyAlignment="1"/>
    <xf numFmtId="0" fontId="2" fillId="4" borderId="19" xfId="0" applyFont="1" applyFill="1" applyBorder="1" applyAlignment="1"/>
    <xf numFmtId="0" fontId="2" fillId="4" borderId="20" xfId="0" applyFont="1" applyFill="1" applyBorder="1" applyAlignment="1"/>
    <xf numFmtId="0" fontId="2" fillId="2" borderId="0" xfId="0" applyFont="1" applyFill="1" applyAlignment="1">
      <alignment horizontal="left" indent="1"/>
    </xf>
    <xf numFmtId="0" fontId="2" fillId="2" borderId="0" xfId="0" applyFont="1" applyFill="1"/>
    <xf numFmtId="0" fontId="11" fillId="5" borderId="0" xfId="42" applyFont="1" applyFill="1" applyBorder="1" applyAlignment="1">
      <alignment vertical="center"/>
    </xf>
    <xf numFmtId="0" fontId="11" fillId="5" borderId="0" xfId="42" applyFont="1" applyFill="1" applyBorder="1" applyAlignment="1">
      <alignment vertical="center" wrapText="1"/>
    </xf>
    <xf numFmtId="0" fontId="11" fillId="2" borderId="0" xfId="0" applyFont="1" applyFill="1" applyBorder="1" applyAlignment="1">
      <alignment vertical="center" wrapText="1"/>
    </xf>
    <xf numFmtId="0" fontId="11" fillId="3" borderId="0" xfId="0" applyFont="1" applyFill="1" applyBorder="1" applyAlignment="1">
      <alignment vertical="center" wrapText="1"/>
    </xf>
    <xf numFmtId="0" fontId="11" fillId="3" borderId="0" xfId="0" applyFont="1" applyFill="1" applyBorder="1" applyAlignment="1">
      <alignment vertical="center"/>
    </xf>
    <xf numFmtId="0" fontId="36" fillId="2" borderId="0" xfId="65" applyFont="1" applyFill="1" applyBorder="1" applyAlignment="1" applyProtection="1">
      <alignment horizontal="left" vertical="center" wrapText="1" indent="3"/>
    </xf>
    <xf numFmtId="0" fontId="36" fillId="2" borderId="0" xfId="65" applyFont="1" applyFill="1" applyBorder="1" applyAlignment="1" applyProtection="1">
      <alignment horizontal="left" vertical="center" indent="3"/>
    </xf>
    <xf numFmtId="0" fontId="4" fillId="3" borderId="0" xfId="0" applyFont="1" applyFill="1" applyBorder="1"/>
    <xf numFmtId="0" fontId="4" fillId="9" borderId="0" xfId="0" applyFont="1" applyFill="1" applyBorder="1"/>
    <xf numFmtId="0" fontId="4" fillId="9" borderId="2" xfId="0" applyFont="1" applyFill="1" applyBorder="1"/>
    <xf numFmtId="166" fontId="4" fillId="9" borderId="4" xfId="2" applyNumberFormat="1" applyFont="1" applyFill="1" applyBorder="1"/>
    <xf numFmtId="166" fontId="4" fillId="9" borderId="0" xfId="2" applyNumberFormat="1" applyFont="1" applyFill="1"/>
    <xf numFmtId="166" fontId="4" fillId="9" borderId="0" xfId="2" applyNumberFormat="1" applyFont="1" applyFill="1" applyBorder="1"/>
    <xf numFmtId="0" fontId="4" fillId="9" borderId="4" xfId="0" applyFont="1" applyFill="1" applyBorder="1"/>
    <xf numFmtId="0" fontId="4" fillId="9" borderId="0" xfId="0" applyFont="1" applyFill="1"/>
    <xf numFmtId="165" fontId="4" fillId="9" borderId="0" xfId="1" applyNumberFormat="1" applyFont="1" applyFill="1" applyBorder="1"/>
    <xf numFmtId="1" fontId="4" fillId="9" borderId="4" xfId="1" applyNumberFormat="1" applyFont="1" applyFill="1" applyBorder="1"/>
    <xf numFmtId="1" fontId="4" fillId="9" borderId="0" xfId="1" applyNumberFormat="1" applyFont="1" applyFill="1" applyBorder="1"/>
    <xf numFmtId="165" fontId="4" fillId="9" borderId="0" xfId="0" applyNumberFormat="1" applyFont="1" applyFill="1"/>
    <xf numFmtId="165" fontId="4" fillId="9" borderId="0" xfId="0" applyNumberFormat="1" applyFont="1" applyFill="1" applyBorder="1"/>
    <xf numFmtId="166" fontId="4" fillId="9" borderId="2" xfId="2" applyNumberFormat="1" applyFont="1" applyFill="1" applyBorder="1"/>
    <xf numFmtId="0" fontId="4" fillId="9" borderId="2" xfId="0" applyFont="1" applyFill="1" applyBorder="1" applyAlignment="1">
      <alignment horizontal="center"/>
    </xf>
    <xf numFmtId="166" fontId="4" fillId="9" borderId="2" xfId="2" applyNumberFormat="1" applyFont="1" applyFill="1" applyBorder="1" applyAlignment="1">
      <alignment horizontal="center"/>
    </xf>
    <xf numFmtId="0" fontId="4" fillId="9" borderId="1" xfId="0" applyFont="1" applyFill="1" applyBorder="1"/>
    <xf numFmtId="0" fontId="4" fillId="9" borderId="3" xfId="0" applyFont="1" applyFill="1" applyBorder="1"/>
    <xf numFmtId="166" fontId="4" fillId="9" borderId="5" xfId="2" applyNumberFormat="1" applyFont="1" applyFill="1" applyBorder="1" applyAlignment="1">
      <alignment horizontal="right"/>
    </xf>
    <xf numFmtId="166" fontId="4" fillId="9" borderId="1" xfId="2" applyNumberFormat="1" applyFont="1" applyFill="1" applyBorder="1" applyAlignment="1">
      <alignment horizontal="right"/>
    </xf>
    <xf numFmtId="166" fontId="4" fillId="9" borderId="5" xfId="2" applyNumberFormat="1" applyFont="1" applyFill="1" applyBorder="1"/>
    <xf numFmtId="166" fontId="4" fillId="9" borderId="1" xfId="2" applyNumberFormat="1" applyFont="1" applyFill="1" applyBorder="1"/>
    <xf numFmtId="166" fontId="4" fillId="9" borderId="3" xfId="2" applyNumberFormat="1" applyFont="1" applyFill="1" applyBorder="1"/>
    <xf numFmtId="0" fontId="4" fillId="9" borderId="5" xfId="0" applyFont="1" applyFill="1" applyBorder="1"/>
    <xf numFmtId="166" fontId="4" fillId="9" borderId="5" xfId="0" applyNumberFormat="1" applyFont="1" applyFill="1" applyBorder="1"/>
    <xf numFmtId="165" fontId="4" fillId="9" borderId="1" xfId="0" applyNumberFormat="1" applyFont="1" applyFill="1" applyBorder="1"/>
    <xf numFmtId="165" fontId="4" fillId="9" borderId="1" xfId="1" applyNumberFormat="1" applyFont="1" applyFill="1" applyBorder="1"/>
    <xf numFmtId="166" fontId="4" fillId="9" borderId="1" xfId="2" applyNumberFormat="1" applyFont="1" applyFill="1" applyBorder="1" applyAlignment="1">
      <alignment horizontal="center"/>
    </xf>
    <xf numFmtId="166" fontId="4" fillId="9" borderId="3" xfId="2" applyNumberFormat="1" applyFont="1" applyFill="1" applyBorder="1" applyAlignment="1">
      <alignment horizontal="center"/>
    </xf>
    <xf numFmtId="0" fontId="4" fillId="9" borderId="3" xfId="0" applyFont="1" applyFill="1" applyBorder="1" applyAlignment="1">
      <alignment horizontal="center"/>
    </xf>
    <xf numFmtId="0" fontId="2" fillId="2" borderId="0" xfId="0" applyFont="1" applyFill="1" applyAlignment="1">
      <alignment horizontal="left" indent="1"/>
    </xf>
    <xf numFmtId="0" fontId="2" fillId="2" borderId="0" xfId="0" applyFont="1" applyFill="1"/>
    <xf numFmtId="166" fontId="2" fillId="2" borderId="0" xfId="0" applyNumberFormat="1" applyFont="1" applyFill="1"/>
    <xf numFmtId="0" fontId="2" fillId="2" borderId="0" xfId="0" applyFont="1" applyFill="1" applyAlignment="1">
      <alignment horizontal="left" vertical="center" wrapText="1" indent="1"/>
    </xf>
    <xf numFmtId="0" fontId="2" fillId="2" borderId="0" xfId="0" applyFont="1" applyFill="1" applyAlignment="1">
      <alignment wrapText="1"/>
    </xf>
    <xf numFmtId="0" fontId="2" fillId="2" borderId="0" xfId="0" applyFont="1" applyFill="1"/>
    <xf numFmtId="0" fontId="2" fillId="2" borderId="14" xfId="0" applyFont="1" applyFill="1" applyBorder="1" applyAlignment="1">
      <alignment horizontal="center" vertical="center"/>
    </xf>
    <xf numFmtId="0" fontId="2" fillId="7" borderId="14"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2" fillId="33" borderId="14"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6" fillId="2" borderId="20" xfId="0" applyFont="1" applyFill="1" applyBorder="1"/>
    <xf numFmtId="0" fontId="6" fillId="2" borderId="20" xfId="0" applyFont="1" applyFill="1" applyBorder="1" applyAlignment="1">
      <alignment horizontal="left" vertical="center" wrapText="1"/>
    </xf>
    <xf numFmtId="0" fontId="6" fillId="2" borderId="13" xfId="0" applyFont="1" applyFill="1" applyBorder="1"/>
    <xf numFmtId="0" fontId="6" fillId="2" borderId="13" xfId="0" applyFont="1" applyFill="1" applyBorder="1" applyAlignment="1">
      <alignment horizontal="left" vertical="center" wrapText="1"/>
    </xf>
    <xf numFmtId="166" fontId="4" fillId="2" borderId="14" xfId="2" applyNumberFormat="1" applyFont="1" applyFill="1" applyBorder="1" applyAlignment="1">
      <alignment horizontal="center" vertical="center"/>
    </xf>
    <xf numFmtId="165" fontId="4" fillId="2" borderId="14" xfId="1" applyNumberFormat="1" applyFont="1" applyFill="1" applyBorder="1" applyAlignment="1">
      <alignment horizontal="center" vertical="center"/>
    </xf>
    <xf numFmtId="1" fontId="4" fillId="2" borderId="14" xfId="2" applyNumberFormat="1" applyFont="1" applyFill="1" applyBorder="1" applyAlignment="1">
      <alignment horizontal="center" vertical="center"/>
    </xf>
    <xf numFmtId="166" fontId="4" fillId="2" borderId="14" xfId="2" applyNumberFormat="1" applyFont="1" applyFill="1" applyBorder="1" applyAlignment="1">
      <alignment vertical="center"/>
    </xf>
    <xf numFmtId="165" fontId="6" fillId="2" borderId="0" xfId="0" applyNumberFormat="1" applyFont="1" applyFill="1"/>
    <xf numFmtId="165" fontId="35" fillId="2" borderId="0" xfId="0" applyNumberFormat="1" applyFont="1" applyFill="1"/>
    <xf numFmtId="0" fontId="8" fillId="2" borderId="0" xfId="0" applyFont="1" applyFill="1" applyAlignment="1"/>
    <xf numFmtId="165" fontId="2" fillId="2" borderId="14" xfId="1" applyNumberFormat="1" applyFont="1" applyFill="1" applyBorder="1" applyAlignment="1">
      <alignment horizontal="center" vertical="center"/>
    </xf>
    <xf numFmtId="0" fontId="56" fillId="2" borderId="0" xfId="0" applyFont="1" applyFill="1" applyBorder="1" applyAlignment="1">
      <alignment horizontal="center" vertical="center"/>
    </xf>
    <xf numFmtId="165" fontId="2" fillId="9" borderId="2" xfId="1" applyNumberFormat="1" applyFont="1" applyFill="1" applyBorder="1"/>
    <xf numFmtId="0" fontId="2" fillId="9" borderId="2" xfId="0" applyFont="1" applyFill="1" applyBorder="1"/>
    <xf numFmtId="0" fontId="2" fillId="9" borderId="0" xfId="0" applyFont="1" applyFill="1"/>
    <xf numFmtId="165" fontId="2" fillId="9" borderId="0" xfId="1" applyNumberFormat="1" applyFont="1" applyFill="1"/>
    <xf numFmtId="2" fontId="2" fillId="9" borderId="0" xfId="1" applyNumberFormat="1" applyFont="1" applyFill="1"/>
    <xf numFmtId="0" fontId="2" fillId="2" borderId="0" xfId="0" applyFont="1" applyFill="1" applyAlignment="1"/>
    <xf numFmtId="0" fontId="6" fillId="2" borderId="0" xfId="0" applyFont="1" applyFill="1" applyAlignment="1">
      <alignment horizontal="left" vertical="center" indent="1"/>
    </xf>
    <xf numFmtId="0" fontId="6" fillId="2" borderId="0" xfId="0" applyFont="1" applyFill="1" applyAlignment="1"/>
    <xf numFmtId="0" fontId="2" fillId="3" borderId="0" xfId="0" applyFont="1" applyFill="1" applyAlignment="1">
      <alignment wrapText="1"/>
    </xf>
    <xf numFmtId="0" fontId="0" fillId="2" borderId="0" xfId="0" applyFill="1" applyAlignment="1">
      <alignment wrapText="1"/>
    </xf>
    <xf numFmtId="0" fontId="0" fillId="3" borderId="0" xfId="0" applyFill="1" applyAlignment="1">
      <alignment wrapText="1"/>
    </xf>
    <xf numFmtId="0" fontId="2" fillId="3" borderId="0" xfId="0" applyFont="1" applyFill="1" applyAlignment="1">
      <alignment horizontal="left" vertical="center" wrapText="1" indent="1"/>
    </xf>
    <xf numFmtId="0" fontId="0" fillId="2" borderId="0" xfId="0" applyFill="1" applyAlignment="1">
      <alignment horizontal="left" vertical="center" wrapText="1" indent="1"/>
    </xf>
    <xf numFmtId="0" fontId="0" fillId="3" borderId="0" xfId="0" applyFill="1" applyAlignment="1">
      <alignment horizontal="left" vertical="center" wrapText="1" indent="1"/>
    </xf>
    <xf numFmtId="1" fontId="2" fillId="9" borderId="11" xfId="2" applyNumberFormat="1" applyFont="1" applyFill="1" applyBorder="1" applyAlignment="1">
      <alignment horizontal="center" vertical="center"/>
    </xf>
    <xf numFmtId="1" fontId="2" fillId="9" borderId="13" xfId="2" applyNumberFormat="1" applyFont="1" applyFill="1" applyBorder="1" applyAlignment="1">
      <alignment horizontal="center" vertical="center"/>
    </xf>
    <xf numFmtId="169" fontId="2" fillId="9" borderId="11" xfId="2" applyNumberFormat="1" applyFont="1" applyFill="1" applyBorder="1" applyAlignment="1">
      <alignment horizontal="center" vertical="center"/>
    </xf>
    <xf numFmtId="169" fontId="2" fillId="9" borderId="13" xfId="2" applyNumberFormat="1" applyFont="1" applyFill="1" applyBorder="1" applyAlignment="1">
      <alignment horizontal="center" vertical="center"/>
    </xf>
    <xf numFmtId="165" fontId="2" fillId="9" borderId="18" xfId="1" applyNumberFormat="1" applyFont="1" applyFill="1" applyBorder="1" applyAlignment="1">
      <alignment horizontal="center" vertical="center"/>
    </xf>
    <xf numFmtId="165" fontId="2" fillId="9" borderId="20" xfId="1" applyNumberFormat="1" applyFont="1" applyFill="1" applyBorder="1" applyAlignment="1">
      <alignment horizontal="center" vertical="center"/>
    </xf>
    <xf numFmtId="0" fontId="57" fillId="2" borderId="0" xfId="48" applyNumberFormat="1" applyFont="1" applyFill="1" applyBorder="1" applyAlignment="1">
      <alignment horizontal="left" vertical="center" wrapText="1"/>
    </xf>
    <xf numFmtId="0" fontId="57" fillId="2" borderId="0" xfId="48" applyNumberFormat="1" applyFont="1" applyFill="1" applyBorder="1" applyAlignment="1">
      <alignment vertical="center" wrapText="1"/>
    </xf>
    <xf numFmtId="0" fontId="57" fillId="2" borderId="60" xfId="48" applyNumberFormat="1" applyFont="1" applyFill="1" applyBorder="1" applyAlignment="1">
      <alignment horizontal="left" vertical="center" wrapText="1"/>
    </xf>
    <xf numFmtId="165" fontId="57" fillId="2" borderId="60" xfId="48" applyNumberFormat="1" applyFont="1" applyFill="1" applyBorder="1" applyAlignment="1">
      <alignment horizontal="center" vertical="center" wrapText="1"/>
    </xf>
    <xf numFmtId="0" fontId="57" fillId="2" borderId="59" xfId="48" applyNumberFormat="1" applyFont="1" applyFill="1" applyBorder="1" applyAlignment="1">
      <alignment horizontal="left" vertical="center" wrapText="1"/>
    </xf>
    <xf numFmtId="165" fontId="57" fillId="2" borderId="59" xfId="48" applyNumberFormat="1" applyFont="1" applyFill="1" applyBorder="1" applyAlignment="1">
      <alignment horizontal="center" vertical="center" wrapText="1"/>
    </xf>
    <xf numFmtId="0" fontId="11" fillId="2" borderId="0" xfId="0" applyFont="1" applyFill="1" applyBorder="1" applyAlignment="1">
      <alignment horizontal="left" vertical="center" wrapText="1"/>
    </xf>
    <xf numFmtId="0" fontId="0" fillId="2" borderId="0" xfId="0" applyFill="1" applyBorder="1" applyAlignment="1">
      <alignment vertical="center" wrapText="1"/>
    </xf>
    <xf numFmtId="0" fontId="2" fillId="3" borderId="0" xfId="0" applyFont="1" applyFill="1" applyAlignment="1"/>
    <xf numFmtId="0" fontId="0" fillId="2" borderId="0" xfId="0" applyFill="1" applyAlignment="1"/>
    <xf numFmtId="0" fontId="59" fillId="38" borderId="62" xfId="0" applyFont="1" applyFill="1" applyBorder="1" applyAlignment="1">
      <alignment horizontal="right" vertical="center" wrapText="1"/>
    </xf>
    <xf numFmtId="0" fontId="59" fillId="38" borderId="62" xfId="0" applyFont="1" applyFill="1" applyBorder="1" applyAlignment="1">
      <alignment vertical="center" wrapText="1"/>
    </xf>
    <xf numFmtId="165" fontId="35" fillId="2" borderId="0" xfId="1" applyNumberFormat="1" applyFont="1" applyFill="1"/>
    <xf numFmtId="0" fontId="59" fillId="0" borderId="62" xfId="0" applyFont="1" applyBorder="1" applyAlignment="1">
      <alignment vertical="center"/>
    </xf>
    <xf numFmtId="165" fontId="57" fillId="2" borderId="1" xfId="1" applyNumberFormat="1" applyFont="1" applyFill="1" applyBorder="1" applyAlignment="1"/>
    <xf numFmtId="0" fontId="35" fillId="2" borderId="0" xfId="0" applyFont="1" applyFill="1" applyAlignment="1"/>
    <xf numFmtId="165" fontId="6" fillId="2" borderId="0" xfId="0" applyNumberFormat="1" applyFont="1" applyFill="1" applyAlignment="1"/>
    <xf numFmtId="166" fontId="4" fillId="2" borderId="3" xfId="2" applyNumberFormat="1" applyFont="1" applyFill="1" applyBorder="1" applyAlignment="1">
      <alignment horizontal="right"/>
    </xf>
    <xf numFmtId="0" fontId="2" fillId="2" borderId="0" xfId="0" applyFont="1" applyFill="1"/>
    <xf numFmtId="0" fontId="11" fillId="5" borderId="0" xfId="42" applyFont="1" applyFill="1" applyBorder="1" applyAlignment="1">
      <alignment vertical="center" wrapText="1"/>
    </xf>
    <xf numFmtId="165" fontId="2" fillId="2" borderId="0" xfId="1" applyNumberFormat="1" applyFont="1" applyFill="1" applyBorder="1"/>
    <xf numFmtId="165" fontId="2" fillId="2" borderId="2" xfId="1" applyNumberFormat="1" applyFont="1" applyFill="1" applyBorder="1"/>
    <xf numFmtId="165" fontId="2" fillId="2" borderId="0" xfId="1" applyNumberFormat="1" applyFont="1" applyFill="1"/>
    <xf numFmtId="165" fontId="3" fillId="2" borderId="1" xfId="1" applyNumberFormat="1" applyFont="1" applyFill="1" applyBorder="1" applyAlignment="1">
      <alignment wrapText="1"/>
    </xf>
    <xf numFmtId="165" fontId="3" fillId="2" borderId="3" xfId="1" applyNumberFormat="1" applyFont="1" applyFill="1" applyBorder="1" applyAlignment="1">
      <alignment wrapText="1"/>
    </xf>
    <xf numFmtId="2" fontId="2" fillId="2" borderId="0" xfId="1" applyNumberFormat="1" applyFont="1" applyFill="1" applyBorder="1"/>
    <xf numFmtId="166" fontId="2" fillId="2" borderId="0" xfId="2" applyNumberFormat="1" applyFont="1" applyFill="1" applyBorder="1"/>
    <xf numFmtId="166" fontId="3" fillId="2" borderId="1" xfId="2" applyNumberFormat="1" applyFont="1" applyFill="1" applyBorder="1" applyAlignment="1">
      <alignment wrapText="1"/>
    </xf>
    <xf numFmtId="165" fontId="4" fillId="2" borderId="0" xfId="1" applyNumberFormat="1" applyFont="1" applyFill="1" applyBorder="1" applyAlignment="1">
      <alignment horizontal="right"/>
    </xf>
    <xf numFmtId="165" fontId="4" fillId="2" borderId="2" xfId="1" applyNumberFormat="1" applyFont="1" applyFill="1" applyBorder="1" applyAlignment="1">
      <alignment horizontal="right"/>
    </xf>
    <xf numFmtId="165" fontId="4" fillId="2" borderId="1" xfId="1" applyNumberFormat="1" applyFont="1" applyFill="1" applyBorder="1" applyAlignment="1">
      <alignment horizontal="right"/>
    </xf>
    <xf numFmtId="165" fontId="4" fillId="2" borderId="3" xfId="1" applyNumberFormat="1" applyFont="1" applyFill="1" applyBorder="1" applyAlignment="1">
      <alignment horizontal="right"/>
    </xf>
    <xf numFmtId="0" fontId="11" fillId="39" borderId="0" xfId="42" applyFont="1" applyFill="1" applyBorder="1" applyAlignment="1">
      <alignment vertical="center" wrapText="1"/>
    </xf>
    <xf numFmtId="0" fontId="2" fillId="39" borderId="0" xfId="0" applyFont="1" applyFill="1"/>
    <xf numFmtId="0" fontId="2" fillId="5" borderId="0" xfId="0" applyFont="1" applyFill="1"/>
    <xf numFmtId="49" fontId="4" fillId="2" borderId="0" xfId="0" applyNumberFormat="1" applyFont="1" applyFill="1" applyBorder="1"/>
    <xf numFmtId="49" fontId="4" fillId="2" borderId="1" xfId="0" applyNumberFormat="1" applyFont="1" applyFill="1" applyBorder="1"/>
    <xf numFmtId="49" fontId="4" fillId="2" borderId="0" xfId="0" applyNumberFormat="1" applyFont="1" applyFill="1"/>
    <xf numFmtId="1" fontId="4" fillId="2" borderId="0" xfId="0" applyNumberFormat="1" applyFont="1" applyFill="1"/>
    <xf numFmtId="1" fontId="4" fillId="2" borderId="1" xfId="0" applyNumberFormat="1" applyFont="1" applyFill="1" applyBorder="1"/>
    <xf numFmtId="1" fontId="4" fillId="2" borderId="0" xfId="0" applyNumberFormat="1" applyFont="1" applyFill="1" applyBorder="1"/>
    <xf numFmtId="165" fontId="4" fillId="4" borderId="0" xfId="1" applyNumberFormat="1" applyFont="1" applyFill="1"/>
    <xf numFmtId="2" fontId="2" fillId="2" borderId="0" xfId="1" applyNumberFormat="1" applyFont="1" applyFill="1"/>
    <xf numFmtId="2" fontId="3" fillId="2" borderId="1" xfId="1" applyNumberFormat="1" applyFont="1" applyFill="1" applyBorder="1" applyAlignment="1">
      <alignment wrapText="1"/>
    </xf>
    <xf numFmtId="165" fontId="4" fillId="4" borderId="2" xfId="1" applyNumberFormat="1" applyFont="1" applyFill="1" applyBorder="1"/>
    <xf numFmtId="0" fontId="2" fillId="2" borderId="0" xfId="0" applyFont="1" applyFill="1"/>
    <xf numFmtId="0" fontId="11" fillId="5" borderId="0" xfId="42" applyFont="1" applyFill="1" applyBorder="1" applyAlignment="1">
      <alignment vertical="center"/>
    </xf>
    <xf numFmtId="0" fontId="11" fillId="5" borderId="0" xfId="42" applyFont="1" applyFill="1" applyBorder="1" applyAlignment="1">
      <alignment vertical="center" wrapText="1"/>
    </xf>
    <xf numFmtId="165" fontId="4" fillId="9" borderId="0" xfId="1" applyNumberFormat="1" applyFont="1" applyFill="1" applyAlignment="1">
      <alignment horizontal="right"/>
    </xf>
    <xf numFmtId="165" fontId="4" fillId="9" borderId="2" xfId="1" applyNumberFormat="1" applyFont="1" applyFill="1" applyBorder="1" applyAlignment="1">
      <alignment horizontal="right"/>
    </xf>
    <xf numFmtId="165" fontId="4" fillId="9" borderId="0" xfId="1" applyNumberFormat="1" applyFont="1" applyFill="1" applyBorder="1" applyAlignment="1">
      <alignment horizontal="right"/>
    </xf>
    <xf numFmtId="165" fontId="4" fillId="9" borderId="1" xfId="1" applyNumberFormat="1" applyFont="1" applyFill="1" applyBorder="1" applyAlignment="1">
      <alignment horizontal="right"/>
    </xf>
    <xf numFmtId="165" fontId="4" fillId="9" borderId="3" xfId="1" applyNumberFormat="1" applyFont="1" applyFill="1" applyBorder="1" applyAlignment="1">
      <alignment horizontal="right"/>
    </xf>
    <xf numFmtId="49" fontId="2" fillId="2" borderId="0" xfId="0" applyNumberFormat="1" applyFont="1" applyFill="1"/>
    <xf numFmtId="0" fontId="2" fillId="2" borderId="0" xfId="0" applyFont="1" applyFill="1"/>
    <xf numFmtId="0" fontId="4" fillId="2" borderId="2" xfId="0" applyNumberFormat="1" applyFont="1" applyFill="1" applyBorder="1"/>
    <xf numFmtId="0" fontId="4" fillId="2" borderId="3" xfId="0" applyNumberFormat="1" applyFont="1" applyFill="1" applyBorder="1"/>
    <xf numFmtId="0" fontId="11" fillId="5" borderId="2" xfId="42" applyFont="1" applyFill="1" applyBorder="1" applyAlignment="1">
      <alignment vertical="center"/>
    </xf>
    <xf numFmtId="0" fontId="8" fillId="2" borderId="0" xfId="0" applyFont="1" applyFill="1" applyAlignment="1">
      <alignment vertical="top"/>
    </xf>
    <xf numFmtId="0" fontId="4" fillId="9" borderId="0" xfId="0" applyFont="1" applyFill="1" applyAlignment="1">
      <alignment horizontal="right"/>
    </xf>
    <xf numFmtId="0" fontId="4" fillId="9" borderId="0" xfId="0" applyFont="1" applyFill="1" applyBorder="1" applyAlignment="1">
      <alignment horizontal="right"/>
    </xf>
    <xf numFmtId="0" fontId="4" fillId="9" borderId="1" xfId="0" applyFont="1" applyFill="1" applyBorder="1" applyAlignment="1">
      <alignment horizontal="right"/>
    </xf>
    <xf numFmtId="0" fontId="11" fillId="5" borderId="0" xfId="42" applyFont="1" applyFill="1" applyBorder="1" applyAlignment="1">
      <alignment vertical="center" wrapText="1"/>
    </xf>
    <xf numFmtId="0" fontId="4" fillId="2" borderId="4" xfId="0" applyFont="1" applyFill="1" applyBorder="1" applyAlignment="1">
      <alignment horizontal="right"/>
    </xf>
    <xf numFmtId="0" fontId="4" fillId="2" borderId="5" xfId="0" applyFont="1" applyFill="1" applyBorder="1" applyAlignment="1">
      <alignment horizontal="right"/>
    </xf>
    <xf numFmtId="0" fontId="4" fillId="9" borderId="5" xfId="0" applyFont="1" applyFill="1" applyBorder="1" applyAlignment="1">
      <alignment horizontal="right"/>
    </xf>
    <xf numFmtId="0" fontId="4" fillId="2" borderId="0" xfId="0" applyNumberFormat="1" applyFont="1" applyFill="1"/>
    <xf numFmtId="167" fontId="4" fillId="2" borderId="0" xfId="1" applyNumberFormat="1" applyFont="1" applyFill="1"/>
    <xf numFmtId="167" fontId="4" fillId="2" borderId="0" xfId="1" applyNumberFormat="1" applyFont="1" applyFill="1" applyBorder="1"/>
    <xf numFmtId="167" fontId="4" fillId="2" borderId="1" xfId="1" applyNumberFormat="1" applyFont="1" applyFill="1" applyBorder="1"/>
    <xf numFmtId="2" fontId="2" fillId="2" borderId="4" xfId="0" applyNumberFormat="1" applyFont="1" applyFill="1" applyBorder="1"/>
    <xf numFmtId="167" fontId="2" fillId="2" borderId="0" xfId="1" applyNumberFormat="1" applyFont="1" applyFill="1"/>
    <xf numFmtId="170" fontId="2" fillId="2" borderId="0" xfId="1" applyNumberFormat="1" applyFont="1" applyFill="1"/>
    <xf numFmtId="0" fontId="2" fillId="2" borderId="0" xfId="0" applyFont="1" applyFill="1"/>
    <xf numFmtId="0" fontId="8" fillId="33" borderId="54" xfId="0" applyFont="1" applyFill="1" applyBorder="1" applyAlignment="1">
      <alignment horizontal="center" vertical="center" wrapText="1"/>
    </xf>
    <xf numFmtId="9" fontId="2" fillId="2" borderId="0" xfId="1" applyFont="1" applyFill="1" applyBorder="1"/>
    <xf numFmtId="10" fontId="2" fillId="2" borderId="0" xfId="0" applyNumberFormat="1" applyFont="1" applyFill="1"/>
    <xf numFmtId="166" fontId="2" fillId="2" borderId="54" xfId="2" applyNumberFormat="1" applyFont="1" applyFill="1" applyBorder="1"/>
    <xf numFmtId="0" fontId="8" fillId="32" borderId="54" xfId="0" applyFont="1" applyFill="1" applyBorder="1" applyAlignment="1">
      <alignment horizontal="center" vertical="center" wrapText="1"/>
    </xf>
    <xf numFmtId="0" fontId="8" fillId="3" borderId="54" xfId="0" applyFont="1" applyFill="1" applyBorder="1" applyAlignment="1">
      <alignment horizontal="center" vertical="center" wrapText="1"/>
    </xf>
    <xf numFmtId="166" fontId="2" fillId="2" borderId="54" xfId="2" applyNumberFormat="1" applyFont="1" applyFill="1" applyBorder="1" applyAlignment="1"/>
    <xf numFmtId="0" fontId="6" fillId="2" borderId="0" xfId="2" applyNumberFormat="1" applyFont="1" applyFill="1" applyBorder="1" applyAlignment="1">
      <alignment horizontal="left" indent="1"/>
    </xf>
    <xf numFmtId="0" fontId="6" fillId="2" borderId="0" xfId="0" applyNumberFormat="1" applyFont="1" applyFill="1" applyAlignment="1">
      <alignment horizontal="left" indent="1"/>
    </xf>
    <xf numFmtId="0" fontId="6" fillId="2" borderId="0" xfId="1" applyNumberFormat="1" applyFont="1" applyFill="1" applyBorder="1" applyAlignment="1">
      <alignment horizontal="left" indent="1"/>
    </xf>
    <xf numFmtId="0" fontId="16" fillId="2" borderId="0" xfId="65" applyFill="1" applyBorder="1" applyAlignment="1" applyProtection="1">
      <alignment horizontal="right"/>
    </xf>
    <xf numFmtId="0" fontId="16" fillId="2" borderId="1" xfId="65" applyFill="1" applyBorder="1" applyAlignment="1" applyProtection="1">
      <alignment horizontal="right"/>
    </xf>
    <xf numFmtId="165" fontId="46" fillId="2" borderId="14" xfId="0" applyNumberFormat="1" applyFont="1" applyFill="1" applyBorder="1" applyAlignment="1">
      <alignment horizontal="right" vertical="center"/>
    </xf>
    <xf numFmtId="165" fontId="46" fillId="8" borderId="14" xfId="0" applyNumberFormat="1" applyFont="1" applyFill="1" applyBorder="1" applyAlignment="1">
      <alignment horizontal="right" vertical="center"/>
    </xf>
    <xf numFmtId="0" fontId="2" fillId="2" borderId="0" xfId="0" applyFont="1" applyFill="1"/>
    <xf numFmtId="0" fontId="64" fillId="2" borderId="0" xfId="65" applyFont="1" applyFill="1" applyAlignment="1" applyProtection="1">
      <alignment horizontal="left" vertical="center" indent="2"/>
    </xf>
    <xf numFmtId="0" fontId="9" fillId="2" borderId="0" xfId="65" applyFont="1" applyFill="1" applyAlignment="1" applyProtection="1">
      <alignment horizontal="left" vertical="center" indent="1"/>
    </xf>
    <xf numFmtId="0" fontId="36" fillId="2" borderId="0" xfId="65" applyFont="1" applyFill="1" applyAlignment="1" applyProtection="1">
      <alignment horizontal="left" vertical="center" indent="2"/>
    </xf>
    <xf numFmtId="165" fontId="59" fillId="2" borderId="0" xfId="1" applyNumberFormat="1" applyFont="1" applyFill="1"/>
    <xf numFmtId="0" fontId="2" fillId="2" borderId="0" xfId="0" applyFont="1" applyFill="1"/>
    <xf numFmtId="0" fontId="11" fillId="3" borderId="0" xfId="0" applyFont="1" applyFill="1" applyBorder="1" applyAlignment="1">
      <alignment vertical="center"/>
    </xf>
    <xf numFmtId="0" fontId="11" fillId="3" borderId="0" xfId="65" applyFont="1" applyFill="1" applyBorder="1" applyAlignment="1" applyProtection="1">
      <alignment vertical="center" wrapText="1"/>
    </xf>
    <xf numFmtId="0" fontId="36" fillId="2" borderId="0" xfId="65" applyFont="1" applyFill="1" applyBorder="1" applyAlignment="1" applyProtection="1">
      <alignment vertical="center"/>
    </xf>
    <xf numFmtId="0" fontId="2" fillId="2" borderId="0" xfId="0" applyFont="1" applyFill="1" applyAlignment="1">
      <alignment horizontal="left" vertical="center" wrapText="1" indent="1"/>
    </xf>
    <xf numFmtId="0" fontId="2" fillId="2" borderId="0" xfId="0" applyFont="1" applyFill="1"/>
    <xf numFmtId="0" fontId="2" fillId="2" borderId="0" xfId="0" applyFont="1" applyFill="1" applyAlignment="1">
      <alignment horizontal="center"/>
    </xf>
    <xf numFmtId="0" fontId="0" fillId="2" borderId="0" xfId="0" applyFill="1" applyAlignment="1">
      <alignment vertical="top"/>
    </xf>
    <xf numFmtId="0" fontId="0" fillId="3" borderId="0" xfId="0" applyFill="1" applyAlignment="1">
      <alignment vertical="top"/>
    </xf>
    <xf numFmtId="0" fontId="0" fillId="2" borderId="0" xfId="0" applyFill="1" applyAlignment="1">
      <alignment horizontal="left" vertical="center" indent="1"/>
    </xf>
    <xf numFmtId="0" fontId="0" fillId="3" borderId="0" xfId="0" applyFill="1" applyAlignment="1">
      <alignment horizontal="left" vertical="center" indent="1"/>
    </xf>
    <xf numFmtId="0" fontId="2" fillId="2" borderId="0" xfId="0" applyFont="1" applyFill="1" applyAlignment="1">
      <alignment horizontal="left" vertical="top" wrapText="1"/>
    </xf>
    <xf numFmtId="2" fontId="7" fillId="2" borderId="4" xfId="0" applyNumberFormat="1" applyFont="1" applyFill="1" applyBorder="1" applyAlignment="1">
      <alignment horizontal="center" vertical="center"/>
    </xf>
    <xf numFmtId="0" fontId="3" fillId="2" borderId="5" xfId="0" applyNumberFormat="1" applyFont="1" applyFill="1" applyBorder="1" applyAlignment="1">
      <alignment vertical="center" wrapText="1"/>
    </xf>
    <xf numFmtId="1" fontId="4" fillId="2" borderId="4" xfId="1" applyNumberFormat="1" applyFont="1" applyFill="1" applyBorder="1"/>
    <xf numFmtId="1" fontId="4" fillId="2" borderId="5" xfId="1" applyNumberFormat="1" applyFont="1" applyFill="1" applyBorder="1"/>
    <xf numFmtId="2" fontId="2" fillId="2" borderId="2" xfId="0" applyNumberFormat="1" applyFont="1" applyFill="1" applyBorder="1"/>
    <xf numFmtId="2" fontId="7" fillId="2" borderId="2" xfId="0" applyNumberFormat="1" applyFont="1" applyFill="1" applyBorder="1" applyAlignment="1">
      <alignment horizontal="center" vertical="center"/>
    </xf>
    <xf numFmtId="0" fontId="3" fillId="2" borderId="3" xfId="0" applyNumberFormat="1" applyFont="1" applyFill="1" applyBorder="1" applyAlignment="1">
      <alignment vertical="center" wrapText="1"/>
    </xf>
    <xf numFmtId="1" fontId="4" fillId="2" borderId="2" xfId="1" applyNumberFormat="1" applyFont="1" applyFill="1" applyBorder="1"/>
    <xf numFmtId="1" fontId="4" fillId="2" borderId="3" xfId="1" applyNumberFormat="1" applyFont="1" applyFill="1" applyBorder="1"/>
    <xf numFmtId="165" fontId="2" fillId="9" borderId="0" xfId="1" applyNumberFormat="1" applyFont="1" applyFill="1" applyBorder="1"/>
    <xf numFmtId="165" fontId="3" fillId="2" borderId="0" xfId="1" applyNumberFormat="1" applyFont="1" applyFill="1" applyBorder="1" applyAlignment="1">
      <alignment wrapText="1"/>
    </xf>
    <xf numFmtId="0" fontId="7" fillId="2" borderId="0" xfId="0" applyFont="1" applyFill="1" applyBorder="1" applyAlignment="1">
      <alignment horizontal="center" vertical="center"/>
    </xf>
    <xf numFmtId="0" fontId="7" fillId="2" borderId="2" xfId="0" applyFont="1" applyFill="1" applyBorder="1" applyAlignment="1">
      <alignment horizontal="center" vertical="center"/>
    </xf>
    <xf numFmtId="0" fontId="4" fillId="2" borderId="2" xfId="0" applyFont="1" applyFill="1" applyBorder="1" applyAlignment="1">
      <alignment horizontal="right" vertical="center"/>
    </xf>
    <xf numFmtId="0" fontId="4" fillId="2" borderId="3" xfId="0" applyFont="1" applyFill="1" applyBorder="1" applyAlignment="1">
      <alignment horizontal="right" vertical="center"/>
    </xf>
    <xf numFmtId="3" fontId="4" fillId="2" borderId="2" xfId="0" applyNumberFormat="1" applyFont="1" applyFill="1" applyBorder="1" applyAlignment="1">
      <alignment horizontal="right"/>
    </xf>
    <xf numFmtId="3" fontId="4" fillId="2" borderId="3" xfId="0" applyNumberFormat="1" applyFont="1" applyFill="1" applyBorder="1" applyAlignment="1">
      <alignment horizontal="right"/>
    </xf>
    <xf numFmtId="1" fontId="4" fillId="2" borderId="0" xfId="1" applyNumberFormat="1" applyFont="1" applyFill="1" applyBorder="1"/>
    <xf numFmtId="1" fontId="4" fillId="2" borderId="1" xfId="1" applyNumberFormat="1" applyFont="1" applyFill="1" applyBorder="1"/>
    <xf numFmtId="166" fontId="2" fillId="2" borderId="4" xfId="2" applyNumberFormat="1" applyFont="1" applyFill="1" applyBorder="1"/>
    <xf numFmtId="166" fontId="3" fillId="2" borderId="5" xfId="2" applyNumberFormat="1" applyFont="1" applyFill="1" applyBorder="1" applyAlignment="1">
      <alignment wrapText="1"/>
    </xf>
    <xf numFmtId="166" fontId="4" fillId="2" borderId="4" xfId="2" applyNumberFormat="1" applyFont="1" applyFill="1" applyBorder="1" applyAlignment="1">
      <alignment horizontal="right"/>
    </xf>
    <xf numFmtId="166" fontId="4" fillId="2" borderId="5" xfId="2" applyNumberFormat="1" applyFont="1" applyFill="1" applyBorder="1" applyAlignment="1">
      <alignment horizontal="right"/>
    </xf>
    <xf numFmtId="165" fontId="4" fillId="2" borderId="3" xfId="0" applyNumberFormat="1" applyFont="1" applyFill="1" applyBorder="1"/>
    <xf numFmtId="0" fontId="4" fillId="9" borderId="2" xfId="0" applyFont="1" applyFill="1" applyBorder="1" applyAlignment="1">
      <alignment horizontal="right"/>
    </xf>
    <xf numFmtId="171" fontId="6" fillId="2" borderId="0" xfId="0" applyNumberFormat="1" applyFont="1" applyFill="1"/>
    <xf numFmtId="165" fontId="57" fillId="2" borderId="0" xfId="1" applyNumberFormat="1" applyFont="1" applyFill="1" applyBorder="1" applyAlignment="1">
      <alignment horizontal="center" vertical="center"/>
    </xf>
    <xf numFmtId="165" fontId="6" fillId="2" borderId="0" xfId="0" applyNumberFormat="1" applyFont="1" applyFill="1" applyBorder="1"/>
    <xf numFmtId="165" fontId="57" fillId="2" borderId="0" xfId="1" applyNumberFormat="1" applyFont="1" applyFill="1" applyBorder="1" applyAlignment="1">
      <alignment horizontal="center"/>
    </xf>
    <xf numFmtId="171" fontId="6" fillId="2" borderId="0" xfId="0" applyNumberFormat="1" applyFont="1" applyFill="1" applyBorder="1"/>
    <xf numFmtId="0" fontId="2" fillId="2" borderId="0" xfId="0" applyFont="1" applyFill="1"/>
    <xf numFmtId="0" fontId="2" fillId="40" borderId="18" xfId="0" applyFont="1" applyFill="1" applyBorder="1" applyAlignment="1"/>
    <xf numFmtId="0" fontId="2" fillId="40" borderId="19" xfId="0" applyFont="1" applyFill="1" applyBorder="1" applyAlignment="1"/>
    <xf numFmtId="0" fontId="2" fillId="40" borderId="20" xfId="0" applyFont="1" applyFill="1" applyBorder="1" applyAlignment="1"/>
    <xf numFmtId="165" fontId="46" fillId="40" borderId="14" xfId="0" applyNumberFormat="1" applyFont="1" applyFill="1" applyBorder="1" applyAlignment="1">
      <alignment horizontal="right" vertical="center"/>
    </xf>
    <xf numFmtId="2" fontId="6" fillId="2" borderId="0" xfId="1" applyNumberFormat="1" applyFont="1" applyFill="1" applyBorder="1"/>
    <xf numFmtId="0" fontId="64" fillId="2" borderId="0" xfId="65" applyFont="1" applyFill="1" applyAlignment="1" applyProtection="1">
      <alignment horizontal="left" vertical="center" indent="2"/>
    </xf>
    <xf numFmtId="0" fontId="64" fillId="2" borderId="0" xfId="65" applyFont="1" applyFill="1" applyAlignment="1" applyProtection="1">
      <alignment horizontal="left" vertical="center" indent="3"/>
    </xf>
    <xf numFmtId="0" fontId="2" fillId="2" borderId="0" xfId="0" applyFont="1" applyFill="1"/>
    <xf numFmtId="0" fontId="64" fillId="2" borderId="0" xfId="65" applyFont="1" applyFill="1" applyAlignment="1" applyProtection="1">
      <alignment horizontal="left" vertical="center" indent="2"/>
    </xf>
    <xf numFmtId="165" fontId="4" fillId="9" borderId="4" xfId="1" applyNumberFormat="1" applyFont="1" applyFill="1" applyBorder="1" applyAlignment="1">
      <alignment horizontal="center"/>
    </xf>
    <xf numFmtId="165" fontId="4" fillId="9" borderId="0" xfId="1" applyNumberFormat="1" applyFont="1" applyFill="1" applyAlignment="1">
      <alignment horizontal="center"/>
    </xf>
    <xf numFmtId="165" fontId="4" fillId="9" borderId="0" xfId="1" applyNumberFormat="1" applyFont="1" applyFill="1" applyBorder="1" applyAlignment="1">
      <alignment horizontal="center"/>
    </xf>
    <xf numFmtId="0" fontId="4" fillId="9" borderId="5" xfId="0" applyFont="1" applyFill="1" applyBorder="1" applyAlignment="1">
      <alignment horizontal="center"/>
    </xf>
    <xf numFmtId="0" fontId="4" fillId="9" borderId="1" xfId="0" applyFont="1" applyFill="1" applyBorder="1" applyAlignment="1">
      <alignment horizontal="center"/>
    </xf>
    <xf numFmtId="166" fontId="4" fillId="9" borderId="5" xfId="2" applyNumberFormat="1" applyFont="1" applyFill="1" applyBorder="1" applyAlignment="1">
      <alignment horizontal="center"/>
    </xf>
    <xf numFmtId="0" fontId="4" fillId="2" borderId="73" xfId="0" applyFont="1" applyFill="1" applyBorder="1" applyAlignment="1">
      <alignment horizontal="right"/>
    </xf>
    <xf numFmtId="0" fontId="4" fillId="2" borderId="74" xfId="0" applyFont="1" applyFill="1" applyBorder="1" applyAlignment="1">
      <alignment horizontal="right"/>
    </xf>
    <xf numFmtId="0" fontId="4" fillId="9" borderId="4" xfId="0" applyFont="1" applyFill="1" applyBorder="1" applyAlignment="1">
      <alignment horizontal="right"/>
    </xf>
    <xf numFmtId="2" fontId="4" fillId="2" borderId="4" xfId="1" applyNumberFormat="1" applyFont="1" applyFill="1" applyBorder="1" applyAlignment="1">
      <alignment horizontal="right"/>
    </xf>
    <xf numFmtId="2" fontId="4" fillId="2" borderId="2" xfId="1" applyNumberFormat="1" applyFont="1" applyFill="1" applyBorder="1" applyAlignment="1">
      <alignment horizontal="right"/>
    </xf>
    <xf numFmtId="2" fontId="4" fillId="2" borderId="5" xfId="1" applyNumberFormat="1" applyFont="1" applyFill="1" applyBorder="1" applyAlignment="1">
      <alignment horizontal="right"/>
    </xf>
    <xf numFmtId="2" fontId="4" fillId="2" borderId="3" xfId="1" applyNumberFormat="1" applyFont="1" applyFill="1" applyBorder="1" applyAlignment="1">
      <alignment horizontal="right"/>
    </xf>
    <xf numFmtId="2" fontId="4" fillId="9" borderId="4" xfId="0" applyNumberFormat="1" applyFont="1" applyFill="1" applyBorder="1" applyAlignment="1">
      <alignment horizontal="right"/>
    </xf>
    <xf numFmtId="2" fontId="4" fillId="9" borderId="2" xfId="0" applyNumberFormat="1" applyFont="1" applyFill="1" applyBorder="1" applyAlignment="1">
      <alignment horizontal="right"/>
    </xf>
    <xf numFmtId="2" fontId="4" fillId="9" borderId="5" xfId="0" applyNumberFormat="1" applyFont="1" applyFill="1" applyBorder="1" applyAlignment="1">
      <alignment horizontal="right"/>
    </xf>
    <xf numFmtId="2" fontId="4" fillId="9" borderId="3" xfId="0" applyNumberFormat="1" applyFont="1" applyFill="1" applyBorder="1" applyAlignment="1">
      <alignment horizontal="right"/>
    </xf>
    <xf numFmtId="166" fontId="4" fillId="9" borderId="0" xfId="2" applyNumberFormat="1" applyFont="1" applyFill="1" applyBorder="1" applyAlignment="1">
      <alignment horizontal="right"/>
    </xf>
    <xf numFmtId="166" fontId="4" fillId="9" borderId="4" xfId="2" applyNumberFormat="1" applyFont="1" applyFill="1" applyBorder="1" applyAlignment="1">
      <alignment horizontal="right"/>
    </xf>
    <xf numFmtId="1" fontId="4" fillId="9" borderId="0" xfId="0" applyNumberFormat="1" applyFont="1" applyFill="1"/>
    <xf numFmtId="0" fontId="4" fillId="9" borderId="3" xfId="0" applyFont="1" applyFill="1" applyBorder="1" applyAlignment="1">
      <alignment horizontal="right"/>
    </xf>
    <xf numFmtId="1" fontId="4" fillId="2" borderId="0" xfId="0" applyNumberFormat="1" applyFont="1" applyFill="1" applyBorder="1" applyAlignment="1">
      <alignment horizontal="right"/>
    </xf>
    <xf numFmtId="1" fontId="4" fillId="2" borderId="1" xfId="0" applyNumberFormat="1" applyFont="1" applyFill="1" applyBorder="1" applyAlignment="1">
      <alignment horizontal="right"/>
    </xf>
    <xf numFmtId="1" fontId="4" fillId="9" borderId="0" xfId="0" applyNumberFormat="1" applyFont="1" applyFill="1" applyAlignment="1">
      <alignment horizontal="right"/>
    </xf>
    <xf numFmtId="49" fontId="4" fillId="9" borderId="0" xfId="0" applyNumberFormat="1" applyFont="1" applyFill="1" applyBorder="1" applyAlignment="1">
      <alignment horizontal="right"/>
    </xf>
    <xf numFmtId="166" fontId="11" fillId="2" borderId="0" xfId="2" applyNumberFormat="1" applyFont="1" applyFill="1" applyBorder="1"/>
    <xf numFmtId="165" fontId="11" fillId="2" borderId="0" xfId="1" applyNumberFormat="1" applyFont="1" applyFill="1" applyBorder="1"/>
    <xf numFmtId="0" fontId="36" fillId="2" borderId="0" xfId="65" applyFont="1" applyFill="1" applyAlignment="1" applyProtection="1">
      <alignment horizontal="left" vertical="center" indent="3"/>
    </xf>
    <xf numFmtId="0" fontId="9" fillId="2" borderId="0" xfId="65" applyFont="1" applyFill="1" applyAlignment="1" applyProtection="1">
      <alignment horizontal="left" vertical="center" indent="2"/>
    </xf>
    <xf numFmtId="165" fontId="4" fillId="2" borderId="46" xfId="1" applyNumberFormat="1" applyFont="1" applyFill="1" applyBorder="1"/>
    <xf numFmtId="0" fontId="6" fillId="2" borderId="0" xfId="0" applyFont="1" applyFill="1" applyAlignment="1">
      <alignment horizontal="left" vertical="center" wrapText="1" indent="1"/>
    </xf>
    <xf numFmtId="0" fontId="2" fillId="2" borderId="0" xfId="0" applyFont="1" applyFill="1"/>
    <xf numFmtId="165" fontId="4" fillId="2" borderId="0" xfId="0" applyNumberFormat="1" applyFont="1" applyFill="1" applyBorder="1"/>
    <xf numFmtId="165" fontId="4" fillId="2" borderId="1" xfId="0" applyNumberFormat="1" applyFont="1" applyFill="1" applyBorder="1" applyAlignment="1">
      <alignment horizontal="right"/>
    </xf>
    <xf numFmtId="0" fontId="4" fillId="2" borderId="0" xfId="0" applyFont="1" applyFill="1" applyAlignment="1">
      <alignment horizontal="right"/>
    </xf>
    <xf numFmtId="165" fontId="4" fillId="2" borderId="0" xfId="1" applyNumberFormat="1" applyFont="1" applyFill="1" applyAlignment="1">
      <alignment horizontal="right"/>
    </xf>
    <xf numFmtId="165" fontId="4" fillId="2" borderId="0" xfId="1" applyNumberFormat="1" applyFont="1" applyFill="1" applyBorder="1"/>
    <xf numFmtId="0" fontId="2" fillId="2" borderId="0" xfId="0" applyFont="1" applyFill="1"/>
    <xf numFmtId="165" fontId="4" fillId="9" borderId="101" xfId="1" applyNumberFormat="1" applyFont="1" applyFill="1" applyBorder="1" applyAlignment="1">
      <alignment horizontal="right"/>
    </xf>
    <xf numFmtId="0" fontId="4" fillId="9" borderId="101" xfId="0" applyFont="1" applyFill="1" applyBorder="1" applyAlignment="1">
      <alignment horizontal="right"/>
    </xf>
    <xf numFmtId="1" fontId="4" fillId="2" borderId="0" xfId="0" applyNumberFormat="1" applyFont="1" applyFill="1" applyAlignment="1">
      <alignment horizontal="right"/>
    </xf>
    <xf numFmtId="0" fontId="6" fillId="2" borderId="2" xfId="0" applyFont="1" applyFill="1" applyBorder="1"/>
    <xf numFmtId="0" fontId="4" fillId="2" borderId="0" xfId="0" applyFont="1" applyFill="1" applyAlignment="1">
      <alignment horizontal="left"/>
    </xf>
    <xf numFmtId="0" fontId="4" fillId="2" borderId="1" xfId="0" applyFont="1" applyFill="1" applyBorder="1" applyAlignment="1">
      <alignment horizontal="left"/>
    </xf>
    <xf numFmtId="0" fontId="4" fillId="2" borderId="0" xfId="0" applyFont="1" applyFill="1" applyBorder="1" applyAlignment="1">
      <alignment horizontal="left"/>
    </xf>
    <xf numFmtId="0" fontId="4" fillId="9" borderId="0" xfId="0" applyFont="1" applyFill="1" applyAlignment="1">
      <alignment horizontal="left"/>
    </xf>
    <xf numFmtId="49" fontId="4" fillId="9" borderId="0" xfId="0" applyNumberFormat="1" applyFont="1" applyFill="1" applyAlignment="1">
      <alignment horizontal="left"/>
    </xf>
    <xf numFmtId="0" fontId="4" fillId="9" borderId="0" xfId="0" applyFont="1" applyFill="1" applyBorder="1" applyAlignment="1">
      <alignment horizontal="left"/>
    </xf>
    <xf numFmtId="0" fontId="4" fillId="9" borderId="1" xfId="0" applyFont="1" applyFill="1" applyBorder="1" applyAlignment="1">
      <alignment horizontal="left"/>
    </xf>
    <xf numFmtId="0" fontId="4" fillId="2" borderId="2" xfId="0" applyFont="1" applyFill="1" applyBorder="1" applyAlignment="1">
      <alignment horizontal="left"/>
    </xf>
    <xf numFmtId="0" fontId="4" fillId="2" borderId="3" xfId="0" applyFont="1" applyFill="1" applyBorder="1" applyAlignment="1">
      <alignment horizontal="left"/>
    </xf>
    <xf numFmtId="0" fontId="4" fillId="9" borderId="2" xfId="0" applyFont="1" applyFill="1" applyBorder="1" applyAlignment="1">
      <alignment horizontal="left"/>
    </xf>
    <xf numFmtId="0" fontId="4" fillId="9" borderId="3" xfId="0" applyFont="1" applyFill="1" applyBorder="1" applyAlignment="1">
      <alignment horizontal="left"/>
    </xf>
    <xf numFmtId="49" fontId="4" fillId="2" borderId="0" xfId="0" applyNumberFormat="1" applyFont="1" applyFill="1" applyAlignment="1">
      <alignment horizontal="left"/>
    </xf>
    <xf numFmtId="49" fontId="4" fillId="2" borderId="1" xfId="0" applyNumberFormat="1" applyFont="1" applyFill="1" applyBorder="1" applyAlignment="1">
      <alignment horizontal="left"/>
    </xf>
    <xf numFmtId="49" fontId="4" fillId="2" borderId="0" xfId="0" applyNumberFormat="1" applyFont="1" applyFill="1" applyBorder="1" applyAlignment="1">
      <alignment horizontal="left"/>
    </xf>
    <xf numFmtId="49" fontId="4" fillId="9" borderId="0" xfId="0" applyNumberFormat="1" applyFont="1" applyFill="1" applyBorder="1" applyAlignment="1">
      <alignment horizontal="left"/>
    </xf>
    <xf numFmtId="49" fontId="4" fillId="9" borderId="1" xfId="0" applyNumberFormat="1" applyFont="1" applyFill="1" applyBorder="1" applyAlignment="1">
      <alignment horizontal="left"/>
    </xf>
    <xf numFmtId="166" fontId="4" fillId="9" borderId="0" xfId="0" applyNumberFormat="1" applyFont="1" applyFill="1"/>
    <xf numFmtId="0" fontId="2" fillId="0" borderId="0" xfId="0" applyFont="1" applyAlignment="1">
      <alignment vertical="top" wrapText="1"/>
    </xf>
    <xf numFmtId="0" fontId="64" fillId="2" borderId="0" xfId="65" applyFont="1" applyFill="1" applyAlignment="1" applyProtection="1">
      <alignment horizontal="left" indent="3"/>
    </xf>
    <xf numFmtId="0" fontId="2" fillId="2" borderId="0" xfId="0" applyFont="1" applyFill="1" applyAlignment="1">
      <alignment vertical="top" wrapText="1"/>
    </xf>
    <xf numFmtId="0" fontId="2" fillId="2" borderId="18" xfId="0" applyFont="1" applyFill="1" applyBorder="1" applyAlignment="1">
      <alignment horizontal="left" indent="1"/>
    </xf>
    <xf numFmtId="0" fontId="2" fillId="2" borderId="19" xfId="0" applyFont="1" applyFill="1" applyBorder="1" applyAlignment="1">
      <alignment horizontal="left" indent="1"/>
    </xf>
    <xf numFmtId="0" fontId="2" fillId="2" borderId="20" xfId="0" applyFont="1" applyFill="1" applyBorder="1" applyAlignment="1">
      <alignment horizontal="left" indent="1"/>
    </xf>
    <xf numFmtId="0" fontId="2" fillId="2" borderId="0" xfId="0" applyFont="1" applyFill="1" applyAlignment="1">
      <alignment vertical="center" wrapText="1"/>
    </xf>
    <xf numFmtId="0" fontId="2" fillId="2" borderId="0" xfId="0" applyFont="1" applyFill="1"/>
    <xf numFmtId="2" fontId="4" fillId="2" borderId="0" xfId="1" applyNumberFormat="1" applyFont="1" applyFill="1" applyBorder="1" applyAlignment="1">
      <alignment horizontal="right"/>
    </xf>
    <xf numFmtId="2" fontId="4" fillId="2" borderId="1" xfId="1" applyNumberFormat="1" applyFont="1" applyFill="1" applyBorder="1" applyAlignment="1">
      <alignment horizontal="right"/>
    </xf>
    <xf numFmtId="2" fontId="4" fillId="9" borderId="0" xfId="1" applyNumberFormat="1" applyFont="1" applyFill="1" applyBorder="1" applyAlignment="1">
      <alignment horizontal="right"/>
    </xf>
    <xf numFmtId="2" fontId="4" fillId="9" borderId="0" xfId="0" applyNumberFormat="1" applyFont="1" applyFill="1" applyBorder="1" applyAlignment="1">
      <alignment horizontal="right"/>
    </xf>
    <xf numFmtId="1" fontId="2" fillId="2" borderId="0" xfId="1" applyNumberFormat="1" applyFont="1" applyFill="1" applyBorder="1"/>
    <xf numFmtId="1" fontId="3" fillId="2" borderId="1" xfId="1" applyNumberFormat="1" applyFont="1" applyFill="1" applyBorder="1" applyAlignment="1">
      <alignment wrapText="1"/>
    </xf>
    <xf numFmtId="1" fontId="4" fillId="2" borderId="0" xfId="1" applyNumberFormat="1" applyFont="1" applyFill="1" applyBorder="1" applyAlignment="1">
      <alignment horizontal="right"/>
    </xf>
    <xf numFmtId="1" fontId="4" fillId="2" borderId="1" xfId="1" applyNumberFormat="1" applyFont="1" applyFill="1" applyBorder="1" applyAlignment="1">
      <alignment horizontal="right"/>
    </xf>
    <xf numFmtId="1" fontId="4" fillId="9" borderId="0" xfId="1" applyNumberFormat="1" applyFont="1" applyFill="1" applyBorder="1" applyAlignment="1">
      <alignment horizontal="right"/>
    </xf>
    <xf numFmtId="1" fontId="4" fillId="9" borderId="0" xfId="0" applyNumberFormat="1" applyFont="1" applyFill="1" applyBorder="1" applyAlignment="1">
      <alignment horizontal="right"/>
    </xf>
    <xf numFmtId="0" fontId="4" fillId="9" borderId="102" xfId="0" applyFont="1" applyFill="1" applyBorder="1" applyAlignment="1">
      <alignment horizontal="right"/>
    </xf>
    <xf numFmtId="1" fontId="4" fillId="9" borderId="1" xfId="0" applyNumberFormat="1" applyFont="1" applyFill="1" applyBorder="1" applyAlignment="1">
      <alignment horizontal="right"/>
    </xf>
    <xf numFmtId="2" fontId="4" fillId="9" borderId="1" xfId="0" applyNumberFormat="1" applyFont="1" applyFill="1" applyBorder="1" applyAlignment="1">
      <alignment horizontal="right"/>
    </xf>
    <xf numFmtId="0" fontId="2" fillId="2" borderId="0" xfId="0" applyFont="1" applyFill="1" applyAlignment="1">
      <alignment horizontal="center" vertical="center" wrapText="1"/>
    </xf>
    <xf numFmtId="9" fontId="35" fillId="2" borderId="0" xfId="1" applyFont="1" applyFill="1"/>
    <xf numFmtId="0" fontId="66" fillId="2" borderId="0" xfId="0" applyFont="1" applyFill="1"/>
    <xf numFmtId="0" fontId="67" fillId="2" borderId="0" xfId="0" applyFont="1" applyFill="1"/>
    <xf numFmtId="0" fontId="11" fillId="2" borderId="0" xfId="65" applyFont="1" applyFill="1" applyBorder="1" applyAlignment="1" applyProtection="1">
      <alignment vertical="center" wrapText="1"/>
    </xf>
    <xf numFmtId="0" fontId="11" fillId="2" borderId="0" xfId="0" applyFont="1" applyFill="1" applyBorder="1" applyAlignment="1">
      <alignment vertical="center"/>
    </xf>
    <xf numFmtId="0" fontId="36" fillId="2" borderId="0" xfId="0" applyFont="1" applyFill="1" applyBorder="1" applyAlignment="1">
      <alignment vertical="center" wrapText="1"/>
    </xf>
    <xf numFmtId="0" fontId="2" fillId="2" borderId="0" xfId="0" applyFont="1" applyFill="1"/>
    <xf numFmtId="0" fontId="68" fillId="2" borderId="0" xfId="65" applyFont="1" applyFill="1" applyBorder="1" applyAlignment="1" applyProtection="1">
      <alignment vertical="center"/>
    </xf>
    <xf numFmtId="0" fontId="36" fillId="2" borderId="0" xfId="0" applyFont="1" applyFill="1" applyBorder="1" applyAlignment="1">
      <alignment vertical="center"/>
    </xf>
    <xf numFmtId="0" fontId="36" fillId="2" borderId="0" xfId="0" applyFont="1" applyFill="1" applyBorder="1" applyAlignment="1">
      <alignment horizontal="left" vertical="center" indent="1"/>
    </xf>
    <xf numFmtId="0" fontId="0" fillId="2" borderId="0" xfId="0" applyFont="1" applyFill="1"/>
    <xf numFmtId="0" fontId="37" fillId="6" borderId="18" xfId="0" applyFont="1" applyFill="1" applyBorder="1" applyAlignment="1">
      <alignment vertical="center"/>
    </xf>
    <xf numFmtId="1" fontId="2" fillId="2" borderId="1" xfId="1" applyNumberFormat="1" applyFont="1" applyFill="1" applyBorder="1"/>
    <xf numFmtId="166" fontId="4" fillId="9" borderId="0" xfId="0" applyNumberFormat="1" applyFont="1" applyFill="1" applyBorder="1" applyAlignment="1">
      <alignment horizontal="right"/>
    </xf>
    <xf numFmtId="166" fontId="4" fillId="9" borderId="0" xfId="0" applyNumberFormat="1" applyFont="1" applyFill="1" applyAlignment="1">
      <alignment horizontal="right"/>
    </xf>
    <xf numFmtId="166" fontId="4" fillId="9" borderId="1" xfId="0" applyNumberFormat="1" applyFont="1" applyFill="1" applyBorder="1" applyAlignment="1">
      <alignment horizontal="right"/>
    </xf>
    <xf numFmtId="0" fontId="2" fillId="5" borderId="14" xfId="0" applyFont="1" applyFill="1" applyBorder="1" applyAlignment="1">
      <alignment horizontal="center"/>
    </xf>
    <xf numFmtId="0" fontId="2" fillId="6" borderId="14" xfId="0" applyFont="1" applyFill="1" applyBorder="1" applyAlignment="1">
      <alignment horizontal="center"/>
    </xf>
    <xf numFmtId="0" fontId="2" fillId="8" borderId="14" xfId="0" applyFont="1" applyFill="1" applyBorder="1" applyAlignment="1">
      <alignment horizontal="center"/>
    </xf>
    <xf numFmtId="0" fontId="2" fillId="2" borderId="0" xfId="0" applyFont="1" applyFill="1"/>
    <xf numFmtId="0" fontId="2" fillId="2" borderId="0" xfId="0" applyFont="1" applyFill="1" applyBorder="1" applyAlignment="1">
      <alignment horizontal="center" vertical="center"/>
    </xf>
    <xf numFmtId="0" fontId="2" fillId="2" borderId="14"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2" xfId="0" applyFont="1" applyFill="1" applyBorder="1" applyAlignment="1">
      <alignment horizontal="center" vertical="center"/>
    </xf>
    <xf numFmtId="165" fontId="7" fillId="2" borderId="0" xfId="1" applyNumberFormat="1" applyFont="1" applyFill="1" applyBorder="1" applyAlignment="1">
      <alignment horizontal="center" vertical="center"/>
    </xf>
    <xf numFmtId="165" fontId="57" fillId="2" borderId="0" xfId="1" applyNumberFormat="1" applyFont="1" applyFill="1" applyBorder="1" applyAlignment="1"/>
    <xf numFmtId="1" fontId="4" fillId="9" borderId="1" xfId="1" applyNumberFormat="1" applyFont="1" applyFill="1" applyBorder="1" applyAlignment="1">
      <alignment horizontal="right"/>
    </xf>
    <xf numFmtId="0" fontId="2" fillId="33" borderId="14" xfId="0" applyFont="1" applyFill="1" applyBorder="1" applyAlignment="1">
      <alignment horizontal="center"/>
    </xf>
    <xf numFmtId="0" fontId="2" fillId="2" borderId="0" xfId="0" applyFont="1" applyFill="1" applyBorder="1" applyAlignment="1"/>
    <xf numFmtId="165" fontId="2" fillId="2" borderId="14" xfId="1" applyNumberFormat="1" applyFont="1" applyFill="1" applyBorder="1" applyAlignment="1">
      <alignment horizontal="center" vertical="center"/>
    </xf>
    <xf numFmtId="165" fontId="69" fillId="2" borderId="0" xfId="1" applyNumberFormat="1" applyFont="1" applyFill="1" applyBorder="1" applyAlignment="1"/>
    <xf numFmtId="165" fontId="0" fillId="2" borderId="0" xfId="0" applyNumberFormat="1" applyFill="1"/>
    <xf numFmtId="0" fontId="2" fillId="9" borderId="0" xfId="0" applyFont="1" applyFill="1" applyBorder="1"/>
    <xf numFmtId="0" fontId="3" fillId="2" borderId="0" xfId="0" applyFont="1" applyFill="1" applyBorder="1" applyAlignment="1">
      <alignment wrapText="1"/>
    </xf>
    <xf numFmtId="1" fontId="4" fillId="9" borderId="2" xfId="1" applyNumberFormat="1" applyFont="1" applyFill="1" applyBorder="1" applyAlignment="1">
      <alignment horizontal="right"/>
    </xf>
    <xf numFmtId="167" fontId="4" fillId="2" borderId="0" xfId="0" applyNumberFormat="1" applyFont="1" applyFill="1" applyBorder="1"/>
    <xf numFmtId="165" fontId="4" fillId="2" borderId="1" xfId="1" applyNumberFormat="1" applyFont="1" applyFill="1" applyBorder="1" applyAlignment="1"/>
    <xf numFmtId="165" fontId="2" fillId="2" borderId="0" xfId="1" applyNumberFormat="1" applyFont="1" applyFill="1" applyBorder="1" applyAlignment="1">
      <alignment horizontal="center" vertical="center"/>
    </xf>
    <xf numFmtId="0" fontId="4" fillId="2" borderId="0" xfId="0" applyNumberFormat="1" applyFont="1" applyFill="1" applyBorder="1"/>
    <xf numFmtId="0" fontId="4" fillId="2" borderId="1" xfId="0" applyNumberFormat="1" applyFont="1" applyFill="1" applyBorder="1"/>
    <xf numFmtId="0" fontId="6" fillId="2" borderId="0" xfId="0" applyFont="1" applyFill="1" applyBorder="1"/>
    <xf numFmtId="0" fontId="3" fillId="2" borderId="2" xfId="0" applyFont="1" applyFill="1" applyBorder="1" applyAlignment="1">
      <alignment wrapText="1"/>
    </xf>
    <xf numFmtId="0" fontId="36" fillId="2" borderId="0" xfId="0" applyFont="1" applyFill="1" applyBorder="1"/>
    <xf numFmtId="165" fontId="4" fillId="2" borderId="103" xfId="1" applyNumberFormat="1" applyFont="1" applyFill="1" applyBorder="1"/>
    <xf numFmtId="165" fontId="2" fillId="2" borderId="14" xfId="1" applyNumberFormat="1" applyFont="1" applyFill="1" applyBorder="1" applyAlignment="1">
      <alignment horizontal="right" vertical="center"/>
    </xf>
    <xf numFmtId="0" fontId="5" fillId="3" borderId="0" xfId="0" applyFont="1" applyFill="1" applyAlignment="1">
      <alignment horizontal="center" vertical="center"/>
    </xf>
    <xf numFmtId="0" fontId="2" fillId="3" borderId="0" xfId="0" applyFont="1" applyFill="1" applyAlignment="1">
      <alignment horizontal="center" vertical="center"/>
    </xf>
    <xf numFmtId="0" fontId="2" fillId="3" borderId="0" xfId="0" applyFont="1" applyFill="1" applyBorder="1" applyAlignment="1">
      <alignment horizontal="center"/>
    </xf>
    <xf numFmtId="0" fontId="5" fillId="2" borderId="0" xfId="0" applyFont="1" applyFill="1" applyAlignment="1">
      <alignment horizontal="center" vertical="center"/>
    </xf>
    <xf numFmtId="0" fontId="2" fillId="2" borderId="0" xfId="0" applyFont="1" applyFill="1" applyAlignment="1">
      <alignment horizontal="center" vertical="center"/>
    </xf>
    <xf numFmtId="0" fontId="53" fillId="2" borderId="0" xfId="0" applyFont="1" applyFill="1" applyBorder="1" applyAlignment="1">
      <alignment horizontal="left" vertical="center" wrapText="1" indent="2"/>
    </xf>
    <xf numFmtId="0" fontId="53" fillId="2" borderId="0" xfId="0" applyFont="1" applyFill="1" applyBorder="1" applyAlignment="1">
      <alignment horizontal="left" vertical="center" indent="2"/>
    </xf>
    <xf numFmtId="0" fontId="36" fillId="2" borderId="0" xfId="0" applyFont="1" applyFill="1" applyBorder="1" applyAlignment="1">
      <alignment horizontal="left" vertical="center" wrapText="1" indent="3"/>
    </xf>
    <xf numFmtId="0" fontId="36" fillId="2" borderId="0" xfId="0" applyFont="1" applyFill="1" applyBorder="1" applyAlignment="1">
      <alignment horizontal="left" vertical="center" indent="3"/>
    </xf>
    <xf numFmtId="0" fontId="11" fillId="3" borderId="0" xfId="0" applyFont="1" applyFill="1" applyBorder="1" applyAlignment="1">
      <alignment vertical="center"/>
    </xf>
    <xf numFmtId="0" fontId="2" fillId="2" borderId="0" xfId="0" applyFont="1" applyFill="1" applyAlignment="1">
      <alignment horizontal="left" vertical="center" indent="4"/>
    </xf>
    <xf numFmtId="0" fontId="36" fillId="2" borderId="0" xfId="0" applyFont="1" applyFill="1" applyAlignment="1">
      <alignment horizontal="left" vertical="center" wrapText="1" indent="1"/>
    </xf>
    <xf numFmtId="0" fontId="36" fillId="2" borderId="0" xfId="0" applyFont="1" applyFill="1" applyBorder="1" applyAlignment="1">
      <alignment vertical="center" wrapText="1"/>
    </xf>
    <xf numFmtId="0" fontId="2" fillId="2" borderId="0" xfId="0" applyFont="1" applyFill="1" applyAlignment="1">
      <alignment horizontal="left" vertical="top" wrapText="1" indent="4"/>
    </xf>
    <xf numFmtId="0" fontId="36" fillId="2" borderId="0" xfId="0" applyFont="1" applyFill="1" applyAlignment="1">
      <alignment horizontal="left" vertical="top" wrapText="1"/>
    </xf>
    <xf numFmtId="0" fontId="54" fillId="2" borderId="0" xfId="0" applyFont="1" applyFill="1" applyAlignment="1">
      <alignment horizontal="left" vertical="center" indent="1"/>
    </xf>
    <xf numFmtId="0" fontId="36" fillId="2" borderId="0" xfId="65" applyFont="1" applyFill="1" applyBorder="1" applyAlignment="1" applyProtection="1">
      <alignment vertical="center"/>
    </xf>
    <xf numFmtId="0" fontId="11" fillId="3" borderId="0" xfId="65" applyFont="1" applyFill="1" applyBorder="1" applyAlignment="1" applyProtection="1">
      <alignment vertical="center" wrapText="1"/>
    </xf>
    <xf numFmtId="0" fontId="11" fillId="3" borderId="0" xfId="65" applyFont="1" applyFill="1" applyBorder="1" applyAlignment="1" applyProtection="1">
      <alignment vertical="center"/>
    </xf>
    <xf numFmtId="0" fontId="11" fillId="2" borderId="0" xfId="65" applyFont="1" applyFill="1" applyBorder="1" applyAlignment="1" applyProtection="1">
      <alignment vertical="center" wrapText="1"/>
    </xf>
    <xf numFmtId="0" fontId="8" fillId="8" borderId="15" xfId="0" applyFont="1" applyFill="1" applyBorder="1" applyAlignment="1">
      <alignment horizontal="center" vertical="center"/>
    </xf>
    <xf numFmtId="0" fontId="8" fillId="8" borderId="17" xfId="0" applyFont="1" applyFill="1" applyBorder="1" applyAlignment="1">
      <alignment horizontal="center" vertical="center"/>
    </xf>
    <xf numFmtId="0" fontId="8" fillId="6" borderId="15" xfId="0" applyFont="1" applyFill="1" applyBorder="1" applyAlignment="1">
      <alignment horizontal="center" vertical="center" wrapText="1"/>
    </xf>
    <xf numFmtId="0" fontId="8" fillId="6" borderId="17" xfId="0" applyFont="1" applyFill="1" applyBorder="1" applyAlignment="1">
      <alignment horizontal="center" vertical="center" wrapText="1"/>
    </xf>
    <xf numFmtId="0" fontId="8" fillId="33" borderId="15" xfId="0" applyFont="1" applyFill="1" applyBorder="1" applyAlignment="1">
      <alignment horizontal="center" vertical="center" wrapText="1"/>
    </xf>
    <xf numFmtId="0" fontId="8" fillId="33" borderId="17" xfId="0" applyFont="1" applyFill="1" applyBorder="1" applyAlignment="1">
      <alignment horizontal="center" vertical="center" wrapText="1"/>
    </xf>
    <xf numFmtId="0" fontId="8" fillId="8" borderId="14"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11"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3" xfId="0" applyFont="1" applyFill="1" applyBorder="1" applyAlignment="1">
      <alignment horizontal="center" vertical="center"/>
    </xf>
    <xf numFmtId="0" fontId="8" fillId="7" borderId="15" xfId="0" applyFont="1" applyFill="1" applyBorder="1" applyAlignment="1">
      <alignment horizontal="center" vertical="center" wrapText="1"/>
    </xf>
    <xf numFmtId="0" fontId="8" fillId="7" borderId="17" xfId="0" applyFont="1" applyFill="1" applyBorder="1" applyAlignment="1">
      <alignment horizontal="center" vertical="center" wrapText="1"/>
    </xf>
    <xf numFmtId="0" fontId="2" fillId="2" borderId="14" xfId="0" applyFont="1" applyFill="1" applyBorder="1"/>
    <xf numFmtId="0" fontId="2" fillId="8" borderId="14" xfId="0" applyFont="1" applyFill="1" applyBorder="1"/>
    <xf numFmtId="0" fontId="8" fillId="2" borderId="14" xfId="0" applyFont="1" applyFill="1" applyBorder="1"/>
    <xf numFmtId="0" fontId="2" fillId="2" borderId="18" xfId="0" applyFont="1" applyFill="1" applyBorder="1" applyAlignment="1">
      <alignment horizontal="left" vertical="center"/>
    </xf>
    <xf numFmtId="0" fontId="2" fillId="2" borderId="19" xfId="0" applyFont="1" applyFill="1" applyBorder="1" applyAlignment="1">
      <alignment horizontal="left" vertical="center"/>
    </xf>
    <xf numFmtId="0" fontId="2" fillId="2" borderId="20" xfId="0" applyFont="1" applyFill="1" applyBorder="1" applyAlignment="1">
      <alignment horizontal="left" vertical="center"/>
    </xf>
    <xf numFmtId="0" fontId="2" fillId="9" borderId="18" xfId="0" applyFont="1" applyFill="1" applyBorder="1" applyAlignment="1">
      <alignment horizontal="left" vertical="center" wrapText="1"/>
    </xf>
    <xf numFmtId="0" fontId="2" fillId="9" borderId="19" xfId="0" applyFont="1" applyFill="1" applyBorder="1" applyAlignment="1">
      <alignment horizontal="left" vertical="center" wrapText="1"/>
    </xf>
    <xf numFmtId="0" fontId="2" fillId="9" borderId="20" xfId="0" applyFont="1" applyFill="1" applyBorder="1" applyAlignment="1">
      <alignment horizontal="left" vertical="center" wrapText="1"/>
    </xf>
    <xf numFmtId="0" fontId="8" fillId="33" borderId="14" xfId="0" applyFont="1" applyFill="1" applyBorder="1" applyAlignment="1">
      <alignment horizontal="center" vertical="center" wrapText="1"/>
    </xf>
    <xf numFmtId="0" fontId="8" fillId="8" borderId="14" xfId="0" applyFont="1" applyFill="1" applyBorder="1" applyAlignment="1">
      <alignment horizontal="center" vertical="center" wrapText="1"/>
    </xf>
    <xf numFmtId="0" fontId="10" fillId="2" borderId="0" xfId="0" applyFont="1" applyFill="1" applyAlignment="1">
      <alignment horizontal="left" wrapText="1"/>
    </xf>
    <xf numFmtId="0" fontId="8" fillId="33" borderId="16"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10" fillId="2" borderId="9"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6"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2" fillId="2" borderId="18" xfId="0" applyFont="1" applyFill="1" applyBorder="1" applyAlignment="1">
      <alignment horizontal="left"/>
    </xf>
    <xf numFmtId="0" fontId="2" fillId="2" borderId="20" xfId="0" applyFont="1" applyFill="1" applyBorder="1" applyAlignment="1">
      <alignment horizontal="left"/>
    </xf>
    <xf numFmtId="0" fontId="10" fillId="2" borderId="18"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2" fillId="2" borderId="0" xfId="0" applyFont="1" applyFill="1" applyBorder="1" applyAlignment="1">
      <alignment horizontal="center"/>
    </xf>
    <xf numFmtId="0" fontId="4" fillId="2" borderId="6"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2" fillId="2" borderId="15" xfId="0" applyFont="1" applyFill="1" applyBorder="1" applyAlignment="1">
      <alignment horizontal="center" vertical="center" wrapText="1"/>
    </xf>
    <xf numFmtId="0" fontId="42" fillId="2" borderId="16" xfId="0" applyFont="1" applyFill="1" applyBorder="1" applyAlignment="1">
      <alignment horizontal="center" vertical="center" wrapText="1"/>
    </xf>
    <xf numFmtId="0" fontId="42" fillId="2" borderId="17"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9" fillId="5" borderId="18" xfId="0" applyFont="1" applyFill="1" applyBorder="1" applyAlignment="1">
      <alignment horizontal="center"/>
    </xf>
    <xf numFmtId="0" fontId="9" fillId="5" borderId="19" xfId="0" applyFont="1" applyFill="1" applyBorder="1" applyAlignment="1">
      <alignment horizontal="center"/>
    </xf>
    <xf numFmtId="0" fontId="9" fillId="5" borderId="20" xfId="0" applyFont="1" applyFill="1" applyBorder="1" applyAlignment="1">
      <alignment horizontal="center"/>
    </xf>
    <xf numFmtId="0" fontId="9" fillId="6" borderId="18" xfId="0" applyFont="1" applyFill="1" applyBorder="1" applyAlignment="1">
      <alignment horizontal="center"/>
    </xf>
    <xf numFmtId="0" fontId="9" fillId="6" borderId="19" xfId="0" applyFont="1" applyFill="1" applyBorder="1" applyAlignment="1">
      <alignment horizontal="center"/>
    </xf>
    <xf numFmtId="0" fontId="9" fillId="6" borderId="20" xfId="0" applyFont="1" applyFill="1" applyBorder="1" applyAlignment="1">
      <alignment horizontal="center"/>
    </xf>
    <xf numFmtId="0" fontId="2" fillId="2" borderId="0" xfId="0" applyFont="1" applyFill="1" applyAlignment="1">
      <alignment vertical="top" wrapText="1"/>
    </xf>
    <xf numFmtId="0" fontId="9" fillId="6" borderId="15"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10" fillId="2" borderId="0" xfId="0" applyFont="1" applyFill="1" applyBorder="1" applyAlignment="1">
      <alignment horizontal="center" vertical="center"/>
    </xf>
    <xf numFmtId="0" fontId="2" fillId="2" borderId="18" xfId="0" applyFont="1" applyFill="1" applyBorder="1" applyAlignment="1">
      <alignment horizontal="left" vertical="center" indent="1"/>
    </xf>
    <xf numFmtId="0" fontId="2" fillId="2" borderId="19" xfId="0" applyFont="1" applyFill="1" applyBorder="1" applyAlignment="1">
      <alignment horizontal="left" vertical="center" indent="1"/>
    </xf>
    <xf numFmtId="0" fontId="2" fillId="2" borderId="20" xfId="0" applyFont="1" applyFill="1" applyBorder="1" applyAlignment="1">
      <alignment horizontal="left" vertical="center" indent="1"/>
    </xf>
    <xf numFmtId="0" fontId="8" fillId="2" borderId="18" xfId="0" applyFont="1" applyFill="1" applyBorder="1" applyAlignment="1">
      <alignment vertical="center"/>
    </xf>
    <xf numFmtId="0" fontId="8" fillId="2" borderId="19" xfId="0" applyFont="1" applyFill="1" applyBorder="1" applyAlignment="1">
      <alignment vertical="center"/>
    </xf>
    <xf numFmtId="0" fontId="8" fillId="2" borderId="20" xfId="0" applyFont="1" applyFill="1" applyBorder="1" applyAlignment="1">
      <alignment vertical="center"/>
    </xf>
    <xf numFmtId="0" fontId="8" fillId="6" borderId="16" xfId="0" applyFont="1" applyFill="1" applyBorder="1" applyAlignment="1">
      <alignment horizontal="center" vertical="center" wrapText="1"/>
    </xf>
    <xf numFmtId="0" fontId="8" fillId="32" borderId="14" xfId="0" applyFont="1" applyFill="1" applyBorder="1" applyAlignment="1">
      <alignment horizontal="center" vertical="center" wrapText="1"/>
    </xf>
    <xf numFmtId="0" fontId="9" fillId="32" borderId="15" xfId="0" applyFont="1" applyFill="1" applyBorder="1" applyAlignment="1">
      <alignment horizontal="center" vertical="center" wrapText="1"/>
    </xf>
    <xf numFmtId="0" fontId="9" fillId="32" borderId="16" xfId="0" applyFont="1" applyFill="1" applyBorder="1" applyAlignment="1">
      <alignment horizontal="center" vertical="center" wrapText="1"/>
    </xf>
    <xf numFmtId="0" fontId="9" fillId="32" borderId="17" xfId="0" applyFont="1" applyFill="1" applyBorder="1" applyAlignment="1">
      <alignment horizontal="center" vertical="center" wrapText="1"/>
    </xf>
    <xf numFmtId="0" fontId="2" fillId="2" borderId="55" xfId="0" applyFont="1" applyFill="1" applyBorder="1" applyAlignment="1"/>
    <xf numFmtId="0" fontId="2" fillId="2" borderId="56" xfId="0" applyFont="1" applyFill="1" applyBorder="1" applyAlignment="1"/>
    <xf numFmtId="0" fontId="2" fillId="2" borderId="57" xfId="0" applyFont="1" applyFill="1" applyBorder="1" applyAlignment="1"/>
    <xf numFmtId="0" fontId="2" fillId="2" borderId="0" xfId="0" applyFont="1" applyFill="1" applyAlignment="1">
      <alignment horizontal="left" wrapText="1" indent="1"/>
    </xf>
    <xf numFmtId="0" fontId="8" fillId="3" borderId="15" xfId="0" applyFont="1" applyFill="1" applyBorder="1" applyAlignment="1">
      <alignment horizontal="center" vertical="center" wrapText="1"/>
    </xf>
    <xf numFmtId="0" fontId="8" fillId="3" borderId="16"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8" fillId="33" borderId="15" xfId="0" applyFont="1" applyFill="1" applyBorder="1" applyAlignment="1">
      <alignment horizontal="center" vertical="center"/>
    </xf>
    <xf numFmtId="0" fontId="8" fillId="33" borderId="16" xfId="0" applyFont="1" applyFill="1" applyBorder="1" applyAlignment="1">
      <alignment horizontal="center" vertical="center"/>
    </xf>
    <xf numFmtId="0" fontId="8" fillId="33" borderId="17" xfId="0" applyFont="1" applyFill="1" applyBorder="1" applyAlignment="1">
      <alignment horizontal="center" vertical="center"/>
    </xf>
    <xf numFmtId="0" fontId="8" fillId="8" borderId="16" xfId="0" applyFont="1" applyFill="1" applyBorder="1" applyAlignment="1">
      <alignment horizontal="center" vertical="center"/>
    </xf>
    <xf numFmtId="0" fontId="4" fillId="2" borderId="14" xfId="0" applyFont="1" applyFill="1" applyBorder="1" applyAlignment="1">
      <alignment horizontal="center" vertical="center"/>
    </xf>
    <xf numFmtId="0" fontId="8" fillId="2" borderId="14" xfId="0" applyFont="1" applyFill="1" applyBorder="1" applyAlignment="1">
      <alignment vertical="top" wrapText="1"/>
    </xf>
    <xf numFmtId="0" fontId="2" fillId="2" borderId="14" xfId="0" applyFont="1" applyFill="1" applyBorder="1" applyAlignment="1">
      <alignment horizontal="left" vertical="top" wrapText="1" indent="1"/>
    </xf>
    <xf numFmtId="0" fontId="4" fillId="2" borderId="55" xfId="0" applyFont="1" applyFill="1" applyBorder="1" applyAlignment="1">
      <alignment horizontal="center" vertical="center"/>
    </xf>
    <xf numFmtId="0" fontId="4" fillId="2" borderId="56" xfId="0" applyFont="1" applyFill="1" applyBorder="1" applyAlignment="1">
      <alignment horizontal="center" vertical="center"/>
    </xf>
    <xf numFmtId="0" fontId="4" fillId="2" borderId="57" xfId="0" applyFont="1" applyFill="1" applyBorder="1" applyAlignment="1">
      <alignment horizontal="center" vertical="center"/>
    </xf>
    <xf numFmtId="165" fontId="46" fillId="2" borderId="14" xfId="1" applyNumberFormat="1" applyFont="1" applyFill="1" applyBorder="1" applyAlignment="1">
      <alignment horizontal="center" vertical="center"/>
    </xf>
    <xf numFmtId="165" fontId="2" fillId="2" borderId="14" xfId="1" applyNumberFormat="1"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8" fillId="33" borderId="14" xfId="0" applyFont="1" applyFill="1" applyBorder="1" applyAlignment="1">
      <alignment horizontal="center" vertical="center"/>
    </xf>
    <xf numFmtId="0" fontId="8" fillId="5" borderId="14" xfId="0" applyFont="1" applyFill="1" applyBorder="1" applyAlignment="1">
      <alignment horizontal="center" vertical="center"/>
    </xf>
    <xf numFmtId="0" fontId="8" fillId="6" borderId="14" xfId="0" applyFont="1" applyFill="1" applyBorder="1" applyAlignment="1">
      <alignment horizontal="center" vertical="center"/>
    </xf>
    <xf numFmtId="0" fontId="2" fillId="2" borderId="0" xfId="0" applyFont="1" applyFill="1" applyAlignment="1">
      <alignment horizontal="left" vertical="center" wrapText="1" indent="1"/>
    </xf>
    <xf numFmtId="0" fontId="2" fillId="5" borderId="14" xfId="0" applyFont="1" applyFill="1" applyBorder="1" applyAlignment="1">
      <alignment horizontal="center"/>
    </xf>
    <xf numFmtId="0" fontId="2" fillId="6" borderId="14" xfId="0" applyFont="1" applyFill="1" applyBorder="1" applyAlignment="1">
      <alignment horizontal="center"/>
    </xf>
    <xf numFmtId="0" fontId="4" fillId="2" borderId="8"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2" fillId="40" borderId="14" xfId="0" applyFont="1" applyFill="1" applyBorder="1" applyAlignment="1">
      <alignment horizontal="center"/>
    </xf>
    <xf numFmtId="0" fontId="2" fillId="8" borderId="14" xfId="0" applyFont="1" applyFill="1" applyBorder="1" applyAlignment="1">
      <alignment horizontal="center"/>
    </xf>
    <xf numFmtId="0" fontId="8" fillId="5" borderId="14" xfId="0" applyFont="1" applyFill="1" applyBorder="1" applyAlignment="1">
      <alignment horizontal="center"/>
    </xf>
    <xf numFmtId="0" fontId="8" fillId="6" borderId="14" xfId="0" applyFont="1" applyFill="1" applyBorder="1" applyAlignment="1">
      <alignment horizontal="center"/>
    </xf>
    <xf numFmtId="0" fontId="8" fillId="33" borderId="14" xfId="0" applyFont="1" applyFill="1" applyBorder="1" applyAlignment="1">
      <alignment horizontal="center"/>
    </xf>
    <xf numFmtId="0" fontId="8" fillId="8" borderId="14" xfId="0" applyFont="1" applyFill="1" applyBorder="1" applyAlignment="1">
      <alignment horizontal="center"/>
    </xf>
    <xf numFmtId="166" fontId="2" fillId="2" borderId="14" xfId="2" applyNumberFormat="1" applyFont="1" applyFill="1" applyBorder="1" applyAlignment="1">
      <alignment horizontal="right"/>
    </xf>
    <xf numFmtId="165" fontId="2" fillId="2" borderId="14" xfId="1" applyNumberFormat="1" applyFont="1" applyFill="1" applyBorder="1" applyAlignment="1">
      <alignment horizontal="right"/>
    </xf>
    <xf numFmtId="0" fontId="2" fillId="2" borderId="18" xfId="0" applyFont="1" applyFill="1" applyBorder="1" applyAlignment="1">
      <alignment horizontal="left" indent="1"/>
    </xf>
    <xf numFmtId="0" fontId="2" fillId="2" borderId="19" xfId="0" applyFont="1" applyFill="1" applyBorder="1" applyAlignment="1">
      <alignment horizontal="left" indent="1"/>
    </xf>
    <xf numFmtId="0" fontId="2" fillId="2" borderId="20" xfId="0" applyFont="1" applyFill="1" applyBorder="1" applyAlignment="1">
      <alignment horizontal="left" indent="1"/>
    </xf>
    <xf numFmtId="0" fontId="2" fillId="2" borderId="14" xfId="0" applyFont="1" applyFill="1" applyBorder="1" applyAlignment="1">
      <alignment horizontal="right"/>
    </xf>
    <xf numFmtId="0" fontId="2" fillId="2" borderId="0" xfId="0" applyFont="1" applyFill="1" applyAlignment="1">
      <alignment horizontal="left" indent="1"/>
    </xf>
    <xf numFmtId="0" fontId="8" fillId="33" borderId="6" xfId="0" applyFont="1" applyFill="1" applyBorder="1" applyAlignment="1">
      <alignment horizontal="center" vertical="center"/>
    </xf>
    <xf numFmtId="0" fontId="8" fillId="33" borderId="8" xfId="0" applyFont="1" applyFill="1" applyBorder="1" applyAlignment="1">
      <alignment horizontal="center" vertical="center"/>
    </xf>
    <xf numFmtId="0" fontId="8" fillId="33" borderId="9" xfId="0" applyFont="1" applyFill="1" applyBorder="1" applyAlignment="1">
      <alignment horizontal="center" vertical="center"/>
    </xf>
    <xf numFmtId="0" fontId="8" fillId="33" borderId="10" xfId="0" applyFont="1" applyFill="1" applyBorder="1" applyAlignment="1">
      <alignment horizontal="center" vertical="center"/>
    </xf>
    <xf numFmtId="0" fontId="8" fillId="33" borderId="11" xfId="0" applyFont="1" applyFill="1" applyBorder="1" applyAlignment="1">
      <alignment horizontal="center" vertical="center"/>
    </xf>
    <xf numFmtId="0" fontId="8" fillId="33" borderId="13" xfId="0" applyFont="1" applyFill="1" applyBorder="1" applyAlignment="1">
      <alignment horizontal="center" vertical="center"/>
    </xf>
    <xf numFmtId="165" fontId="2" fillId="2" borderId="17" xfId="1" applyNumberFormat="1" applyFont="1" applyFill="1" applyBorder="1" applyAlignment="1">
      <alignment horizontal="right"/>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8" fillId="7" borderId="6"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2" fillId="2" borderId="0" xfId="0" applyFont="1" applyFill="1" applyAlignment="1">
      <alignment horizontal="center" vertical="top" wrapText="1"/>
    </xf>
    <xf numFmtId="0" fontId="58" fillId="2" borderId="6" xfId="0" applyFont="1" applyFill="1" applyBorder="1" applyAlignment="1">
      <alignment horizontal="center" vertical="center" wrapText="1"/>
    </xf>
    <xf numFmtId="0" fontId="58" fillId="2" borderId="7" xfId="0" applyFont="1" applyFill="1" applyBorder="1" applyAlignment="1">
      <alignment horizontal="center" vertical="center" wrapText="1"/>
    </xf>
    <xf numFmtId="0" fontId="58" fillId="2" borderId="8" xfId="0" applyFont="1" applyFill="1" applyBorder="1" applyAlignment="1">
      <alignment horizontal="center" vertical="center" wrapText="1"/>
    </xf>
    <xf numFmtId="0" fontId="58" fillId="2" borderId="9" xfId="0" applyFont="1" applyFill="1" applyBorder="1" applyAlignment="1">
      <alignment horizontal="center" vertical="center" wrapText="1"/>
    </xf>
    <xf numFmtId="0" fontId="58" fillId="2" borderId="0" xfId="0" applyFont="1" applyFill="1" applyBorder="1" applyAlignment="1">
      <alignment horizontal="center" vertical="center" wrapText="1"/>
    </xf>
    <xf numFmtId="0" fontId="58" fillId="2" borderId="10" xfId="0" applyFont="1" applyFill="1" applyBorder="1" applyAlignment="1">
      <alignment horizontal="center" vertical="center" wrapText="1"/>
    </xf>
    <xf numFmtId="0" fontId="58" fillId="2" borderId="11" xfId="0" applyFont="1" applyFill="1" applyBorder="1" applyAlignment="1">
      <alignment horizontal="center" vertical="center" wrapText="1"/>
    </xf>
    <xf numFmtId="0" fontId="58" fillId="2" borderId="12" xfId="0" applyFont="1" applyFill="1" applyBorder="1" applyAlignment="1">
      <alignment horizontal="center" vertical="center" wrapText="1"/>
    </xf>
    <xf numFmtId="0" fontId="58" fillId="2" borderId="13" xfId="0" applyFont="1" applyFill="1" applyBorder="1" applyAlignment="1">
      <alignment horizontal="center" vertical="center" wrapText="1"/>
    </xf>
    <xf numFmtId="166" fontId="2" fillId="2" borderId="15" xfId="2" applyNumberFormat="1" applyFont="1" applyFill="1" applyBorder="1" applyAlignment="1">
      <alignment horizontal="right"/>
    </xf>
    <xf numFmtId="0" fontId="2" fillId="2" borderId="18" xfId="0" applyFont="1" applyFill="1" applyBorder="1" applyAlignment="1"/>
    <xf numFmtId="0" fontId="2" fillId="2" borderId="19" xfId="0" applyFont="1" applyFill="1" applyBorder="1" applyAlignment="1"/>
    <xf numFmtId="0" fontId="2" fillId="2" borderId="20" xfId="0" applyFont="1" applyFill="1" applyBorder="1" applyAlignment="1"/>
    <xf numFmtId="0" fontId="2" fillId="2" borderId="98" xfId="0" applyFont="1" applyFill="1" applyBorder="1" applyAlignment="1">
      <alignment horizontal="center" vertical="center" wrapText="1"/>
    </xf>
    <xf numFmtId="0" fontId="2" fillId="2" borderId="99" xfId="0" applyFont="1" applyFill="1" applyBorder="1" applyAlignment="1">
      <alignment horizontal="center" vertical="center" wrapText="1"/>
    </xf>
    <xf numFmtId="0" fontId="2" fillId="2" borderId="100"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48" xfId="0" applyFont="1" applyFill="1" applyBorder="1" applyAlignment="1">
      <alignment horizontal="center" vertical="center" wrapText="1"/>
    </xf>
    <xf numFmtId="0" fontId="2" fillId="2" borderId="49" xfId="0" applyFont="1" applyFill="1" applyBorder="1" applyAlignment="1">
      <alignment horizontal="center" vertical="center" wrapText="1"/>
    </xf>
    <xf numFmtId="0" fontId="2" fillId="2" borderId="50" xfId="0" applyFont="1" applyFill="1" applyBorder="1" applyAlignment="1">
      <alignment horizontal="center" vertical="center" wrapText="1"/>
    </xf>
    <xf numFmtId="0" fontId="2" fillId="2" borderId="82" xfId="0" applyFont="1" applyFill="1" applyBorder="1"/>
    <xf numFmtId="0" fontId="2" fillId="2" borderId="83" xfId="0" applyFont="1" applyFill="1" applyBorder="1" applyAlignment="1">
      <alignment horizontal="center"/>
    </xf>
    <xf numFmtId="0" fontId="2" fillId="2" borderId="84" xfId="0" applyFont="1" applyFill="1" applyBorder="1" applyAlignment="1">
      <alignment horizontal="center"/>
    </xf>
    <xf numFmtId="0" fontId="2" fillId="2" borderId="85" xfId="0" applyFont="1" applyFill="1" applyBorder="1" applyAlignment="1">
      <alignment horizontal="center"/>
    </xf>
    <xf numFmtId="0" fontId="2" fillId="2" borderId="94" xfId="0" applyFont="1" applyFill="1" applyBorder="1"/>
    <xf numFmtId="0" fontId="2" fillId="2" borderId="94" xfId="0" applyFont="1" applyFill="1" applyBorder="1" applyAlignment="1">
      <alignment horizontal="center"/>
    </xf>
    <xf numFmtId="0" fontId="2" fillId="2" borderId="95" xfId="0" applyFont="1" applyFill="1" applyBorder="1" applyAlignment="1">
      <alignment horizontal="center" vertical="center" wrapText="1"/>
    </xf>
    <xf numFmtId="0" fontId="2" fillId="2" borderId="96" xfId="0" applyFont="1" applyFill="1" applyBorder="1" applyAlignment="1">
      <alignment horizontal="center" vertical="center" wrapText="1"/>
    </xf>
    <xf numFmtId="0" fontId="2" fillId="2" borderId="97" xfId="0" applyFont="1" applyFill="1" applyBorder="1" applyAlignment="1">
      <alignment horizontal="center" vertical="center" wrapText="1"/>
    </xf>
    <xf numFmtId="0" fontId="8" fillId="35" borderId="6" xfId="0" applyFont="1" applyFill="1" applyBorder="1" applyAlignment="1">
      <alignment horizontal="center" vertical="center" wrapText="1"/>
    </xf>
    <xf numFmtId="0" fontId="8" fillId="35" borderId="8" xfId="0" applyFont="1" applyFill="1" applyBorder="1" applyAlignment="1">
      <alignment horizontal="center" vertical="center" wrapText="1"/>
    </xf>
    <xf numFmtId="0" fontId="8" fillId="35" borderId="9" xfId="0" applyFont="1" applyFill="1" applyBorder="1" applyAlignment="1">
      <alignment horizontal="center" vertical="center" wrapText="1"/>
    </xf>
    <xf numFmtId="0" fontId="8" fillId="35" borderId="10" xfId="0" applyFont="1" applyFill="1" applyBorder="1" applyAlignment="1">
      <alignment horizontal="center" vertical="center" wrapText="1"/>
    </xf>
    <xf numFmtId="0" fontId="8" fillId="35" borderId="11" xfId="0" applyFont="1" applyFill="1" applyBorder="1" applyAlignment="1">
      <alignment horizontal="center" vertical="center" wrapText="1"/>
    </xf>
    <xf numFmtId="0" fontId="8" fillId="35" borderId="13" xfId="0" applyFont="1" applyFill="1" applyBorder="1" applyAlignment="1">
      <alignment horizontal="center" vertical="center" wrapText="1"/>
    </xf>
    <xf numFmtId="0" fontId="2" fillId="2" borderId="47" xfId="0" applyFont="1" applyFill="1" applyBorder="1"/>
    <xf numFmtId="0" fontId="2" fillId="2" borderId="82" xfId="0" applyFont="1" applyFill="1" applyBorder="1" applyAlignment="1">
      <alignment horizontal="center"/>
    </xf>
    <xf numFmtId="0" fontId="8" fillId="6" borderId="7"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8" fillId="6" borderId="49" xfId="0" applyFont="1" applyFill="1" applyBorder="1" applyAlignment="1">
      <alignment horizontal="center" vertical="center" wrapText="1"/>
    </xf>
    <xf numFmtId="0" fontId="8" fillId="6" borderId="50" xfId="0" applyFont="1" applyFill="1" applyBorder="1" applyAlignment="1">
      <alignment horizontal="center" vertical="center" wrapText="1"/>
    </xf>
    <xf numFmtId="0" fontId="2" fillId="2" borderId="14" xfId="0" applyFont="1" applyFill="1" applyBorder="1" applyAlignment="1">
      <alignment horizontal="center"/>
    </xf>
    <xf numFmtId="0" fontId="8" fillId="35" borderId="7" xfId="0" applyFont="1" applyFill="1" applyBorder="1" applyAlignment="1">
      <alignment horizontal="center" vertical="center" wrapText="1"/>
    </xf>
    <xf numFmtId="0" fontId="8" fillId="35" borderId="0" xfId="0" applyFont="1" applyFill="1" applyBorder="1" applyAlignment="1">
      <alignment horizontal="center" vertical="center" wrapText="1"/>
    </xf>
    <xf numFmtId="0" fontId="8" fillId="35" borderId="12" xfId="0" applyFont="1" applyFill="1" applyBorder="1" applyAlignment="1">
      <alignment horizontal="center" vertical="center" wrapText="1"/>
    </xf>
    <xf numFmtId="0" fontId="6" fillId="2" borderId="0" xfId="0" applyFont="1" applyFill="1" applyAlignment="1">
      <alignment horizontal="center"/>
    </xf>
    <xf numFmtId="0" fontId="2" fillId="2" borderId="47" xfId="0" applyFont="1" applyFill="1" applyBorder="1" applyAlignment="1">
      <alignment horizontal="center"/>
    </xf>
    <xf numFmtId="0" fontId="8" fillId="7" borderId="7"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8" fillId="7" borderId="48" xfId="0" applyFont="1" applyFill="1" applyBorder="1" applyAlignment="1">
      <alignment horizontal="center" vertical="center" wrapText="1"/>
    </xf>
    <xf numFmtId="0" fontId="8" fillId="7" borderId="49" xfId="0" applyFont="1" applyFill="1" applyBorder="1" applyAlignment="1">
      <alignment horizontal="center" vertical="center" wrapText="1"/>
    </xf>
    <xf numFmtId="0" fontId="8" fillId="7" borderId="5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12" xfId="0" applyFont="1" applyFill="1" applyBorder="1" applyAlignment="1">
      <alignment horizontal="center" vertical="center" wrapText="1"/>
    </xf>
    <xf numFmtId="165" fontId="2" fillId="2" borderId="14" xfId="1" applyNumberFormat="1" applyFont="1" applyFill="1" applyBorder="1" applyAlignment="1">
      <alignment horizontal="center"/>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0" fontId="2" fillId="36" borderId="18" xfId="0" applyFont="1" applyFill="1" applyBorder="1" applyAlignment="1">
      <alignment horizontal="center" vertical="center"/>
    </xf>
    <xf numFmtId="0" fontId="2" fillId="36" borderId="19" xfId="0" applyFont="1" applyFill="1" applyBorder="1" applyAlignment="1">
      <alignment horizontal="center" vertical="center"/>
    </xf>
    <xf numFmtId="0" fontId="2" fillId="36" borderId="20" xfId="0" applyFont="1" applyFill="1" applyBorder="1" applyAlignment="1">
      <alignment horizontal="center" vertical="center"/>
    </xf>
    <xf numFmtId="0" fontId="2" fillId="37" borderId="18" xfId="0" applyFont="1" applyFill="1" applyBorder="1" applyAlignment="1">
      <alignment horizontal="center" vertical="center"/>
    </xf>
    <xf numFmtId="0" fontId="2" fillId="37" borderId="19" xfId="0" applyFont="1" applyFill="1" applyBorder="1" applyAlignment="1">
      <alignment horizontal="center" vertical="center"/>
    </xf>
    <xf numFmtId="0" fontId="2" fillId="37" borderId="20" xfId="0" applyFont="1" applyFill="1" applyBorder="1" applyAlignment="1">
      <alignment horizontal="center" vertical="center"/>
    </xf>
    <xf numFmtId="167" fontId="2" fillId="0" borderId="14" xfId="0" applyNumberFormat="1" applyFont="1" applyBorder="1"/>
    <xf numFmtId="0" fontId="2" fillId="8" borderId="18" xfId="0" applyFont="1" applyFill="1" applyBorder="1" applyAlignment="1"/>
    <xf numFmtId="0" fontId="2" fillId="8" borderId="19" xfId="0" applyFont="1" applyFill="1" applyBorder="1" applyAlignment="1"/>
    <xf numFmtId="0" fontId="2" fillId="8" borderId="20" xfId="0" applyFont="1" applyFill="1" applyBorder="1" applyAlignment="1"/>
    <xf numFmtId="166" fontId="2" fillId="0" borderId="14" xfId="2" applyNumberFormat="1" applyFont="1" applyBorder="1"/>
    <xf numFmtId="166" fontId="2" fillId="8" borderId="14" xfId="2" applyNumberFormat="1" applyFont="1" applyFill="1" applyBorder="1"/>
    <xf numFmtId="166" fontId="2" fillId="33" borderId="14" xfId="2" applyNumberFormat="1" applyFont="1" applyFill="1" applyBorder="1"/>
    <xf numFmtId="167" fontId="2" fillId="33" borderId="14" xfId="0" applyNumberFormat="1" applyFont="1" applyFill="1" applyBorder="1"/>
    <xf numFmtId="167" fontId="2" fillId="8" borderId="14" xfId="0" applyNumberFormat="1" applyFont="1" applyFill="1" applyBorder="1"/>
    <xf numFmtId="0" fontId="4" fillId="35" borderId="6" xfId="0" applyFont="1" applyFill="1" applyBorder="1" applyAlignment="1">
      <alignment horizontal="center" vertical="center"/>
    </xf>
    <xf numFmtId="0" fontId="4" fillId="35" borderId="7" xfId="0" applyFont="1" applyFill="1" applyBorder="1" applyAlignment="1">
      <alignment horizontal="center" vertical="center"/>
    </xf>
    <xf numFmtId="0" fontId="4" fillId="35" borderId="8" xfId="0" applyFont="1" applyFill="1" applyBorder="1" applyAlignment="1">
      <alignment horizontal="center" vertical="center"/>
    </xf>
    <xf numFmtId="0" fontId="4" fillId="35" borderId="9" xfId="0" applyFont="1" applyFill="1" applyBorder="1" applyAlignment="1">
      <alignment horizontal="center" vertical="center"/>
    </xf>
    <xf numFmtId="0" fontId="4" fillId="35" borderId="0" xfId="0" applyFont="1" applyFill="1" applyBorder="1" applyAlignment="1">
      <alignment horizontal="center" vertical="center"/>
    </xf>
    <xf numFmtId="0" fontId="4" fillId="35" borderId="10" xfId="0" applyFont="1" applyFill="1" applyBorder="1" applyAlignment="1">
      <alignment horizontal="center" vertical="center"/>
    </xf>
    <xf numFmtId="0" fontId="4" fillId="35" borderId="11" xfId="0" applyFont="1" applyFill="1" applyBorder="1" applyAlignment="1">
      <alignment horizontal="center" vertical="center"/>
    </xf>
    <xf numFmtId="0" fontId="4" fillId="35" borderId="12" xfId="0" applyFont="1" applyFill="1" applyBorder="1" applyAlignment="1">
      <alignment horizontal="center" vertical="center"/>
    </xf>
    <xf numFmtId="0" fontId="4" fillId="35" borderId="13" xfId="0" applyFont="1" applyFill="1" applyBorder="1" applyAlignment="1">
      <alignment horizontal="center" vertical="center"/>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7" xfId="0" applyFont="1" applyFill="1" applyBorder="1"/>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2" borderId="17" xfId="0" applyFont="1" applyFill="1" applyBorder="1" applyAlignment="1">
      <alignment horizontal="center"/>
    </xf>
    <xf numFmtId="0" fontId="2" fillId="2" borderId="48" xfId="0" applyFont="1" applyFill="1" applyBorder="1" applyAlignment="1">
      <alignment horizontal="right"/>
    </xf>
    <xf numFmtId="0" fontId="2" fillId="2" borderId="49" xfId="0" applyFont="1" applyFill="1" applyBorder="1" applyAlignment="1">
      <alignment horizontal="right"/>
    </xf>
    <xf numFmtId="0" fontId="2" fillId="2" borderId="50" xfId="0" applyFont="1" applyFill="1" applyBorder="1" applyAlignment="1">
      <alignment horizontal="right"/>
    </xf>
    <xf numFmtId="0" fontId="2" fillId="2" borderId="79" xfId="0" applyFont="1" applyFill="1" applyBorder="1" applyAlignment="1">
      <alignment horizontal="center" vertical="center" wrapText="1"/>
    </xf>
    <xf numFmtId="0" fontId="2" fillId="2" borderId="80" xfId="0" applyFont="1" applyFill="1" applyBorder="1" applyAlignment="1">
      <alignment horizontal="center" vertical="center" wrapText="1"/>
    </xf>
    <xf numFmtId="0" fontId="2" fillId="2" borderId="81" xfId="0" applyFont="1" applyFill="1" applyBorder="1" applyAlignment="1">
      <alignment horizontal="center" vertical="center" wrapText="1"/>
    </xf>
    <xf numFmtId="0" fontId="2" fillId="2" borderId="86" xfId="0" applyFont="1" applyFill="1" applyBorder="1"/>
    <xf numFmtId="0" fontId="2" fillId="2" borderId="67" xfId="0" applyFont="1" applyFill="1" applyBorder="1" applyAlignment="1">
      <alignment horizontal="center"/>
    </xf>
    <xf numFmtId="0" fontId="2" fillId="2" borderId="68" xfId="0" applyFont="1" applyFill="1" applyBorder="1" applyAlignment="1">
      <alignment horizontal="center"/>
    </xf>
    <xf numFmtId="0" fontId="2" fillId="2" borderId="69" xfId="0" applyFont="1" applyFill="1" applyBorder="1" applyAlignment="1">
      <alignment horizontal="center"/>
    </xf>
    <xf numFmtId="0" fontId="2" fillId="2" borderId="86" xfId="0" applyFont="1" applyFill="1" applyBorder="1" applyAlignment="1">
      <alignment horizontal="center"/>
    </xf>
    <xf numFmtId="0" fontId="2" fillId="2" borderId="51" xfId="0" applyFont="1" applyFill="1" applyBorder="1" applyAlignment="1">
      <alignment horizontal="center" vertical="center" wrapText="1"/>
    </xf>
    <xf numFmtId="0" fontId="2" fillId="2" borderId="52" xfId="0" applyFont="1" applyFill="1" applyBorder="1" applyAlignment="1">
      <alignment horizontal="center" vertical="center" wrapText="1"/>
    </xf>
    <xf numFmtId="0" fontId="2" fillId="2" borderId="53" xfId="0" applyFont="1" applyFill="1" applyBorder="1" applyAlignment="1">
      <alignment horizontal="center" vertical="center" wrapText="1"/>
    </xf>
    <xf numFmtId="0" fontId="2" fillId="2" borderId="87" xfId="0" applyFont="1" applyFill="1" applyBorder="1" applyAlignment="1">
      <alignment horizontal="center" vertical="center" wrapText="1"/>
    </xf>
    <xf numFmtId="0" fontId="2" fillId="2" borderId="88" xfId="0" applyFont="1" applyFill="1" applyBorder="1" applyAlignment="1">
      <alignment horizontal="center" vertical="center" wrapText="1"/>
    </xf>
    <xf numFmtId="0" fontId="2" fillId="2" borderId="89" xfId="0" applyFont="1" applyFill="1" applyBorder="1" applyAlignment="1">
      <alignment horizontal="center" vertical="center" wrapText="1"/>
    </xf>
    <xf numFmtId="0" fontId="2" fillId="2" borderId="90" xfId="0" applyFont="1" applyFill="1" applyBorder="1"/>
    <xf numFmtId="165" fontId="2" fillId="2" borderId="91" xfId="1" applyNumberFormat="1" applyFont="1" applyFill="1" applyBorder="1" applyAlignment="1">
      <alignment horizontal="center"/>
    </xf>
    <xf numFmtId="165" fontId="2" fillId="2" borderId="92" xfId="1" applyNumberFormat="1" applyFont="1" applyFill="1" applyBorder="1" applyAlignment="1">
      <alignment horizontal="center"/>
    </xf>
    <xf numFmtId="165" fontId="2" fillId="2" borderId="93" xfId="1" applyNumberFormat="1" applyFont="1" applyFill="1" applyBorder="1" applyAlignment="1">
      <alignment horizontal="center"/>
    </xf>
    <xf numFmtId="0" fontId="2" fillId="2" borderId="70" xfId="0" applyFont="1" applyFill="1" applyBorder="1" applyAlignment="1">
      <alignment horizontal="center"/>
    </xf>
    <xf numFmtId="0" fontId="2" fillId="2" borderId="71" xfId="0" applyFont="1" applyFill="1" applyBorder="1" applyAlignment="1">
      <alignment horizontal="center"/>
    </xf>
    <xf numFmtId="0" fontId="2" fillId="2" borderId="72" xfId="0" applyFont="1" applyFill="1" applyBorder="1" applyAlignment="1">
      <alignment horizontal="center"/>
    </xf>
    <xf numFmtId="165" fontId="2" fillId="2" borderId="18" xfId="1" applyNumberFormat="1" applyFont="1" applyFill="1" applyBorder="1" applyAlignment="1">
      <alignment horizontal="center"/>
    </xf>
    <xf numFmtId="165" fontId="2" fillId="2" borderId="19" xfId="1" applyNumberFormat="1" applyFont="1" applyFill="1" applyBorder="1" applyAlignment="1">
      <alignment horizontal="center"/>
    </xf>
    <xf numFmtId="165" fontId="2" fillId="2" borderId="20" xfId="1" applyNumberFormat="1" applyFont="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1" fontId="2" fillId="2" borderId="67" xfId="1" applyNumberFormat="1" applyFont="1" applyFill="1" applyBorder="1" applyAlignment="1">
      <alignment horizontal="center"/>
    </xf>
    <xf numFmtId="1" fontId="2" fillId="2" borderId="68" xfId="1" applyNumberFormat="1" applyFont="1" applyFill="1" applyBorder="1" applyAlignment="1">
      <alignment horizontal="center"/>
    </xf>
    <xf numFmtId="1" fontId="2" fillId="2" borderId="69" xfId="1" applyNumberFormat="1" applyFont="1" applyFill="1" applyBorder="1" applyAlignment="1">
      <alignment horizontal="center"/>
    </xf>
    <xf numFmtId="0" fontId="2" fillId="2" borderId="51" xfId="0" applyFont="1" applyFill="1" applyBorder="1" applyAlignment="1">
      <alignment horizontal="right"/>
    </xf>
    <xf numFmtId="0" fontId="2" fillId="2" borderId="52" xfId="0" applyFont="1" applyFill="1" applyBorder="1" applyAlignment="1">
      <alignment horizontal="right"/>
    </xf>
    <xf numFmtId="0" fontId="2" fillId="2" borderId="53" xfId="0" applyFont="1" applyFill="1" applyBorder="1" applyAlignment="1">
      <alignment horizontal="right"/>
    </xf>
    <xf numFmtId="0" fontId="46" fillId="2" borderId="0" xfId="0" applyFont="1" applyFill="1" applyAlignment="1">
      <alignment wrapText="1"/>
    </xf>
    <xf numFmtId="0" fontId="8" fillId="2" borderId="0" xfId="0" applyFont="1" applyFill="1" applyAlignment="1">
      <alignment horizontal="left" vertical="center" wrapText="1" indent="1"/>
    </xf>
    <xf numFmtId="0" fontId="46" fillId="2" borderId="0" xfId="0" applyFont="1" applyFill="1" applyAlignment="1">
      <alignment vertical="top" wrapText="1"/>
    </xf>
    <xf numFmtId="0" fontId="2" fillId="2" borderId="18" xfId="0" applyFont="1" applyFill="1" applyBorder="1" applyAlignment="1">
      <alignment horizontal="right" vertical="center"/>
    </xf>
    <xf numFmtId="0" fontId="2" fillId="2" borderId="20" xfId="0" applyFont="1" applyFill="1" applyBorder="1" applyAlignment="1">
      <alignment horizontal="right" vertical="center"/>
    </xf>
    <xf numFmtId="2" fontId="2" fillId="2" borderId="18" xfId="0" applyNumberFormat="1" applyFont="1" applyFill="1" applyBorder="1" applyAlignment="1">
      <alignment horizontal="right" vertical="center"/>
    </xf>
    <xf numFmtId="2" fontId="2" fillId="2" borderId="20" xfId="0" applyNumberFormat="1" applyFont="1" applyFill="1" applyBorder="1" applyAlignment="1">
      <alignment horizontal="right" vertical="center"/>
    </xf>
    <xf numFmtId="0" fontId="8" fillId="2" borderId="0" xfId="0" applyFont="1" applyFill="1" applyAlignment="1">
      <alignment horizontal="left" wrapText="1" indent="1"/>
    </xf>
    <xf numFmtId="0" fontId="37" fillId="2" borderId="0" xfId="0" applyFont="1" applyFill="1" applyAlignment="1">
      <alignment horizontal="left" wrapText="1" indent="1"/>
    </xf>
    <xf numFmtId="0" fontId="2" fillId="2" borderId="0" xfId="0" applyFont="1" applyFill="1" applyAlignment="1">
      <alignment horizontal="left" vertical="center" indent="1"/>
    </xf>
    <xf numFmtId="165" fontId="2" fillId="8" borderId="18" xfId="0" applyNumberFormat="1" applyFont="1" applyFill="1" applyBorder="1" applyAlignment="1">
      <alignment horizontal="right" vertical="center"/>
    </xf>
    <xf numFmtId="165" fontId="2" fillId="8" borderId="20" xfId="0" applyNumberFormat="1" applyFont="1" applyFill="1" applyBorder="1" applyAlignment="1">
      <alignment horizontal="right" vertical="center"/>
    </xf>
    <xf numFmtId="0" fontId="2" fillId="8" borderId="18" xfId="0" applyFont="1" applyFill="1" applyBorder="1" applyAlignment="1">
      <alignment horizontal="right" vertical="center"/>
    </xf>
    <xf numFmtId="0" fontId="2" fillId="8" borderId="20" xfId="0" applyFont="1" applyFill="1" applyBorder="1" applyAlignment="1">
      <alignment horizontal="right" vertical="center"/>
    </xf>
    <xf numFmtId="165" fontId="2" fillId="40" borderId="18" xfId="0" applyNumberFormat="1" applyFont="1" applyFill="1" applyBorder="1" applyAlignment="1">
      <alignment horizontal="right" vertical="center"/>
    </xf>
    <xf numFmtId="165" fontId="2" fillId="40" borderId="20" xfId="0" applyNumberFormat="1" applyFont="1" applyFill="1" applyBorder="1" applyAlignment="1">
      <alignment horizontal="right" vertical="center"/>
    </xf>
    <xf numFmtId="0" fontId="2" fillId="40" borderId="18" xfId="0" applyFont="1" applyFill="1" applyBorder="1" applyAlignment="1">
      <alignment horizontal="right" vertical="center"/>
    </xf>
    <xf numFmtId="0" fontId="2" fillId="40" borderId="20" xfId="0" applyFont="1" applyFill="1" applyBorder="1" applyAlignment="1">
      <alignment horizontal="right" vertical="center"/>
    </xf>
    <xf numFmtId="0" fontId="46" fillId="2" borderId="0" xfId="0" applyFont="1" applyFill="1" applyAlignment="1">
      <alignment horizontal="left" wrapText="1" indent="1"/>
    </xf>
    <xf numFmtId="0" fontId="46" fillId="2" borderId="0" xfId="0" applyFont="1" applyFill="1" applyAlignment="1">
      <alignment horizontal="left" vertical="top" wrapText="1" indent="1"/>
    </xf>
    <xf numFmtId="0" fontId="2" fillId="35" borderId="18" xfId="0" applyFont="1" applyFill="1" applyBorder="1" applyAlignment="1">
      <alignment horizontal="center" vertical="center"/>
    </xf>
    <xf numFmtId="0" fontId="2" fillId="35" borderId="20" xfId="0" applyFont="1" applyFill="1" applyBorder="1" applyAlignment="1">
      <alignment horizontal="center" vertical="center"/>
    </xf>
    <xf numFmtId="0" fontId="2" fillId="35" borderId="18" xfId="0" applyFont="1" applyFill="1" applyBorder="1" applyAlignment="1">
      <alignment horizontal="center" vertical="center" wrapText="1"/>
    </xf>
    <xf numFmtId="0" fontId="2" fillId="35" borderId="20" xfId="0" applyFont="1" applyFill="1" applyBorder="1" applyAlignment="1">
      <alignment horizontal="center" vertical="center" wrapText="1"/>
    </xf>
    <xf numFmtId="0" fontId="4" fillId="4" borderId="18" xfId="0" applyFont="1" applyFill="1" applyBorder="1" applyAlignment="1">
      <alignment vertical="center"/>
    </xf>
    <xf numFmtId="0" fontId="4" fillId="4" borderId="19" xfId="0" applyFont="1" applyFill="1" applyBorder="1" applyAlignment="1">
      <alignment vertical="center"/>
    </xf>
    <xf numFmtId="0" fontId="4" fillId="4" borderId="20" xfId="0" applyFont="1" applyFill="1" applyBorder="1" applyAlignment="1">
      <alignment vertical="center"/>
    </xf>
    <xf numFmtId="165" fontId="2" fillId="2" borderId="18" xfId="1" applyNumberFormat="1" applyFont="1" applyFill="1" applyBorder="1" applyAlignment="1">
      <alignment horizontal="right" vertical="center"/>
    </xf>
    <xf numFmtId="165" fontId="2" fillId="2" borderId="20" xfId="1" applyNumberFormat="1" applyFont="1" applyFill="1" applyBorder="1" applyAlignment="1">
      <alignment horizontal="right" vertical="center"/>
    </xf>
    <xf numFmtId="0" fontId="2" fillId="2" borderId="14" xfId="0" applyFont="1" applyFill="1" applyBorder="1" applyAlignment="1">
      <alignment vertical="center"/>
    </xf>
    <xf numFmtId="0" fontId="70" fillId="2" borderId="0" xfId="0" applyFont="1" applyFill="1" applyAlignment="1">
      <alignment horizontal="left" vertical="center" wrapText="1" indent="1"/>
    </xf>
    <xf numFmtId="0" fontId="2" fillId="2" borderId="0" xfId="0" applyFont="1" applyFill="1" applyAlignment="1">
      <alignment horizontal="left" vertical="top" wrapText="1" indent="1"/>
    </xf>
    <xf numFmtId="0" fontId="8" fillId="8" borderId="6" xfId="0" applyFont="1" applyFill="1" applyBorder="1" applyAlignment="1">
      <alignment horizontal="center" vertical="center" wrapText="1"/>
    </xf>
    <xf numFmtId="0" fontId="8" fillId="8" borderId="7" xfId="0" applyFont="1" applyFill="1" applyBorder="1" applyAlignment="1">
      <alignment horizontal="center" vertical="center" wrapText="1"/>
    </xf>
    <xf numFmtId="0" fontId="8" fillId="8" borderId="8" xfId="0" applyFont="1" applyFill="1" applyBorder="1" applyAlignment="1">
      <alignment horizontal="center" vertical="center" wrapText="1"/>
    </xf>
    <xf numFmtId="0" fontId="8" fillId="8" borderId="9" xfId="0" applyFont="1" applyFill="1" applyBorder="1" applyAlignment="1">
      <alignment horizontal="center" vertical="center" wrapText="1"/>
    </xf>
    <xf numFmtId="0" fontId="8" fillId="8" borderId="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12" xfId="0" applyFont="1" applyFill="1" applyBorder="1" applyAlignment="1">
      <alignment horizontal="center" vertical="center" wrapText="1"/>
    </xf>
    <xf numFmtId="0" fontId="8" fillId="8" borderId="13" xfId="0" applyFont="1" applyFill="1" applyBorder="1" applyAlignment="1">
      <alignment horizontal="center" vertical="center" wrapText="1"/>
    </xf>
    <xf numFmtId="0" fontId="2" fillId="2" borderId="14" xfId="0" applyFont="1" applyFill="1" applyBorder="1" applyAlignment="1">
      <alignment horizontal="left" vertical="center" indent="1"/>
    </xf>
    <xf numFmtId="166" fontId="2" fillId="2" borderId="18" xfId="2" applyNumberFormat="1" applyFont="1" applyFill="1" applyBorder="1" applyAlignment="1">
      <alignment horizontal="center" vertical="center"/>
    </xf>
    <xf numFmtId="166" fontId="2" fillId="2" borderId="19" xfId="2" applyNumberFormat="1" applyFont="1" applyFill="1" applyBorder="1" applyAlignment="1">
      <alignment horizontal="center" vertical="center"/>
    </xf>
    <xf numFmtId="166" fontId="2" fillId="2" borderId="20" xfId="2" applyNumberFormat="1" applyFont="1" applyFill="1" applyBorder="1" applyAlignment="1">
      <alignment horizontal="center" vertical="center"/>
    </xf>
    <xf numFmtId="0" fontId="2" fillId="2" borderId="18" xfId="0" applyNumberFormat="1" applyFont="1" applyFill="1" applyBorder="1" applyAlignment="1">
      <alignment horizontal="center" vertical="center"/>
    </xf>
    <xf numFmtId="0" fontId="2" fillId="2" borderId="19" xfId="0" applyNumberFormat="1" applyFont="1" applyFill="1" applyBorder="1" applyAlignment="1">
      <alignment horizontal="center" vertical="center"/>
    </xf>
    <xf numFmtId="0" fontId="2" fillId="2" borderId="20" xfId="0" applyNumberFormat="1" applyFont="1" applyFill="1" applyBorder="1" applyAlignment="1">
      <alignment horizontal="center" vertical="center"/>
    </xf>
    <xf numFmtId="166" fontId="2" fillId="2" borderId="18" xfId="2" applyNumberFormat="1" applyFont="1" applyFill="1" applyBorder="1" applyAlignment="1">
      <alignment horizontal="right" vertical="center"/>
    </xf>
    <xf numFmtId="166" fontId="2" fillId="2" borderId="19" xfId="2" applyNumberFormat="1" applyFont="1" applyFill="1" applyBorder="1" applyAlignment="1">
      <alignment horizontal="right" vertical="center"/>
    </xf>
    <xf numFmtId="166" fontId="2" fillId="2" borderId="20" xfId="2" applyNumberFormat="1" applyFont="1" applyFill="1" applyBorder="1" applyAlignment="1">
      <alignment horizontal="right" vertical="center"/>
    </xf>
    <xf numFmtId="165" fontId="2" fillId="2" borderId="19" xfId="1" applyNumberFormat="1" applyFont="1" applyFill="1" applyBorder="1" applyAlignment="1">
      <alignment horizontal="right" vertical="center"/>
    </xf>
    <xf numFmtId="0" fontId="2" fillId="8" borderId="6" xfId="0" applyFont="1" applyFill="1" applyBorder="1" applyAlignment="1">
      <alignment horizontal="center" vertical="center"/>
    </xf>
    <xf numFmtId="0" fontId="2" fillId="8" borderId="7"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9" xfId="0" applyFont="1" applyFill="1" applyBorder="1" applyAlignment="1">
      <alignment horizontal="center" vertical="center"/>
    </xf>
    <xf numFmtId="0" fontId="2" fillId="8" borderId="0" xfId="0" applyFont="1" applyFill="1" applyBorder="1" applyAlignment="1">
      <alignment horizontal="center" vertical="center"/>
    </xf>
    <xf numFmtId="0" fontId="2" fillId="8" borderId="10" xfId="0" applyFont="1" applyFill="1" applyBorder="1" applyAlignment="1">
      <alignment horizontal="center" vertical="center"/>
    </xf>
    <xf numFmtId="0" fontId="2" fillId="8" borderId="11" xfId="0" applyFont="1" applyFill="1" applyBorder="1" applyAlignment="1">
      <alignment horizontal="center" vertical="center"/>
    </xf>
    <xf numFmtId="0" fontId="2" fillId="8" borderId="12" xfId="0" applyFont="1" applyFill="1" applyBorder="1" applyAlignment="1">
      <alignment horizontal="center" vertical="center"/>
    </xf>
    <xf numFmtId="0" fontId="2" fillId="8" borderId="13" xfId="0" applyFont="1" applyFill="1" applyBorder="1" applyAlignment="1">
      <alignment horizontal="center" vertical="center"/>
    </xf>
    <xf numFmtId="0" fontId="8" fillId="7" borderId="12" xfId="0" applyFont="1" applyFill="1" applyBorder="1" applyAlignment="1">
      <alignment horizontal="center" vertical="center" wrapText="1"/>
    </xf>
    <xf numFmtId="0" fontId="8" fillId="6" borderId="12" xfId="0" applyFont="1" applyFill="1" applyBorder="1" applyAlignment="1">
      <alignment horizontal="center" vertical="center" wrapText="1"/>
    </xf>
    <xf numFmtId="0" fontId="8" fillId="33" borderId="6" xfId="0" applyFont="1" applyFill="1" applyBorder="1" applyAlignment="1">
      <alignment horizontal="center" vertical="center" wrapText="1"/>
    </xf>
    <xf numFmtId="0" fontId="8" fillId="33" borderId="7" xfId="0" applyFont="1" applyFill="1" applyBorder="1" applyAlignment="1">
      <alignment horizontal="center" vertical="center" wrapText="1"/>
    </xf>
    <xf numFmtId="0" fontId="8" fillId="33" borderId="8" xfId="0" applyFont="1" applyFill="1" applyBorder="1" applyAlignment="1">
      <alignment horizontal="center" vertical="center" wrapText="1"/>
    </xf>
    <xf numFmtId="0" fontId="8" fillId="33" borderId="9" xfId="0" applyFont="1" applyFill="1" applyBorder="1" applyAlignment="1">
      <alignment horizontal="center" vertical="center" wrapText="1"/>
    </xf>
    <xf numFmtId="0" fontId="8" fillId="33" borderId="0" xfId="0" applyFont="1" applyFill="1" applyBorder="1" applyAlignment="1">
      <alignment horizontal="center" vertical="center" wrapText="1"/>
    </xf>
    <xf numFmtId="0" fontId="8" fillId="33" borderId="10" xfId="0" applyFont="1" applyFill="1" applyBorder="1" applyAlignment="1">
      <alignment horizontal="center" vertical="center" wrapText="1"/>
    </xf>
    <xf numFmtId="0" fontId="8" fillId="33" borderId="11" xfId="0" applyFont="1" applyFill="1" applyBorder="1" applyAlignment="1">
      <alignment horizontal="center" vertical="center" wrapText="1"/>
    </xf>
    <xf numFmtId="0" fontId="8" fillId="33" borderId="12" xfId="0" applyFont="1" applyFill="1" applyBorder="1" applyAlignment="1">
      <alignment horizontal="center" vertical="center" wrapText="1"/>
    </xf>
    <xf numFmtId="0" fontId="8" fillId="33" borderId="13" xfId="0" applyFont="1" applyFill="1" applyBorder="1" applyAlignment="1">
      <alignment horizontal="center" vertical="center" wrapText="1"/>
    </xf>
    <xf numFmtId="166" fontId="2" fillId="2" borderId="18" xfId="2" applyNumberFormat="1" applyFont="1" applyFill="1" applyBorder="1" applyAlignment="1">
      <alignment vertical="center"/>
    </xf>
    <xf numFmtId="166" fontId="2" fillId="2" borderId="19" xfId="2" applyNumberFormat="1" applyFont="1" applyFill="1" applyBorder="1" applyAlignment="1">
      <alignment vertical="center"/>
    </xf>
    <xf numFmtId="166" fontId="2" fillId="2" borderId="20" xfId="2" applyNumberFormat="1" applyFont="1" applyFill="1" applyBorder="1" applyAlignment="1">
      <alignment vertical="center"/>
    </xf>
    <xf numFmtId="165" fontId="2" fillId="2" borderId="18" xfId="1" applyNumberFormat="1" applyFont="1" applyFill="1" applyBorder="1" applyAlignment="1">
      <alignment vertical="center"/>
    </xf>
    <xf numFmtId="165" fontId="2" fillId="2" borderId="19" xfId="1" applyNumberFormat="1" applyFont="1" applyFill="1" applyBorder="1" applyAlignment="1">
      <alignment vertical="center"/>
    </xf>
    <xf numFmtId="165" fontId="2" fillId="2" borderId="20" xfId="1" applyNumberFormat="1" applyFont="1" applyFill="1" applyBorder="1" applyAlignment="1">
      <alignment vertical="center"/>
    </xf>
    <xf numFmtId="0" fontId="2" fillId="8" borderId="14" xfId="0" applyFont="1" applyFill="1" applyBorder="1" applyAlignment="1">
      <alignment horizontal="center" vertical="center"/>
    </xf>
    <xf numFmtId="0" fontId="46" fillId="2" borderId="7" xfId="0" applyFont="1" applyFill="1" applyBorder="1"/>
    <xf numFmtId="0" fontId="2" fillId="2" borderId="18" xfId="0" applyFont="1" applyFill="1" applyBorder="1"/>
    <xf numFmtId="0" fontId="2" fillId="2" borderId="19" xfId="0" applyFont="1" applyFill="1" applyBorder="1"/>
    <xf numFmtId="49" fontId="2" fillId="2" borderId="0" xfId="0" applyNumberFormat="1" applyFont="1" applyFill="1"/>
    <xf numFmtId="0" fontId="8" fillId="8" borderId="6" xfId="0" applyFont="1" applyFill="1" applyBorder="1" applyAlignment="1">
      <alignment horizontal="center" vertical="center"/>
    </xf>
    <xf numFmtId="0" fontId="8" fillId="8" borderId="7" xfId="0" applyFont="1" applyFill="1" applyBorder="1" applyAlignment="1">
      <alignment horizontal="center" vertical="center"/>
    </xf>
    <xf numFmtId="0" fontId="8" fillId="8" borderId="8" xfId="0" applyFont="1" applyFill="1" applyBorder="1" applyAlignment="1">
      <alignment horizontal="center" vertical="center"/>
    </xf>
    <xf numFmtId="0" fontId="8" fillId="8" borderId="11" xfId="0" applyFont="1" applyFill="1" applyBorder="1" applyAlignment="1">
      <alignment horizontal="center" vertical="center"/>
    </xf>
    <xf numFmtId="0" fontId="8" fillId="8" borderId="12" xfId="0" applyFont="1" applyFill="1" applyBorder="1" applyAlignment="1">
      <alignment horizontal="center" vertical="center"/>
    </xf>
    <xf numFmtId="0" fontId="8" fillId="8" borderId="13" xfId="0" applyFont="1" applyFill="1" applyBorder="1" applyAlignment="1">
      <alignment horizontal="center" vertical="center"/>
    </xf>
    <xf numFmtId="49" fontId="2" fillId="2" borderId="0" xfId="0" applyNumberFormat="1" applyFont="1" applyFill="1" applyAlignment="1">
      <alignment horizontal="left" wrapText="1" indent="1"/>
    </xf>
    <xf numFmtId="49" fontId="2" fillId="2" borderId="0" xfId="0" applyNumberFormat="1" applyFont="1" applyFill="1" applyAlignment="1">
      <alignment horizontal="left" vertical="center" wrapText="1" indent="1"/>
    </xf>
    <xf numFmtId="0" fontId="2" fillId="2" borderId="15" xfId="0" applyFont="1" applyFill="1" applyBorder="1" applyAlignment="1">
      <alignment horizontal="right"/>
    </xf>
    <xf numFmtId="0" fontId="2" fillId="2" borderId="20" xfId="0" applyFont="1" applyFill="1" applyBorder="1"/>
    <xf numFmtId="0" fontId="11" fillId="2" borderId="0" xfId="0" applyFont="1" applyFill="1" applyBorder="1" applyAlignment="1">
      <alignment horizontal="left" vertical="center"/>
    </xf>
    <xf numFmtId="0" fontId="55" fillId="2" borderId="0" xfId="0" applyFont="1" applyFill="1" applyBorder="1" applyAlignment="1">
      <alignment horizontal="left" vertical="center"/>
    </xf>
    <xf numFmtId="49" fontId="2" fillId="2" borderId="18" xfId="0" applyNumberFormat="1" applyFont="1" applyFill="1" applyBorder="1" applyAlignment="1">
      <alignment horizontal="center" vertical="center"/>
    </xf>
    <xf numFmtId="43" fontId="46" fillId="0" borderId="18" xfId="2" applyNumberFormat="1" applyFont="1" applyBorder="1"/>
    <xf numFmtId="43" fontId="46" fillId="0" borderId="19" xfId="2" applyNumberFormat="1" applyFont="1" applyBorder="1"/>
    <xf numFmtId="43" fontId="46" fillId="0" borderId="20" xfId="2" applyNumberFormat="1" applyFont="1" applyBorder="1"/>
    <xf numFmtId="0" fontId="37" fillId="2" borderId="18" xfId="0" applyFont="1" applyFill="1" applyBorder="1" applyAlignment="1">
      <alignment horizontal="left" vertical="center"/>
    </xf>
    <xf numFmtId="0" fontId="37" fillId="2" borderId="20" xfId="0" applyFont="1" applyFill="1" applyBorder="1" applyAlignment="1">
      <alignment horizontal="left" vertical="center"/>
    </xf>
    <xf numFmtId="0" fontId="37" fillId="6" borderId="18" xfId="0" applyFont="1" applyFill="1" applyBorder="1" applyAlignment="1">
      <alignment horizontal="center" vertical="center"/>
    </xf>
    <xf numFmtId="0" fontId="37" fillId="6" borderId="19" xfId="0" applyFont="1" applyFill="1" applyBorder="1" applyAlignment="1">
      <alignment horizontal="center" vertical="center"/>
    </xf>
    <xf numFmtId="0" fontId="37" fillId="6" borderId="20" xfId="0" applyFont="1" applyFill="1" applyBorder="1" applyAlignment="1">
      <alignment horizontal="center" vertical="center"/>
    </xf>
    <xf numFmtId="0" fontId="37" fillId="2" borderId="14" xfId="0" applyFont="1" applyFill="1" applyBorder="1" applyAlignment="1">
      <alignment horizontal="center"/>
    </xf>
    <xf numFmtId="0" fontId="37" fillId="2" borderId="14" xfId="0" applyFont="1" applyFill="1" applyBorder="1"/>
    <xf numFmtId="43" fontId="2" fillId="8" borderId="18" xfId="2" applyNumberFormat="1" applyFont="1" applyFill="1" applyBorder="1"/>
    <xf numFmtId="43" fontId="2" fillId="8" borderId="19" xfId="2" applyNumberFormat="1" applyFont="1" applyFill="1" applyBorder="1"/>
    <xf numFmtId="43" fontId="2" fillId="8" borderId="20" xfId="2" applyNumberFormat="1" applyFont="1" applyFill="1" applyBorder="1"/>
    <xf numFmtId="43" fontId="46" fillId="8" borderId="18" xfId="2" applyNumberFormat="1" applyFont="1" applyFill="1" applyBorder="1"/>
    <xf numFmtId="43" fontId="46" fillId="8" borderId="19" xfId="2" applyNumberFormat="1" applyFont="1" applyFill="1" applyBorder="1"/>
    <xf numFmtId="43" fontId="46" fillId="8" borderId="20" xfId="2" applyNumberFormat="1" applyFont="1" applyFill="1" applyBorder="1"/>
    <xf numFmtId="43" fontId="46" fillId="8" borderId="18" xfId="2" applyNumberFormat="1" applyFont="1" applyFill="1" applyBorder="1" applyAlignment="1"/>
    <xf numFmtId="43" fontId="46" fillId="8" borderId="20" xfId="2" applyNumberFormat="1" applyFont="1" applyFill="1" applyBorder="1" applyAlignment="1"/>
    <xf numFmtId="43" fontId="2" fillId="8" borderId="18" xfId="2" applyNumberFormat="1" applyFont="1" applyFill="1" applyBorder="1" applyAlignment="1">
      <alignment horizontal="center"/>
    </xf>
    <xf numFmtId="43" fontId="2" fillId="8" borderId="19" xfId="2" applyNumberFormat="1" applyFont="1" applyFill="1" applyBorder="1" applyAlignment="1">
      <alignment horizontal="center"/>
    </xf>
    <xf numFmtId="43" fontId="2" fillId="8" borderId="20" xfId="2" applyNumberFormat="1" applyFont="1" applyFill="1" applyBorder="1" applyAlignment="1">
      <alignment horizontal="center"/>
    </xf>
    <xf numFmtId="43" fontId="52" fillId="0" borderId="18" xfId="2" applyNumberFormat="1" applyFont="1" applyBorder="1" applyAlignment="1">
      <alignment horizontal="center"/>
    </xf>
    <xf numFmtId="43" fontId="52" fillId="0" borderId="19" xfId="2" applyNumberFormat="1" applyFont="1" applyBorder="1" applyAlignment="1">
      <alignment horizontal="center"/>
    </xf>
    <xf numFmtId="43" fontId="52" fillId="0" borderId="20" xfId="2" applyNumberFormat="1" applyFont="1" applyBorder="1" applyAlignment="1">
      <alignment horizontal="center"/>
    </xf>
    <xf numFmtId="0" fontId="8" fillId="35" borderId="6" xfId="0" applyFont="1" applyFill="1" applyBorder="1" applyAlignment="1">
      <alignment horizontal="center" vertical="center"/>
    </xf>
    <xf numFmtId="0" fontId="8" fillId="35" borderId="8" xfId="0" applyFont="1" applyFill="1" applyBorder="1" applyAlignment="1">
      <alignment horizontal="center" vertical="center"/>
    </xf>
    <xf numFmtId="0" fontId="8" fillId="35" borderId="9" xfId="0" applyFont="1" applyFill="1" applyBorder="1" applyAlignment="1">
      <alignment horizontal="center" vertical="center"/>
    </xf>
    <xf numFmtId="0" fontId="8" fillId="35" borderId="10" xfId="0" applyFont="1" applyFill="1" applyBorder="1" applyAlignment="1">
      <alignment horizontal="center" vertical="center"/>
    </xf>
    <xf numFmtId="0" fontId="8" fillId="35" borderId="11" xfId="0" applyFont="1" applyFill="1" applyBorder="1" applyAlignment="1">
      <alignment horizontal="center" vertical="center"/>
    </xf>
    <xf numFmtId="0" fontId="8" fillId="35" borderId="13" xfId="0" applyFont="1" applyFill="1" applyBorder="1" applyAlignment="1">
      <alignment horizontal="center" vertical="center"/>
    </xf>
    <xf numFmtId="43" fontId="46" fillId="0" borderId="18" xfId="2" applyNumberFormat="1" applyFont="1" applyBorder="1" applyAlignment="1"/>
    <xf numFmtId="43" fontId="46" fillId="0" borderId="20" xfId="2" applyNumberFormat="1" applyFont="1" applyBorder="1" applyAlignment="1"/>
    <xf numFmtId="43" fontId="46" fillId="0" borderId="18" xfId="2" applyNumberFormat="1" applyFont="1" applyBorder="1" applyAlignment="1">
      <alignment horizontal="right"/>
    </xf>
    <xf numFmtId="43" fontId="46" fillId="0" borderId="20" xfId="2" applyNumberFormat="1" applyFont="1" applyBorder="1" applyAlignment="1">
      <alignment horizontal="right"/>
    </xf>
    <xf numFmtId="43" fontId="46" fillId="2" borderId="18" xfId="0" applyNumberFormat="1" applyFont="1" applyFill="1" applyBorder="1"/>
    <xf numFmtId="43" fontId="46" fillId="2" borderId="20" xfId="0" applyNumberFormat="1" applyFont="1" applyFill="1" applyBorder="1"/>
    <xf numFmtId="43" fontId="46" fillId="8" borderId="18" xfId="0" applyNumberFormat="1" applyFont="1" applyFill="1" applyBorder="1"/>
    <xf numFmtId="43" fontId="46" fillId="8" borderId="20" xfId="0" applyNumberFormat="1" applyFont="1" applyFill="1" applyBorder="1"/>
    <xf numFmtId="43" fontId="46" fillId="2" borderId="18" xfId="0" applyNumberFormat="1" applyFont="1" applyFill="1" applyBorder="1" applyAlignment="1">
      <alignment horizontal="right"/>
    </xf>
    <xf numFmtId="43" fontId="46" fillId="2" borderId="20" xfId="0" applyNumberFormat="1" applyFont="1" applyFill="1" applyBorder="1" applyAlignment="1">
      <alignment horizontal="right"/>
    </xf>
    <xf numFmtId="43" fontId="46" fillId="0" borderId="19" xfId="2" applyNumberFormat="1" applyFont="1" applyBorder="1" applyAlignment="1">
      <alignment horizontal="right"/>
    </xf>
    <xf numFmtId="165" fontId="2" fillId="2" borderId="18" xfId="1" applyNumberFormat="1" applyFont="1" applyFill="1" applyBorder="1" applyAlignment="1">
      <alignment horizontal="center" vertical="center"/>
    </xf>
    <xf numFmtId="165" fontId="2" fillId="2" borderId="20" xfId="1" applyNumberFormat="1" applyFont="1" applyFill="1" applyBorder="1" applyAlignment="1">
      <alignment horizontal="center" vertical="center"/>
    </xf>
    <xf numFmtId="0" fontId="2" fillId="2" borderId="18" xfId="0" applyFont="1" applyFill="1" applyBorder="1" applyAlignment="1">
      <alignment vertical="center" wrapText="1"/>
    </xf>
    <xf numFmtId="0" fontId="2" fillId="2" borderId="19" xfId="0" applyFont="1" applyFill="1" applyBorder="1" applyAlignment="1">
      <alignment vertical="center" wrapText="1"/>
    </xf>
    <xf numFmtId="0" fontId="2" fillId="2" borderId="20" xfId="0" applyFont="1" applyFill="1" applyBorder="1" applyAlignment="1">
      <alignment vertical="center" wrapText="1"/>
    </xf>
    <xf numFmtId="3" fontId="2" fillId="2" borderId="18" xfId="0" applyNumberFormat="1" applyFont="1" applyFill="1" applyBorder="1" applyAlignment="1">
      <alignment horizontal="center" vertical="center"/>
    </xf>
    <xf numFmtId="0" fontId="2" fillId="2" borderId="18" xfId="0" applyFont="1" applyFill="1" applyBorder="1" applyAlignment="1">
      <alignment vertical="center"/>
    </xf>
    <xf numFmtId="0" fontId="2" fillId="2" borderId="19" xfId="0" applyFont="1" applyFill="1" applyBorder="1" applyAlignment="1">
      <alignment vertical="center"/>
    </xf>
    <xf numFmtId="0" fontId="2" fillId="2" borderId="20" xfId="0" applyFont="1" applyFill="1" applyBorder="1" applyAlignment="1">
      <alignment vertical="center"/>
    </xf>
    <xf numFmtId="0" fontId="2" fillId="2" borderId="11" xfId="0" applyFont="1" applyFill="1" applyBorder="1" applyAlignment="1">
      <alignment horizontal="left"/>
    </xf>
    <xf numFmtId="0" fontId="2" fillId="2" borderId="31" xfId="0" applyFont="1" applyFill="1" applyBorder="1" applyAlignment="1">
      <alignment horizontal="left"/>
    </xf>
    <xf numFmtId="0" fontId="2" fillId="2" borderId="36" xfId="0" applyFont="1" applyFill="1" applyBorder="1" applyAlignment="1">
      <alignment horizontal="left"/>
    </xf>
    <xf numFmtId="3"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6" fillId="2" borderId="0" xfId="0" applyFont="1" applyFill="1" applyBorder="1" applyAlignment="1">
      <alignment horizontal="center" vertical="center"/>
    </xf>
    <xf numFmtId="0" fontId="37" fillId="7" borderId="7" xfId="0" applyFont="1" applyFill="1" applyBorder="1" applyAlignment="1">
      <alignment horizontal="center" vertical="center"/>
    </xf>
    <xf numFmtId="0" fontId="37" fillId="7" borderId="34" xfId="0" applyFont="1" applyFill="1" applyBorder="1" applyAlignment="1">
      <alignment horizontal="center" vertical="center"/>
    </xf>
    <xf numFmtId="0" fontId="37" fillId="33" borderId="7" xfId="0" applyFont="1" applyFill="1" applyBorder="1" applyAlignment="1">
      <alignment horizontal="center" vertical="center"/>
    </xf>
    <xf numFmtId="0" fontId="37" fillId="33" borderId="34" xfId="0" applyFont="1" applyFill="1" applyBorder="1" applyAlignment="1">
      <alignment horizontal="center" vertical="center"/>
    </xf>
    <xf numFmtId="0" fontId="37" fillId="8" borderId="7" xfId="0" applyFont="1" applyFill="1" applyBorder="1" applyAlignment="1">
      <alignment horizontal="center" vertical="center"/>
    </xf>
    <xf numFmtId="0" fontId="37" fillId="8" borderId="8" xfId="0" applyFont="1" applyFill="1" applyBorder="1" applyAlignment="1">
      <alignment horizontal="center" vertical="center"/>
    </xf>
    <xf numFmtId="0" fontId="0" fillId="2" borderId="6" xfId="0" applyFill="1" applyBorder="1" applyAlignment="1">
      <alignment horizontal="center"/>
    </xf>
    <xf numFmtId="0" fontId="0" fillId="2" borderId="34" xfId="0" applyFill="1" applyBorder="1" applyAlignment="1">
      <alignment horizontal="center"/>
    </xf>
    <xf numFmtId="0" fontId="0" fillId="2" borderId="40" xfId="0" applyFill="1" applyBorder="1" applyAlignment="1">
      <alignment horizontal="center"/>
    </xf>
    <xf numFmtId="0" fontId="0" fillId="2" borderId="38" xfId="0" applyFill="1" applyBorder="1" applyAlignment="1">
      <alignment horizontal="center"/>
    </xf>
    <xf numFmtId="0" fontId="2" fillId="2" borderId="0" xfId="0" applyFont="1" applyFill="1" applyAlignment="1">
      <alignment vertical="center" wrapText="1"/>
    </xf>
    <xf numFmtId="3" fontId="2" fillId="2" borderId="20" xfId="0" applyNumberFormat="1" applyFont="1" applyFill="1" applyBorder="1" applyAlignment="1">
      <alignment horizontal="center" vertical="center"/>
    </xf>
    <xf numFmtId="0" fontId="2" fillId="2" borderId="0" xfId="0" applyFont="1" applyFill="1" applyAlignment="1">
      <alignment wrapText="1"/>
    </xf>
    <xf numFmtId="0" fontId="2" fillId="2" borderId="0" xfId="0" applyFont="1" applyFill="1"/>
    <xf numFmtId="0" fontId="2" fillId="2" borderId="0" xfId="0" applyFont="1" applyFill="1" applyAlignment="1">
      <alignment horizontal="center"/>
    </xf>
    <xf numFmtId="166" fontId="2" fillId="2" borderId="7" xfId="2" applyNumberFormat="1" applyFont="1" applyFill="1" applyBorder="1" applyAlignment="1">
      <alignment horizontal="center" vertical="center"/>
    </xf>
    <xf numFmtId="0" fontId="8" fillId="2" borderId="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2" xfId="0" applyFont="1" applyFill="1" applyBorder="1" applyAlignment="1">
      <alignment horizontal="left" vertical="center"/>
    </xf>
    <xf numFmtId="0" fontId="2" fillId="2" borderId="11" xfId="0" applyFont="1" applyFill="1" applyBorder="1"/>
    <xf numFmtId="0" fontId="2" fillId="2" borderId="12" xfId="0" applyFont="1" applyFill="1" applyBorder="1"/>
    <xf numFmtId="166" fontId="2" fillId="2" borderId="14" xfId="2" applyNumberFormat="1" applyFont="1" applyFill="1" applyBorder="1" applyAlignment="1">
      <alignment horizontal="center" vertical="center"/>
    </xf>
    <xf numFmtId="0" fontId="2" fillId="2" borderId="14" xfId="0" applyFont="1" applyFill="1" applyBorder="1" applyAlignment="1">
      <alignment wrapText="1"/>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8" fillId="33" borderId="18" xfId="0" applyFont="1" applyFill="1" applyBorder="1" applyAlignment="1">
      <alignment horizontal="center" vertical="center" wrapText="1"/>
    </xf>
    <xf numFmtId="0" fontId="8" fillId="33" borderId="20" xfId="0" applyFont="1" applyFill="1" applyBorder="1" applyAlignment="1">
      <alignment horizontal="center" vertical="center" wrapText="1"/>
    </xf>
    <xf numFmtId="0" fontId="8" fillId="6" borderId="18" xfId="0" applyFont="1" applyFill="1" applyBorder="1" applyAlignment="1">
      <alignment horizontal="center" vertical="center" wrapText="1"/>
    </xf>
    <xf numFmtId="0" fontId="8" fillId="6" borderId="20" xfId="0" applyFont="1" applyFill="1" applyBorder="1" applyAlignment="1">
      <alignment horizontal="center" vertical="center" wrapText="1"/>
    </xf>
    <xf numFmtId="0" fontId="8" fillId="7" borderId="18" xfId="0" applyFont="1" applyFill="1" applyBorder="1" applyAlignment="1">
      <alignment horizontal="center" vertical="center" wrapText="1"/>
    </xf>
    <xf numFmtId="0" fontId="8" fillId="7" borderId="20" xfId="0" applyFont="1" applyFill="1" applyBorder="1" applyAlignment="1">
      <alignment horizontal="center" vertical="center" wrapText="1"/>
    </xf>
    <xf numFmtId="169" fontId="2" fillId="2" borderId="18" xfId="2" applyNumberFormat="1" applyFont="1" applyFill="1" applyBorder="1" applyAlignment="1">
      <alignment horizontal="center" vertical="center"/>
    </xf>
    <xf numFmtId="169" fontId="2" fillId="2" borderId="20" xfId="2" applyNumberFormat="1" applyFont="1" applyFill="1" applyBorder="1" applyAlignment="1">
      <alignment horizontal="center" vertical="center"/>
    </xf>
    <xf numFmtId="0" fontId="10" fillId="2" borderId="14" xfId="0" applyFont="1" applyFill="1" applyBorder="1" applyAlignment="1">
      <alignment horizontal="center" vertical="center" wrapText="1"/>
    </xf>
    <xf numFmtId="0" fontId="2" fillId="2" borderId="14" xfId="0" applyFont="1" applyFill="1" applyBorder="1" applyAlignment="1">
      <alignment horizontal="left" vertical="center" wrapText="1"/>
    </xf>
    <xf numFmtId="1" fontId="2" fillId="2" borderId="18" xfId="2" applyNumberFormat="1" applyFont="1" applyFill="1" applyBorder="1" applyAlignment="1">
      <alignment horizontal="center" vertical="center"/>
    </xf>
    <xf numFmtId="1" fontId="2" fillId="2" borderId="20" xfId="2" applyNumberFormat="1" applyFont="1" applyFill="1" applyBorder="1" applyAlignment="1">
      <alignment horizontal="center" vertical="center"/>
    </xf>
    <xf numFmtId="0" fontId="8" fillId="8" borderId="18" xfId="0" applyFont="1" applyFill="1" applyBorder="1" applyAlignment="1">
      <alignment horizontal="center" vertical="center" wrapText="1"/>
    </xf>
    <xf numFmtId="0" fontId="8" fillId="8" borderId="20" xfId="0" applyFont="1" applyFill="1" applyBorder="1" applyAlignment="1">
      <alignment horizontal="center" vertical="center" wrapText="1"/>
    </xf>
    <xf numFmtId="165" fontId="2" fillId="9" borderId="55" xfId="1" applyNumberFormat="1" applyFont="1" applyFill="1" applyBorder="1" applyAlignment="1">
      <alignment horizontal="center"/>
    </xf>
    <xf numFmtId="165" fontId="2" fillId="9" borderId="57" xfId="1" applyNumberFormat="1" applyFont="1" applyFill="1" applyBorder="1" applyAlignment="1">
      <alignment horizontal="center"/>
    </xf>
    <xf numFmtId="167" fontId="2" fillId="2" borderId="55" xfId="1" applyNumberFormat="1" applyFont="1" applyFill="1" applyBorder="1" applyAlignment="1">
      <alignment horizontal="center" vertical="center" wrapText="1"/>
    </xf>
    <xf numFmtId="167" fontId="2" fillId="2" borderId="57" xfId="1" applyNumberFormat="1" applyFont="1" applyFill="1" applyBorder="1" applyAlignment="1">
      <alignment horizontal="center" vertical="center" wrapText="1"/>
    </xf>
    <xf numFmtId="165" fontId="2" fillId="2" borderId="55" xfId="1" applyNumberFormat="1" applyFont="1" applyFill="1" applyBorder="1" applyAlignment="1">
      <alignment horizontal="center" vertical="center" wrapText="1"/>
    </xf>
    <xf numFmtId="165" fontId="2" fillId="2" borderId="57" xfId="1" applyNumberFormat="1" applyFont="1" applyFill="1" applyBorder="1" applyAlignment="1">
      <alignment horizontal="center" vertical="center" wrapText="1"/>
    </xf>
    <xf numFmtId="0" fontId="8" fillId="9" borderId="65" xfId="0" applyFont="1" applyFill="1" applyBorder="1" applyAlignment="1">
      <alignment horizontal="left" vertical="center" wrapText="1"/>
    </xf>
    <xf numFmtId="0" fontId="8" fillId="9" borderId="75" xfId="0" applyFont="1" applyFill="1" applyBorder="1" applyAlignment="1">
      <alignment horizontal="left" vertical="center" wrapText="1"/>
    </xf>
    <xf numFmtId="0" fontId="8" fillId="9" borderId="76" xfId="0" applyFont="1" applyFill="1" applyBorder="1" applyAlignment="1">
      <alignment horizontal="left" vertical="center" wrapText="1"/>
    </xf>
    <xf numFmtId="46" fontId="8" fillId="9" borderId="63" xfId="0" applyNumberFormat="1" applyFont="1" applyFill="1" applyBorder="1" applyAlignment="1">
      <alignment horizontal="left" vertical="center" wrapText="1"/>
    </xf>
    <xf numFmtId="46" fontId="8" fillId="9" borderId="77" xfId="0" applyNumberFormat="1" applyFont="1" applyFill="1" applyBorder="1" applyAlignment="1">
      <alignment horizontal="left" vertical="center" wrapText="1"/>
    </xf>
    <xf numFmtId="46" fontId="8" fillId="9" borderId="78" xfId="0" applyNumberFormat="1" applyFont="1" applyFill="1" applyBorder="1" applyAlignment="1">
      <alignment horizontal="left" vertical="center" wrapText="1"/>
    </xf>
    <xf numFmtId="0" fontId="8" fillId="9" borderId="55" xfId="0" applyFont="1" applyFill="1" applyBorder="1" applyAlignment="1">
      <alignment horizontal="left" vertical="center" wrapText="1"/>
    </xf>
    <xf numFmtId="0" fontId="8" fillId="9" borderId="56" xfId="0" applyFont="1" applyFill="1" applyBorder="1" applyAlignment="1">
      <alignment horizontal="left" vertical="center" wrapText="1"/>
    </xf>
    <xf numFmtId="0" fontId="8" fillId="9" borderId="57" xfId="0" applyFont="1" applyFill="1" applyBorder="1" applyAlignment="1">
      <alignment horizontal="left" vertical="center" wrapText="1"/>
    </xf>
    <xf numFmtId="1" fontId="2" fillId="2" borderId="55" xfId="1" applyNumberFormat="1" applyFont="1" applyFill="1" applyBorder="1" applyAlignment="1">
      <alignment horizontal="center" vertical="center" wrapText="1"/>
    </xf>
    <xf numFmtId="1" fontId="2" fillId="2" borderId="57" xfId="1" applyNumberFormat="1" applyFont="1" applyFill="1" applyBorder="1" applyAlignment="1">
      <alignment horizontal="center" vertical="center" wrapText="1"/>
    </xf>
    <xf numFmtId="1" fontId="2" fillId="9" borderId="55" xfId="1" applyNumberFormat="1" applyFont="1" applyFill="1" applyBorder="1" applyAlignment="1">
      <alignment horizontal="center"/>
    </xf>
    <xf numFmtId="1" fontId="2" fillId="9" borderId="57" xfId="1" applyNumberFormat="1" applyFont="1" applyFill="1" applyBorder="1" applyAlignment="1">
      <alignment horizontal="center"/>
    </xf>
    <xf numFmtId="0" fontId="2" fillId="2" borderId="54" xfId="0" applyFont="1" applyFill="1" applyBorder="1" applyAlignment="1">
      <alignment horizontal="left" vertical="center" wrapText="1" indent="1"/>
    </xf>
    <xf numFmtId="0" fontId="2" fillId="2" borderId="55" xfId="0" applyFont="1" applyFill="1" applyBorder="1" applyAlignment="1">
      <alignment horizontal="left" vertical="center" wrapText="1" indent="1"/>
    </xf>
    <xf numFmtId="0" fontId="2" fillId="2" borderId="56" xfId="0" applyFont="1" applyFill="1" applyBorder="1" applyAlignment="1">
      <alignment horizontal="left" vertical="center" wrapText="1" indent="1"/>
    </xf>
    <xf numFmtId="0" fontId="2" fillId="2" borderId="18" xfId="1" applyNumberFormat="1" applyFont="1" applyFill="1" applyBorder="1" applyAlignment="1">
      <alignment horizontal="center" vertical="center" wrapText="1"/>
    </xf>
    <xf numFmtId="0" fontId="2" fillId="2" borderId="20" xfId="1" applyNumberFormat="1" applyFont="1" applyFill="1" applyBorder="1" applyAlignment="1">
      <alignment horizontal="center" vertical="center" wrapText="1"/>
    </xf>
    <xf numFmtId="165" fontId="2" fillId="2" borderId="18" xfId="1" applyNumberFormat="1" applyFont="1" applyFill="1" applyBorder="1" applyAlignment="1">
      <alignment horizontal="center" vertical="center" wrapText="1"/>
    </xf>
    <xf numFmtId="165" fontId="2" fillId="2" borderId="20" xfId="1" applyNumberFormat="1" applyFont="1" applyFill="1" applyBorder="1" applyAlignment="1">
      <alignment horizontal="center" vertical="center" wrapText="1"/>
    </xf>
    <xf numFmtId="165" fontId="2" fillId="2" borderId="14" xfId="1" applyNumberFormat="1" applyFont="1" applyFill="1" applyBorder="1" applyAlignment="1">
      <alignment horizontal="center" vertical="center" wrapText="1"/>
    </xf>
    <xf numFmtId="0" fontId="8" fillId="9" borderId="54" xfId="0" applyFont="1" applyFill="1" applyBorder="1" applyAlignment="1">
      <alignment horizontal="left" vertical="center" wrapText="1"/>
    </xf>
    <xf numFmtId="1" fontId="2" fillId="2" borderId="18" xfId="1" applyNumberFormat="1" applyFont="1" applyFill="1" applyBorder="1" applyAlignment="1">
      <alignment horizontal="center" vertical="center" wrapText="1"/>
    </xf>
    <xf numFmtId="1" fontId="2" fillId="2" borderId="20" xfId="1" applyNumberFormat="1" applyFont="1" applyFill="1" applyBorder="1" applyAlignment="1">
      <alignment horizontal="center" vertical="center" wrapText="1"/>
    </xf>
    <xf numFmtId="165" fontId="2" fillId="9" borderId="18" xfId="1" applyNumberFormat="1" applyFont="1" applyFill="1" applyBorder="1" applyAlignment="1">
      <alignment horizontal="center" vertical="center" wrapText="1"/>
    </xf>
    <xf numFmtId="165" fontId="2" fillId="9" borderId="20" xfId="1" applyNumberFormat="1" applyFont="1" applyFill="1" applyBorder="1" applyAlignment="1">
      <alignment horizontal="center" vertical="center" wrapText="1"/>
    </xf>
    <xf numFmtId="165" fontId="2" fillId="2" borderId="6" xfId="1" applyNumberFormat="1" applyFont="1" applyFill="1" applyBorder="1" applyAlignment="1">
      <alignment horizontal="center" vertical="center" wrapText="1"/>
    </xf>
    <xf numFmtId="165" fontId="2" fillId="2" borderId="8" xfId="1" applyNumberFormat="1" applyFont="1" applyFill="1" applyBorder="1" applyAlignment="1">
      <alignment horizontal="center" vertical="center" wrapText="1"/>
    </xf>
    <xf numFmtId="1" fontId="2" fillId="9" borderId="18" xfId="1" applyNumberFormat="1" applyFont="1" applyFill="1" applyBorder="1" applyAlignment="1">
      <alignment horizontal="center" vertical="center" wrapText="1"/>
    </xf>
    <xf numFmtId="1" fontId="2" fillId="9" borderId="20" xfId="1" applyNumberFormat="1" applyFont="1" applyFill="1" applyBorder="1" applyAlignment="1">
      <alignment horizontal="center" vertical="center" wrapText="1"/>
    </xf>
    <xf numFmtId="165" fontId="2" fillId="9" borderId="18" xfId="1" applyNumberFormat="1" applyFont="1" applyFill="1" applyBorder="1" applyAlignment="1">
      <alignment horizontal="left" vertical="center" wrapText="1" indent="1"/>
    </xf>
    <xf numFmtId="165" fontId="2" fillId="9" borderId="20" xfId="1" applyNumberFormat="1" applyFont="1" applyFill="1" applyBorder="1" applyAlignment="1">
      <alignment horizontal="left" vertical="center" wrapText="1" indent="1"/>
    </xf>
    <xf numFmtId="1" fontId="2" fillId="9" borderId="12" xfId="2" applyNumberFormat="1" applyFont="1" applyFill="1" applyBorder="1" applyAlignment="1">
      <alignment horizontal="center" vertical="center"/>
    </xf>
    <xf numFmtId="1" fontId="2" fillId="9" borderId="13" xfId="2" applyNumberFormat="1" applyFont="1" applyFill="1" applyBorder="1" applyAlignment="1">
      <alignment horizontal="center" vertical="center"/>
    </xf>
    <xf numFmtId="1" fontId="2" fillId="2" borderId="19" xfId="1" applyNumberFormat="1" applyFont="1" applyFill="1" applyBorder="1" applyAlignment="1">
      <alignment horizontal="center" vertical="center" wrapText="1"/>
    </xf>
    <xf numFmtId="46" fontId="8" fillId="9" borderId="58" xfId="0" applyNumberFormat="1" applyFont="1" applyFill="1" applyBorder="1" applyAlignment="1">
      <alignment horizontal="left" vertical="center" wrapText="1"/>
    </xf>
    <xf numFmtId="0" fontId="8" fillId="9" borderId="58" xfId="0" applyFont="1" applyFill="1" applyBorder="1" applyAlignment="1">
      <alignment horizontal="left" vertical="center" wrapText="1"/>
    </xf>
    <xf numFmtId="0" fontId="8" fillId="6" borderId="63" xfId="0" applyFont="1" applyFill="1" applyBorder="1" applyAlignment="1">
      <alignment horizontal="center" vertical="center" wrapText="1"/>
    </xf>
    <xf numFmtId="0" fontId="8" fillId="6" borderId="64" xfId="0" applyFont="1" applyFill="1" applyBorder="1" applyAlignment="1">
      <alignment horizontal="center" vertical="center" wrapText="1"/>
    </xf>
    <xf numFmtId="0" fontId="8" fillId="6" borderId="65" xfId="0" applyFont="1" applyFill="1" applyBorder="1" applyAlignment="1">
      <alignment horizontal="center" vertical="center" wrapText="1"/>
    </xf>
    <xf numFmtId="0" fontId="8" fillId="6" borderId="66" xfId="0" applyFont="1" applyFill="1" applyBorder="1" applyAlignment="1">
      <alignment horizontal="center" vertical="center" wrapText="1"/>
    </xf>
    <xf numFmtId="0" fontId="8" fillId="7" borderId="63" xfId="0" applyFont="1" applyFill="1" applyBorder="1" applyAlignment="1">
      <alignment horizontal="center" vertical="center" wrapText="1"/>
    </xf>
    <xf numFmtId="0" fontId="8" fillId="7" borderId="64" xfId="0" applyFont="1" applyFill="1" applyBorder="1" applyAlignment="1">
      <alignment horizontal="center" vertical="center" wrapText="1"/>
    </xf>
    <xf numFmtId="0" fontId="8" fillId="7" borderId="65" xfId="0" applyFont="1" applyFill="1" applyBorder="1" applyAlignment="1">
      <alignment horizontal="center" vertical="center" wrapText="1"/>
    </xf>
    <xf numFmtId="0" fontId="8" fillId="7" borderId="66" xfId="0" applyFont="1" applyFill="1" applyBorder="1" applyAlignment="1">
      <alignment horizontal="center" vertical="center" wrapText="1"/>
    </xf>
    <xf numFmtId="0" fontId="8" fillId="33" borderId="54" xfId="0" applyFont="1" applyFill="1" applyBorder="1" applyAlignment="1">
      <alignment horizontal="center" vertical="center" wrapText="1"/>
    </xf>
    <xf numFmtId="167" fontId="2" fillId="2" borderId="19" xfId="1" applyNumberFormat="1" applyFont="1" applyFill="1" applyBorder="1" applyAlignment="1">
      <alignment horizontal="center" vertical="center" wrapText="1"/>
    </xf>
    <xf numFmtId="167" fontId="2" fillId="2" borderId="20" xfId="1" applyNumberFormat="1" applyFont="1" applyFill="1" applyBorder="1" applyAlignment="1">
      <alignment horizontal="center" vertical="center" wrapText="1"/>
    </xf>
    <xf numFmtId="167" fontId="2" fillId="2" borderId="18" xfId="1" applyNumberFormat="1" applyFont="1" applyFill="1" applyBorder="1" applyAlignment="1">
      <alignment horizontal="center" vertical="center" wrapText="1"/>
    </xf>
    <xf numFmtId="0" fontId="8" fillId="8" borderId="54"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 fillId="2" borderId="61" xfId="0" applyFont="1" applyFill="1" applyBorder="1" applyAlignment="1">
      <alignment horizontal="left" vertical="center" wrapText="1" indent="1"/>
    </xf>
    <xf numFmtId="165" fontId="2" fillId="2" borderId="7" xfId="1" applyNumberFormat="1" applyFont="1" applyFill="1" applyBorder="1" applyAlignment="1">
      <alignment horizontal="center" vertical="center" wrapText="1"/>
    </xf>
    <xf numFmtId="165" fontId="2" fillId="2" borderId="19" xfId="1" applyNumberFormat="1" applyFont="1" applyFill="1" applyBorder="1" applyAlignment="1">
      <alignment horizontal="center" vertical="center" wrapText="1"/>
    </xf>
    <xf numFmtId="165" fontId="2" fillId="9" borderId="19" xfId="1" applyNumberFormat="1" applyFont="1" applyFill="1" applyBorder="1" applyAlignment="1">
      <alignment horizontal="center" vertical="center"/>
    </xf>
    <xf numFmtId="165" fontId="2" fillId="9" borderId="20" xfId="1" applyNumberFormat="1" applyFont="1" applyFill="1" applyBorder="1" applyAlignment="1">
      <alignment horizontal="center" vertical="center"/>
    </xf>
    <xf numFmtId="0" fontId="8" fillId="6" borderId="54" xfId="0" applyFont="1" applyFill="1" applyBorder="1" applyAlignment="1">
      <alignment horizontal="center" vertical="center" wrapText="1"/>
    </xf>
    <xf numFmtId="1" fontId="2" fillId="2" borderId="54" xfId="1" applyNumberFormat="1" applyFont="1" applyFill="1" applyBorder="1" applyAlignment="1">
      <alignment horizontal="center" vertical="center" wrapText="1"/>
    </xf>
    <xf numFmtId="1" fontId="2" fillId="9" borderId="54" xfId="1" applyNumberFormat="1" applyFont="1" applyFill="1" applyBorder="1" applyAlignment="1">
      <alignment horizontal="center" vertical="center" wrapText="1"/>
    </xf>
    <xf numFmtId="0" fontId="2" fillId="2" borderId="57" xfId="0" applyFont="1" applyFill="1" applyBorder="1" applyAlignment="1">
      <alignment horizontal="left" vertical="center" wrapText="1" indent="1"/>
    </xf>
    <xf numFmtId="167" fontId="2" fillId="2" borderId="54" xfId="1" applyNumberFormat="1" applyFont="1" applyFill="1" applyBorder="1" applyAlignment="1">
      <alignment horizontal="center" vertical="center" wrapText="1"/>
    </xf>
    <xf numFmtId="0" fontId="11" fillId="2" borderId="0" xfId="0" applyFont="1" applyFill="1" applyBorder="1" applyAlignment="1">
      <alignment horizontal="left" vertical="center" wrapText="1"/>
    </xf>
    <xf numFmtId="0" fontId="0" fillId="2" borderId="0" xfId="0" applyFill="1" applyBorder="1" applyAlignment="1">
      <alignment vertical="center" wrapText="1"/>
    </xf>
    <xf numFmtId="165" fontId="2" fillId="2" borderId="63" xfId="1" applyNumberFormat="1" applyFont="1" applyFill="1" applyBorder="1" applyAlignment="1">
      <alignment horizontal="center"/>
    </xf>
    <xf numFmtId="165" fontId="2" fillId="2" borderId="64" xfId="1" applyNumberFormat="1" applyFont="1" applyFill="1" applyBorder="1" applyAlignment="1">
      <alignment horizontal="center"/>
    </xf>
    <xf numFmtId="165" fontId="2" fillId="2" borderId="61" xfId="1" applyNumberFormat="1" applyFont="1" applyFill="1" applyBorder="1" applyAlignment="1">
      <alignment horizontal="center" vertical="center" wrapText="1"/>
    </xf>
    <xf numFmtId="0" fontId="2" fillId="2" borderId="0" xfId="0" applyFont="1" applyFill="1" applyAlignment="1">
      <alignment horizontal="left" vertical="center" indent="3"/>
    </xf>
    <xf numFmtId="0" fontId="64" fillId="2" borderId="0" xfId="65" applyFont="1" applyFill="1" applyAlignment="1" applyProtection="1">
      <alignment horizontal="left" vertical="center" indent="3"/>
    </xf>
    <xf numFmtId="0" fontId="8" fillId="2" borderId="0" xfId="0" applyFont="1" applyFill="1" applyAlignment="1">
      <alignment horizontal="left" vertical="center" indent="3"/>
    </xf>
    <xf numFmtId="0" fontId="8" fillId="2" borderId="0" xfId="0" applyFont="1" applyFill="1" applyAlignment="1">
      <alignment horizontal="left" vertical="center" indent="1"/>
    </xf>
    <xf numFmtId="0" fontId="2" fillId="2" borderId="0" xfId="0" applyFont="1" applyFill="1" applyAlignment="1">
      <alignment vertical="center"/>
    </xf>
    <xf numFmtId="0" fontId="2" fillId="3" borderId="0" xfId="0" applyFont="1" applyFill="1" applyAlignment="1">
      <alignment horizontal="left" vertical="center" indent="3"/>
    </xf>
    <xf numFmtId="0" fontId="8" fillId="3" borderId="0" xfId="0" applyFont="1" applyFill="1" applyAlignment="1">
      <alignment horizontal="left" vertical="center" indent="3"/>
    </xf>
    <xf numFmtId="0" fontId="61" fillId="2" borderId="0" xfId="0" applyFont="1" applyFill="1" applyAlignment="1">
      <alignment horizontal="left" vertical="center" indent="2"/>
    </xf>
    <xf numFmtId="0" fontId="61" fillId="2" borderId="0" xfId="0" applyFont="1" applyFill="1" applyAlignment="1">
      <alignment horizontal="left" vertical="center" indent="1"/>
    </xf>
    <xf numFmtId="0" fontId="62" fillId="2" borderId="0" xfId="0" applyFont="1" applyFill="1" applyAlignment="1">
      <alignment horizontal="left" vertical="center" indent="1"/>
    </xf>
    <xf numFmtId="0" fontId="62" fillId="2" borderId="0" xfId="0" applyFont="1" applyFill="1" applyAlignment="1">
      <alignment horizontal="left" vertical="center" indent="2"/>
    </xf>
    <xf numFmtId="0" fontId="64" fillId="2" borderId="0" xfId="65" applyFont="1" applyFill="1" applyAlignment="1" applyProtection="1">
      <alignment horizontal="left" vertical="center" indent="2"/>
    </xf>
    <xf numFmtId="0" fontId="2" fillId="2" borderId="0" xfId="0" applyFont="1" applyFill="1" applyAlignment="1">
      <alignment horizontal="left" vertical="center" indent="2"/>
    </xf>
    <xf numFmtId="0" fontId="2" fillId="2" borderId="0" xfId="0" applyFont="1" applyFill="1" applyAlignment="1">
      <alignment horizontal="left" vertical="top" wrapText="1" indent="3"/>
    </xf>
    <xf numFmtId="165" fontId="7" fillId="2" borderId="4" xfId="1" applyNumberFormat="1" applyFont="1" applyFill="1" applyBorder="1" applyAlignment="1">
      <alignment horizontal="center" vertical="center"/>
    </xf>
    <xf numFmtId="165" fontId="7" fillId="2" borderId="0" xfId="1" applyNumberFormat="1" applyFont="1" applyFill="1" applyBorder="1" applyAlignment="1">
      <alignment horizontal="center" vertical="center"/>
    </xf>
    <xf numFmtId="165" fontId="7" fillId="2" borderId="2" xfId="1" applyNumberFormat="1" applyFont="1" applyFill="1" applyBorder="1" applyAlignment="1">
      <alignment horizontal="center" vertical="center"/>
    </xf>
    <xf numFmtId="0" fontId="7" fillId="2" borderId="4" xfId="0" applyFont="1" applyFill="1" applyBorder="1" applyAlignment="1">
      <alignment horizontal="center"/>
    </xf>
    <xf numFmtId="0" fontId="7" fillId="2" borderId="0" xfId="0" applyFont="1" applyFill="1" applyAlignment="1">
      <alignment horizontal="center"/>
    </xf>
    <xf numFmtId="0" fontId="7" fillId="2" borderId="2" xfId="0" applyFont="1" applyFill="1" applyBorder="1" applyAlignment="1">
      <alignment horizontal="center"/>
    </xf>
    <xf numFmtId="0" fontId="7" fillId="2" borderId="4"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0" xfId="0" applyFont="1" applyFill="1" applyBorder="1" applyAlignment="1">
      <alignment horizontal="center"/>
    </xf>
    <xf numFmtId="0" fontId="7" fillId="2" borderId="4" xfId="0" applyFont="1" applyFill="1" applyBorder="1" applyAlignment="1">
      <alignment horizontal="center" vertical="center" wrapText="1"/>
    </xf>
    <xf numFmtId="0" fontId="7" fillId="2" borderId="0" xfId="0" applyFont="1" applyFill="1" applyAlignment="1">
      <alignment horizontal="center" vertical="center"/>
    </xf>
    <xf numFmtId="0" fontId="7" fillId="2" borderId="0" xfId="0" applyFont="1" applyFill="1" applyBorder="1" applyAlignment="1">
      <alignment horizontal="center" vertical="center" wrapText="1"/>
    </xf>
    <xf numFmtId="0" fontId="7" fillId="2" borderId="2" xfId="0" applyFont="1" applyFill="1" applyBorder="1" applyAlignment="1">
      <alignment horizontal="center" vertical="center" wrapText="1"/>
    </xf>
    <xf numFmtId="1" fontId="7" fillId="2" borderId="4" xfId="0" applyNumberFormat="1" applyFont="1" applyFill="1" applyBorder="1" applyAlignment="1">
      <alignment horizontal="center" vertical="center"/>
    </xf>
    <xf numFmtId="1" fontId="7" fillId="2" borderId="0" xfId="0" applyNumberFormat="1" applyFont="1" applyFill="1" applyBorder="1" applyAlignment="1">
      <alignment horizontal="center" vertical="center"/>
    </xf>
    <xf numFmtId="1" fontId="7" fillId="2" borderId="2" xfId="0" applyNumberFormat="1" applyFont="1" applyFill="1" applyBorder="1" applyAlignment="1">
      <alignment horizontal="center" vertical="center"/>
    </xf>
    <xf numFmtId="0" fontId="0" fillId="0" borderId="30" xfId="0" applyBorder="1" applyAlignment="1">
      <alignment horizontal="center"/>
    </xf>
    <xf numFmtId="0" fontId="0" fillId="0" borderId="0" xfId="0" applyAlignment="1">
      <alignment horizontal="center"/>
    </xf>
    <xf numFmtId="0" fontId="11" fillId="5" borderId="0" xfId="65" applyFont="1" applyFill="1" applyBorder="1" applyAlignment="1" applyProtection="1">
      <alignment vertical="center" wrapText="1"/>
    </xf>
    <xf numFmtId="0" fontId="11" fillId="5" borderId="0" xfId="65" applyFont="1" applyFill="1" applyBorder="1" applyAlignment="1" applyProtection="1">
      <alignment vertical="center"/>
    </xf>
    <xf numFmtId="0" fontId="11" fillId="5" borderId="2" xfId="65" applyFont="1" applyFill="1" applyBorder="1" applyAlignment="1" applyProtection="1">
      <alignment vertical="center"/>
    </xf>
    <xf numFmtId="0" fontId="11" fillId="5" borderId="0" xfId="42" applyFont="1" applyFill="1" applyBorder="1" applyAlignment="1">
      <alignment vertical="center"/>
    </xf>
    <xf numFmtId="0" fontId="51" fillId="5" borderId="0" xfId="42" applyFont="1" applyFill="1" applyBorder="1" applyAlignment="1">
      <alignment vertical="center"/>
    </xf>
    <xf numFmtId="0" fontId="51" fillId="5" borderId="2" xfId="42" applyFont="1" applyFill="1" applyBorder="1" applyAlignment="1">
      <alignment vertical="center"/>
    </xf>
    <xf numFmtId="0" fontId="51" fillId="5" borderId="0" xfId="42" applyFont="1" applyFill="1" applyBorder="1" applyAlignment="1">
      <alignment vertical="center" wrapText="1"/>
    </xf>
    <xf numFmtId="0" fontId="11" fillId="5" borderId="2" xfId="65" applyFont="1" applyFill="1" applyBorder="1" applyAlignment="1" applyProtection="1">
      <alignment vertical="center" wrapText="1"/>
    </xf>
    <xf numFmtId="0" fontId="11" fillId="5" borderId="0" xfId="42" applyFont="1" applyFill="1" applyBorder="1" applyAlignment="1">
      <alignment horizontal="center" vertical="center" wrapText="1"/>
    </xf>
    <xf numFmtId="0" fontId="11" fillId="5" borderId="0" xfId="42" applyFont="1" applyFill="1" applyBorder="1" applyAlignment="1">
      <alignment vertical="center" wrapText="1"/>
    </xf>
    <xf numFmtId="0" fontId="51" fillId="5" borderId="0" xfId="65" applyFont="1" applyFill="1" applyBorder="1" applyAlignment="1" applyProtection="1">
      <alignment vertical="center" wrapText="1"/>
    </xf>
    <xf numFmtId="0" fontId="11" fillId="39" borderId="0" xfId="65" applyFont="1" applyFill="1" applyBorder="1" applyAlignment="1" applyProtection="1">
      <alignment vertical="center" wrapText="1"/>
    </xf>
    <xf numFmtId="0" fontId="11" fillId="39" borderId="0" xfId="65" applyFont="1" applyFill="1" applyBorder="1" applyAlignment="1" applyProtection="1">
      <alignment vertical="center"/>
    </xf>
    <xf numFmtId="0" fontId="11" fillId="39" borderId="2" xfId="65" applyFont="1" applyFill="1" applyBorder="1" applyAlignment="1" applyProtection="1">
      <alignment vertical="center"/>
    </xf>
    <xf numFmtId="0" fontId="11" fillId="39" borderId="2" xfId="65" applyFont="1" applyFill="1" applyBorder="1" applyAlignment="1" applyProtection="1">
      <alignment vertical="center" wrapText="1"/>
    </xf>
    <xf numFmtId="0" fontId="51" fillId="5" borderId="2" xfId="65" applyFont="1" applyFill="1" applyBorder="1" applyAlignment="1" applyProtection="1">
      <alignment vertical="center" wrapText="1"/>
    </xf>
  </cellXfs>
  <cellStyles count="66">
    <cellStyle name="20% - Accent1 2" xfId="5"/>
    <cellStyle name="20% - Accent2 2" xfId="6"/>
    <cellStyle name="20% - Accent3 2" xfId="7"/>
    <cellStyle name="20% - Accent4 2" xfId="8"/>
    <cellStyle name="20% - Accent5 2" xfId="9"/>
    <cellStyle name="20% - Accent6 2" xfId="10"/>
    <cellStyle name="40% - Accent1 2" xfId="11"/>
    <cellStyle name="40% - Accent2 2" xfId="12"/>
    <cellStyle name="40% - Accent3 2" xfId="13"/>
    <cellStyle name="40% - Accent4 2" xfId="14"/>
    <cellStyle name="40% - Accent5 2" xfId="15"/>
    <cellStyle name="40% - Accent6 2" xfId="16"/>
    <cellStyle name="60% - Accent1 2" xfId="17"/>
    <cellStyle name="60% - Accent2 2" xfId="18"/>
    <cellStyle name="60% - Accent3 2" xfId="19"/>
    <cellStyle name="60% - Accent4 2" xfId="20"/>
    <cellStyle name="60% - Accent5 2" xfId="21"/>
    <cellStyle name="60% - Accent6 2" xfId="22"/>
    <cellStyle name="Accent1 2" xfId="23"/>
    <cellStyle name="Accent2 2" xfId="24"/>
    <cellStyle name="Accent3 2" xfId="25"/>
    <cellStyle name="Accent4 2" xfId="26"/>
    <cellStyle name="Accent5 2" xfId="27"/>
    <cellStyle name="Accent6 2" xfId="28"/>
    <cellStyle name="Bad 2" xfId="29"/>
    <cellStyle name="Calculation 2" xfId="30"/>
    <cellStyle name="Calculation 3" xfId="59"/>
    <cellStyle name="Calculation 4" xfId="63"/>
    <cellStyle name="Check Cell 2" xfId="31"/>
    <cellStyle name="Comma" xfId="2" builtinId="3"/>
    <cellStyle name="Comma 2" xfId="32"/>
    <cellStyle name="Explanatory Text 2" xfId="33"/>
    <cellStyle name="Good 2" xfId="34"/>
    <cellStyle name="Heading 1 2" xfId="35"/>
    <cellStyle name="Heading 2 2" xfId="36"/>
    <cellStyle name="Heading 3 2" xfId="37"/>
    <cellStyle name="Heading 4 2" xfId="38"/>
    <cellStyle name="Hyperlink" xfId="65" builtinId="8"/>
    <cellStyle name="Hyperlink 2" xfId="53"/>
    <cellStyle name="Input 2" xfId="39"/>
    <cellStyle name="Input 3" xfId="58"/>
    <cellStyle name="Input 4" xfId="64"/>
    <cellStyle name="Linked Cell 2" xfId="40"/>
    <cellStyle name="Neutral 2" xfId="41"/>
    <cellStyle name="Normal" xfId="0" builtinId="0"/>
    <cellStyle name="Normal 2" xfId="3"/>
    <cellStyle name="Normal 2 2" xfId="42"/>
    <cellStyle name="Normal 2 3" xfId="43"/>
    <cellStyle name="Normal 3" xfId="52"/>
    <cellStyle name="Normal 3 2" xfId="54"/>
    <cellStyle name="Normal 4" xfId="44"/>
    <cellStyle name="Normal 5" xfId="4"/>
    <cellStyle name="Normal 6" xfId="56"/>
    <cellStyle name="Normal 7" xfId="57"/>
    <cellStyle name="Note 2" xfId="45"/>
    <cellStyle name="Note 3" xfId="60"/>
    <cellStyle name="Output 2" xfId="46"/>
    <cellStyle name="Output 3" xfId="61"/>
    <cellStyle name="Percent" xfId="1" builtinId="5"/>
    <cellStyle name="Percent 2" xfId="48"/>
    <cellStyle name="Percent 2 3" xfId="55"/>
    <cellStyle name="Percent 3" xfId="47"/>
    <cellStyle name="Title 2" xfId="49"/>
    <cellStyle name="Total 2" xfId="50"/>
    <cellStyle name="Total 3" xfId="62"/>
    <cellStyle name="Warning Text 2" xfId="51"/>
  </cellStyles>
  <dxfs count="13">
    <dxf>
      <font>
        <b/>
        <i val="0"/>
        <color theme="0"/>
      </font>
      <fill>
        <patternFill>
          <bgColor rgb="FFFF0000"/>
        </patternFill>
      </fill>
    </dxf>
    <dxf>
      <font>
        <b/>
        <i val="0"/>
        <color theme="0"/>
      </font>
      <fill>
        <patternFill>
          <bgColor rgb="FFFF000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b/>
        <i val="0"/>
        <color theme="0"/>
      </font>
      <fill>
        <patternFill>
          <bgColor rgb="FFFF0000"/>
        </patternFill>
      </fill>
    </dxf>
    <dxf>
      <font>
        <b/>
        <i val="0"/>
        <color theme="0"/>
      </font>
      <fill>
        <patternFill>
          <bgColor rgb="FFFF0000"/>
        </patternFill>
      </fill>
    </dxf>
  </dxfs>
  <tableStyles count="0" defaultTableStyle="TableStyleMedium2" defaultPivotStyle="PivotStyleLight16"/>
  <colors>
    <mruColors>
      <color rgb="FF191EE1"/>
      <color rgb="FFFBFBFB"/>
      <color rgb="FFF5F5F5"/>
      <color rgb="FF9966FF"/>
      <color rgb="FFCC0000"/>
      <color rgb="FFFFFF99"/>
      <color rgb="FFF7EAE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Population!$F$40</c:f>
              <c:strCache>
                <c:ptCount val="1"/>
                <c:pt idx="0">
                  <c:v>Kingston Buci</c:v>
                </c:pt>
              </c:strCache>
            </c:strRef>
          </c:tx>
          <c:marker>
            <c:symbol val="none"/>
          </c:marker>
          <c:cat>
            <c:strRef>
              <c:f>Population!$D$42:$D$51</c:f>
              <c:strCache>
                <c:ptCount val="10"/>
                <c:pt idx="0">
                  <c:v>under 5 (2005)</c:v>
                </c:pt>
                <c:pt idx="1">
                  <c:v>under 5 (2006)</c:v>
                </c:pt>
                <c:pt idx="2">
                  <c:v>under 5 (2007)</c:v>
                </c:pt>
                <c:pt idx="3">
                  <c:v>under 5 (2008)</c:v>
                </c:pt>
                <c:pt idx="4">
                  <c:v>under 5 (2009)</c:v>
                </c:pt>
                <c:pt idx="5">
                  <c:v>under 5 (2010)</c:v>
                </c:pt>
                <c:pt idx="6">
                  <c:v>under 5 (2011)</c:v>
                </c:pt>
                <c:pt idx="7">
                  <c:v>under 5 (2012)</c:v>
                </c:pt>
                <c:pt idx="8">
                  <c:v>under 5 (2013)</c:v>
                </c:pt>
                <c:pt idx="9">
                  <c:v>under 5 (2014)</c:v>
                </c:pt>
              </c:strCache>
            </c:strRef>
          </c:cat>
          <c:val>
            <c:numRef>
              <c:f>Population!$F$42:$F$51</c:f>
              <c:numCache>
                <c:formatCode>_-* #,##0_-;\-* #,##0_-;_-* "-"??_-;_-@_-</c:formatCode>
                <c:ptCount val="10"/>
                <c:pt idx="0">
                  <c:v>775</c:v>
                </c:pt>
                <c:pt idx="1">
                  <c:v>805</c:v>
                </c:pt>
                <c:pt idx="2">
                  <c:v>800</c:v>
                </c:pt>
                <c:pt idx="3">
                  <c:v>830</c:v>
                </c:pt>
                <c:pt idx="4">
                  <c:v>815</c:v>
                </c:pt>
                <c:pt idx="5">
                  <c:v>860</c:v>
                </c:pt>
                <c:pt idx="6">
                  <c:v>905</c:v>
                </c:pt>
                <c:pt idx="7">
                  <c:v>945</c:v>
                </c:pt>
                <c:pt idx="8">
                  <c:v>990</c:v>
                </c:pt>
                <c:pt idx="9">
                  <c:v>1022</c:v>
                </c:pt>
              </c:numCache>
            </c:numRef>
          </c:val>
          <c:smooth val="0"/>
        </c:ser>
        <c:ser>
          <c:idx val="1"/>
          <c:order val="1"/>
          <c:tx>
            <c:strRef>
              <c:f>Population!$G$40</c:f>
              <c:strCache>
                <c:ptCount val="1"/>
                <c:pt idx="0">
                  <c:v>Stepping Stones</c:v>
                </c:pt>
              </c:strCache>
            </c:strRef>
          </c:tx>
          <c:spPr>
            <a:ln>
              <a:solidFill>
                <a:schemeClr val="accent4"/>
              </a:solidFill>
            </a:ln>
          </c:spPr>
          <c:marker>
            <c:symbol val="none"/>
          </c:marker>
          <c:cat>
            <c:strRef>
              <c:f>Population!$D$42:$D$51</c:f>
              <c:strCache>
                <c:ptCount val="10"/>
                <c:pt idx="0">
                  <c:v>under 5 (2005)</c:v>
                </c:pt>
                <c:pt idx="1">
                  <c:v>under 5 (2006)</c:v>
                </c:pt>
                <c:pt idx="2">
                  <c:v>under 5 (2007)</c:v>
                </c:pt>
                <c:pt idx="3">
                  <c:v>under 5 (2008)</c:v>
                </c:pt>
                <c:pt idx="4">
                  <c:v>under 5 (2009)</c:v>
                </c:pt>
                <c:pt idx="5">
                  <c:v>under 5 (2010)</c:v>
                </c:pt>
                <c:pt idx="6">
                  <c:v>under 5 (2011)</c:v>
                </c:pt>
                <c:pt idx="7">
                  <c:v>under 5 (2012)</c:v>
                </c:pt>
                <c:pt idx="8">
                  <c:v>under 5 (2013)</c:v>
                </c:pt>
                <c:pt idx="9">
                  <c:v>under 5 (2014)</c:v>
                </c:pt>
              </c:strCache>
            </c:strRef>
          </c:cat>
          <c:val>
            <c:numRef>
              <c:f>Population!$G$42:$G$51</c:f>
              <c:numCache>
                <c:formatCode>_-* #,##0_-;\-* #,##0_-;_-* "-"??_-;_-@_-</c:formatCode>
                <c:ptCount val="10"/>
                <c:pt idx="0">
                  <c:v>680</c:v>
                </c:pt>
                <c:pt idx="1">
                  <c:v>705</c:v>
                </c:pt>
                <c:pt idx="2">
                  <c:v>710</c:v>
                </c:pt>
                <c:pt idx="3">
                  <c:v>735</c:v>
                </c:pt>
                <c:pt idx="4">
                  <c:v>775</c:v>
                </c:pt>
                <c:pt idx="5">
                  <c:v>775</c:v>
                </c:pt>
                <c:pt idx="6">
                  <c:v>805</c:v>
                </c:pt>
                <c:pt idx="7">
                  <c:v>825</c:v>
                </c:pt>
                <c:pt idx="8">
                  <c:v>830</c:v>
                </c:pt>
                <c:pt idx="9">
                  <c:v>858</c:v>
                </c:pt>
              </c:numCache>
            </c:numRef>
          </c:val>
          <c:smooth val="0"/>
        </c:ser>
        <c:dLbls>
          <c:showLegendKey val="0"/>
          <c:showVal val="0"/>
          <c:showCatName val="0"/>
          <c:showSerName val="0"/>
          <c:showPercent val="0"/>
          <c:showBubbleSize val="0"/>
        </c:dLbls>
        <c:marker val="1"/>
        <c:smooth val="0"/>
        <c:axId val="115107328"/>
        <c:axId val="115108864"/>
      </c:lineChart>
      <c:catAx>
        <c:axId val="115107328"/>
        <c:scaling>
          <c:orientation val="minMax"/>
        </c:scaling>
        <c:delete val="0"/>
        <c:axPos val="b"/>
        <c:majorTickMark val="out"/>
        <c:minorTickMark val="none"/>
        <c:tickLblPos val="nextTo"/>
        <c:crossAx val="115108864"/>
        <c:crosses val="autoZero"/>
        <c:auto val="1"/>
        <c:lblAlgn val="ctr"/>
        <c:lblOffset val="100"/>
        <c:noMultiLvlLbl val="0"/>
      </c:catAx>
      <c:valAx>
        <c:axId val="115108864"/>
        <c:scaling>
          <c:orientation val="minMax"/>
        </c:scaling>
        <c:delete val="0"/>
        <c:axPos val="l"/>
        <c:majorGridlines>
          <c:spPr>
            <a:ln>
              <a:solidFill>
                <a:schemeClr val="bg1">
                  <a:lumMod val="85000"/>
                </a:schemeClr>
              </a:solidFill>
            </a:ln>
          </c:spPr>
        </c:majorGridlines>
        <c:numFmt formatCode="#,##0_);\(#,##0\)" sourceLinked="0"/>
        <c:majorTickMark val="out"/>
        <c:minorTickMark val="none"/>
        <c:tickLblPos val="nextTo"/>
        <c:crossAx val="115107328"/>
        <c:crosses val="autoZero"/>
        <c:crossBetween val="between"/>
      </c:valAx>
    </c:plotArea>
    <c:legend>
      <c:legendPos val="t"/>
      <c:layout/>
      <c:overlay val="0"/>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38"/>
    </mc:Choice>
    <mc:Fallback>
      <c:style val="38"/>
    </mc:Fallback>
  </mc:AlternateContent>
  <c:chart>
    <c:autoTitleDeleted val="0"/>
    <c:plotArea>
      <c:layout/>
      <c:barChart>
        <c:barDir val="col"/>
        <c:grouping val="clustered"/>
        <c:varyColors val="0"/>
        <c:ser>
          <c:idx val="0"/>
          <c:order val="0"/>
          <c:tx>
            <c:strRef>
              <c:f>'Health Indicators'!$K$243</c:f>
              <c:strCache>
                <c:ptCount val="1"/>
                <c:pt idx="0">
                  <c:v>2009/10</c:v>
                </c:pt>
              </c:strCache>
            </c:strRef>
          </c:tx>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60000"/>
                  <a:lumOff val="4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Indicators'!$L$244:$O$244</c:f>
                <c:numCache>
                  <c:formatCode>General</c:formatCode>
                  <c:ptCount val="4"/>
                  <c:pt idx="0">
                    <c:v>7.3907914911309269E-2</c:v>
                  </c:pt>
                  <c:pt idx="1">
                    <c:v>8.5760543156772423E-2</c:v>
                  </c:pt>
                  <c:pt idx="2">
                    <c:v>9.000000000000008E-3</c:v>
                  </c:pt>
                  <c:pt idx="3">
                    <c:v>1.0000000000000009E-3</c:v>
                  </c:pt>
                </c:numCache>
              </c:numRef>
            </c:plus>
            <c:minus>
              <c:numRef>
                <c:f>'Health Indicators'!$L$245:$O$245</c:f>
                <c:numCache>
                  <c:formatCode>General</c:formatCode>
                  <c:ptCount val="4"/>
                  <c:pt idx="0">
                    <c:v>5.6487352529904666E-2</c:v>
                  </c:pt>
                  <c:pt idx="1">
                    <c:v>6.3070647187237192E-2</c:v>
                  </c:pt>
                  <c:pt idx="2">
                    <c:v>9.000000000000008E-3</c:v>
                  </c:pt>
                  <c:pt idx="3">
                    <c:v>1.0000000000000009E-3</c:v>
                  </c:pt>
                </c:numCache>
              </c:numRef>
            </c:minus>
          </c:errBars>
          <c:cat>
            <c:strRef>
              <c:f>'Health Indicators'!$L$242:$O$242</c:f>
              <c:strCache>
                <c:ptCount val="4"/>
                <c:pt idx="0">
                  <c:v>Kingston Buci</c:v>
                </c:pt>
                <c:pt idx="1">
                  <c:v>Stepping Stones</c:v>
                </c:pt>
                <c:pt idx="2">
                  <c:v>West Sussex</c:v>
                </c:pt>
                <c:pt idx="3">
                  <c:v>England</c:v>
                </c:pt>
              </c:strCache>
            </c:strRef>
          </c:cat>
          <c:val>
            <c:numRef>
              <c:f>'Health Indicators'!$L$243:$O$243</c:f>
              <c:numCache>
                <c:formatCode>0.0%</c:formatCode>
                <c:ptCount val="4"/>
                <c:pt idx="0">
                  <c:v>0.18518518518518517</c:v>
                </c:pt>
                <c:pt idx="1">
                  <c:v>0.18446601941747573</c:v>
                </c:pt>
                <c:pt idx="2">
                  <c:v>0.157</c:v>
                </c:pt>
                <c:pt idx="3">
                  <c:v>0.187</c:v>
                </c:pt>
              </c:numCache>
            </c:numRef>
          </c:val>
        </c:ser>
        <c:ser>
          <c:idx val="1"/>
          <c:order val="1"/>
          <c:tx>
            <c:strRef>
              <c:f>'Health Indicators'!$K$246</c:f>
              <c:strCache>
                <c:ptCount val="1"/>
                <c:pt idx="0">
                  <c:v>2010/11</c:v>
                </c:pt>
              </c:strCache>
            </c:strRef>
          </c:tx>
          <c:invertIfNegative val="0"/>
          <c:dPt>
            <c:idx val="0"/>
            <c:invertIfNegative val="0"/>
            <c:bubble3D val="0"/>
            <c:spPr>
              <a:solidFill>
                <a:schemeClr val="tx2">
                  <a:lumMod val="40000"/>
                  <a:lumOff val="60000"/>
                </a:schemeClr>
              </a:solidFill>
            </c:spPr>
          </c:dPt>
          <c:dPt>
            <c:idx val="1"/>
            <c:invertIfNegative val="0"/>
            <c:bubble3D val="0"/>
            <c:spPr>
              <a:solidFill>
                <a:schemeClr val="accent4">
                  <a:lumMod val="60000"/>
                  <a:lumOff val="4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Indicators'!$L$247:$O$247</c:f>
                <c:numCache>
                  <c:formatCode>General</c:formatCode>
                  <c:ptCount val="4"/>
                  <c:pt idx="0">
                    <c:v>8.256899484645161E-2</c:v>
                  </c:pt>
                  <c:pt idx="1">
                    <c:v>9.2123012792136444E-2</c:v>
                  </c:pt>
                  <c:pt idx="2">
                    <c:v>9.000000000000008E-3</c:v>
                  </c:pt>
                  <c:pt idx="3">
                    <c:v>1.0000000000000009E-3</c:v>
                  </c:pt>
                </c:numCache>
              </c:numRef>
            </c:plus>
            <c:minus>
              <c:numRef>
                <c:f>'Health Indicators'!$L$248:$O$248</c:f>
                <c:numCache>
                  <c:formatCode>General</c:formatCode>
                  <c:ptCount val="4"/>
                  <c:pt idx="0">
                    <c:v>6.55084533161647E-2</c:v>
                  </c:pt>
                  <c:pt idx="1">
                    <c:v>6.8732839682279973E-2</c:v>
                  </c:pt>
                  <c:pt idx="2">
                    <c:v>1.2000000000000011E-2</c:v>
                  </c:pt>
                  <c:pt idx="3">
                    <c:v>1.0000000000000009E-3</c:v>
                  </c:pt>
                </c:numCache>
              </c:numRef>
            </c:minus>
          </c:errBars>
          <c:cat>
            <c:strRef>
              <c:f>'Health Indicators'!$L$242:$O$242</c:f>
              <c:strCache>
                <c:ptCount val="4"/>
                <c:pt idx="0">
                  <c:v>Kingston Buci</c:v>
                </c:pt>
                <c:pt idx="1">
                  <c:v>Stepping Stones</c:v>
                </c:pt>
                <c:pt idx="2">
                  <c:v>West Sussex</c:v>
                </c:pt>
                <c:pt idx="3">
                  <c:v>England</c:v>
                </c:pt>
              </c:strCache>
            </c:strRef>
          </c:cat>
          <c:val>
            <c:numRef>
              <c:f>'Health Indicators'!$L$246:$O$246</c:f>
              <c:numCache>
                <c:formatCode>0.0%</c:formatCode>
                <c:ptCount val="4"/>
                <c:pt idx="0">
                  <c:v>0.22500000000000001</c:v>
                </c:pt>
                <c:pt idx="1">
                  <c:v>0.20212765957446807</c:v>
                </c:pt>
                <c:pt idx="2">
                  <c:v>0.159</c:v>
                </c:pt>
                <c:pt idx="3">
                  <c:v>0.19</c:v>
                </c:pt>
              </c:numCache>
            </c:numRef>
          </c:val>
        </c:ser>
        <c:ser>
          <c:idx val="2"/>
          <c:order val="2"/>
          <c:tx>
            <c:strRef>
              <c:f>'Health Indicators'!$K$249</c:f>
              <c:strCache>
                <c:ptCount val="1"/>
                <c:pt idx="0">
                  <c:v>2011/12</c:v>
                </c:pt>
              </c:strCache>
            </c:strRef>
          </c:tx>
          <c:invertIfNegative val="0"/>
          <c:dPt>
            <c:idx val="0"/>
            <c:invertIfNegative val="0"/>
            <c:bubble3D val="0"/>
            <c:spPr>
              <a:solidFill>
                <a:schemeClr val="tx2">
                  <a:lumMod val="40000"/>
                  <a:lumOff val="60000"/>
                </a:schemeClr>
              </a:solidFill>
            </c:spPr>
          </c:dPt>
          <c:dPt>
            <c:idx val="1"/>
            <c:invertIfNegative val="0"/>
            <c:bubble3D val="0"/>
            <c:spPr>
              <a:solidFill>
                <a:schemeClr val="accent4">
                  <a:lumMod val="60000"/>
                  <a:lumOff val="4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Indicators'!$L$250:$O$250</c:f>
                <c:numCache>
                  <c:formatCode>General</c:formatCode>
                  <c:ptCount val="4"/>
                  <c:pt idx="0">
                    <c:v>7.4158701423748946E-2</c:v>
                  </c:pt>
                  <c:pt idx="1">
                    <c:v>8.8794023877628414E-2</c:v>
                  </c:pt>
                  <c:pt idx="2">
                    <c:v>9.000000000000008E-3</c:v>
                  </c:pt>
                  <c:pt idx="3">
                    <c:v>1.0000000000000009E-3</c:v>
                  </c:pt>
                </c:numCache>
              </c:numRef>
            </c:plus>
            <c:minus>
              <c:numRef>
                <c:f>'Health Indicators'!$L$251:$O$251</c:f>
                <c:numCache>
                  <c:formatCode>General</c:formatCode>
                  <c:ptCount val="4"/>
                  <c:pt idx="0">
                    <c:v>5.2542921873867554E-2</c:v>
                  </c:pt>
                  <c:pt idx="1">
                    <c:v>6.4837976515950052E-2</c:v>
                  </c:pt>
                  <c:pt idx="2">
                    <c:v>9.000000000000008E-3</c:v>
                  </c:pt>
                  <c:pt idx="3">
                    <c:v>1.0000000000000009E-3</c:v>
                  </c:pt>
                </c:numCache>
              </c:numRef>
            </c:minus>
          </c:errBars>
          <c:cat>
            <c:strRef>
              <c:f>'Health Indicators'!$L$242:$O$242</c:f>
              <c:strCache>
                <c:ptCount val="4"/>
                <c:pt idx="0">
                  <c:v>Kingston Buci</c:v>
                </c:pt>
                <c:pt idx="1">
                  <c:v>Stepping Stones</c:v>
                </c:pt>
                <c:pt idx="2">
                  <c:v>West Sussex</c:v>
                </c:pt>
                <c:pt idx="3">
                  <c:v>England</c:v>
                </c:pt>
              </c:strCache>
            </c:strRef>
          </c:cat>
          <c:val>
            <c:numRef>
              <c:f>'Health Indicators'!$L$249:$O$249</c:f>
              <c:numCache>
                <c:formatCode>0.0%</c:formatCode>
                <c:ptCount val="4"/>
                <c:pt idx="0">
                  <c:v>0.1487603305785124</c:v>
                </c:pt>
                <c:pt idx="1">
                  <c:v>0.18556701030927836</c:v>
                </c:pt>
                <c:pt idx="2">
                  <c:v>0.156</c:v>
                </c:pt>
                <c:pt idx="3">
                  <c:v>0.192</c:v>
                </c:pt>
              </c:numCache>
            </c:numRef>
          </c:val>
        </c:ser>
        <c:ser>
          <c:idx val="3"/>
          <c:order val="3"/>
          <c:tx>
            <c:strRef>
              <c:f>'Health Indicators'!$K$252</c:f>
              <c:strCache>
                <c:ptCount val="1"/>
                <c:pt idx="0">
                  <c:v>2012/13</c:v>
                </c:pt>
              </c:strCache>
            </c:strRef>
          </c:tx>
          <c:invertIfNegative val="0"/>
          <c:dPt>
            <c:idx val="0"/>
            <c:invertIfNegative val="0"/>
            <c:bubble3D val="0"/>
            <c:spPr>
              <a:solidFill>
                <a:schemeClr val="tx2">
                  <a:lumMod val="40000"/>
                  <a:lumOff val="60000"/>
                </a:schemeClr>
              </a:solidFill>
            </c:spPr>
          </c:dPt>
          <c:dPt>
            <c:idx val="1"/>
            <c:invertIfNegative val="0"/>
            <c:bubble3D val="0"/>
            <c:spPr>
              <a:solidFill>
                <a:schemeClr val="accent4">
                  <a:lumMod val="60000"/>
                  <a:lumOff val="4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Indicators'!$L$253:$O$253</c:f>
                <c:numCache>
                  <c:formatCode>General</c:formatCode>
                  <c:ptCount val="4"/>
                  <c:pt idx="0">
                    <c:v>8.0027042217534899E-2</c:v>
                  </c:pt>
                  <c:pt idx="1">
                    <c:v>9.5236884701461771E-2</c:v>
                  </c:pt>
                  <c:pt idx="2">
                    <c:v>8.0000000000000071E-3</c:v>
                  </c:pt>
                  <c:pt idx="3">
                    <c:v>1.0000000000000009E-3</c:v>
                  </c:pt>
                </c:numCache>
              </c:numRef>
            </c:plus>
            <c:minus>
              <c:numRef>
                <c:f>'Health Indicators'!$L$254:$O$254</c:f>
                <c:numCache>
                  <c:formatCode>General</c:formatCode>
                  <c:ptCount val="4"/>
                  <c:pt idx="0">
                    <c:v>6.3091898591205481E-2</c:v>
                  </c:pt>
                  <c:pt idx="1">
                    <c:v>7.1585189930961884E-2</c:v>
                  </c:pt>
                  <c:pt idx="2">
                    <c:v>8.0000000000000071E-3</c:v>
                  </c:pt>
                  <c:pt idx="3">
                    <c:v>1.0000000000000009E-3</c:v>
                  </c:pt>
                </c:numCache>
              </c:numRef>
            </c:minus>
          </c:errBars>
          <c:cat>
            <c:strRef>
              <c:f>'Health Indicators'!$L$242:$O$242</c:f>
              <c:strCache>
                <c:ptCount val="4"/>
                <c:pt idx="0">
                  <c:v>Kingston Buci</c:v>
                </c:pt>
                <c:pt idx="1">
                  <c:v>Stepping Stones</c:v>
                </c:pt>
                <c:pt idx="2">
                  <c:v>West Sussex</c:v>
                </c:pt>
                <c:pt idx="3">
                  <c:v>England</c:v>
                </c:pt>
              </c:strCache>
            </c:strRef>
          </c:cat>
          <c:val>
            <c:numRef>
              <c:f>'Health Indicators'!$L$252:$O$252</c:f>
              <c:numCache>
                <c:formatCode>0.0%</c:formatCode>
                <c:ptCount val="4"/>
                <c:pt idx="0">
                  <c:v>0.216</c:v>
                </c:pt>
                <c:pt idx="1">
                  <c:v>0.21111111111111111</c:v>
                </c:pt>
                <c:pt idx="2">
                  <c:v>0.14699999999999999</c:v>
                </c:pt>
                <c:pt idx="3">
                  <c:v>0.189</c:v>
                </c:pt>
              </c:numCache>
            </c:numRef>
          </c:val>
        </c:ser>
        <c:ser>
          <c:idx val="4"/>
          <c:order val="4"/>
          <c:tx>
            <c:strRef>
              <c:f>'Health Indicators'!$K$255</c:f>
              <c:strCache>
                <c:ptCount val="1"/>
                <c:pt idx="0">
                  <c:v>2013/14</c:v>
                </c:pt>
              </c:strCache>
            </c:strRef>
          </c:tx>
          <c:invertIfNegative val="0"/>
          <c:dPt>
            <c:idx val="0"/>
            <c:invertIfNegative val="0"/>
            <c:bubble3D val="0"/>
            <c:spPr>
              <a:solidFill>
                <a:schemeClr val="tx2">
                  <a:lumMod val="40000"/>
                  <a:lumOff val="60000"/>
                </a:schemeClr>
              </a:solidFill>
            </c:spPr>
          </c:dPt>
          <c:dPt>
            <c:idx val="1"/>
            <c:invertIfNegative val="0"/>
            <c:bubble3D val="0"/>
            <c:spPr>
              <a:solidFill>
                <a:schemeClr val="accent4">
                  <a:lumMod val="60000"/>
                  <a:lumOff val="4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Indicators'!$L$256:$O$256</c:f>
                <c:numCache>
                  <c:formatCode>General</c:formatCode>
                  <c:ptCount val="4"/>
                  <c:pt idx="0">
                    <c:v>8.0286520762523572E-2</c:v>
                  </c:pt>
                  <c:pt idx="1">
                    <c:v>6.5864841888276654E-2</c:v>
                  </c:pt>
                  <c:pt idx="2">
                    <c:v>8.6070000000000035E-3</c:v>
                  </c:pt>
                  <c:pt idx="3">
                    <c:v>1.0759999999999936E-3</c:v>
                  </c:pt>
                </c:numCache>
              </c:numRef>
            </c:plus>
            <c:minus>
              <c:numRef>
                <c:f>'Health Indicators'!$L$257:$O$257</c:f>
                <c:numCache>
                  <c:formatCode>General</c:formatCode>
                  <c:ptCount val="4"/>
                  <c:pt idx="0">
                    <c:v>6.0452205092613009E-2</c:v>
                  </c:pt>
                  <c:pt idx="1">
                    <c:v>3.7839078496515563E-2</c:v>
                  </c:pt>
                  <c:pt idx="2">
                    <c:v>8.2470000000000043E-3</c:v>
                  </c:pt>
                  <c:pt idx="3">
                    <c:v>1.0719999999999896E-3</c:v>
                  </c:pt>
                </c:numCache>
              </c:numRef>
            </c:minus>
          </c:errBars>
          <c:cat>
            <c:strRef>
              <c:f>'Health Indicators'!$L$242:$O$242</c:f>
              <c:strCache>
                <c:ptCount val="4"/>
                <c:pt idx="0">
                  <c:v>Kingston Buci</c:v>
                </c:pt>
                <c:pt idx="1">
                  <c:v>Stepping Stones</c:v>
                </c:pt>
                <c:pt idx="2">
                  <c:v>West Sussex</c:v>
                </c:pt>
                <c:pt idx="3">
                  <c:v>England</c:v>
                </c:pt>
              </c:strCache>
            </c:strRef>
          </c:cat>
          <c:val>
            <c:numRef>
              <c:f>'Health Indicators'!$L$255:$O$255</c:f>
              <c:numCache>
                <c:formatCode>0.0%</c:formatCode>
                <c:ptCount val="4"/>
                <c:pt idx="0">
                  <c:v>0.18803418803418803</c:v>
                </c:pt>
                <c:pt idx="1">
                  <c:v>8.1081081081081086E-2</c:v>
                </c:pt>
                <c:pt idx="2">
                  <c:v>0.159994</c:v>
                </c:pt>
                <c:pt idx="3">
                  <c:v>0.19092900000000002</c:v>
                </c:pt>
              </c:numCache>
            </c:numRef>
          </c:val>
        </c:ser>
        <c:ser>
          <c:idx val="5"/>
          <c:order val="5"/>
          <c:tx>
            <c:strRef>
              <c:f>'Health Indicators'!$K$258</c:f>
              <c:strCache>
                <c:ptCount val="1"/>
                <c:pt idx="0">
                  <c:v>2014/15</c:v>
                </c:pt>
              </c:strCache>
            </c:strRef>
          </c:tx>
          <c:invertIfNegative val="0"/>
          <c:dPt>
            <c:idx val="0"/>
            <c:invertIfNegative val="0"/>
            <c:bubble3D val="0"/>
            <c:spPr>
              <a:solidFill>
                <a:schemeClr val="tx2">
                  <a:lumMod val="40000"/>
                  <a:lumOff val="60000"/>
                </a:schemeClr>
              </a:solidFill>
            </c:spPr>
          </c:dPt>
          <c:dPt>
            <c:idx val="1"/>
            <c:invertIfNegative val="0"/>
            <c:bubble3D val="0"/>
            <c:spPr>
              <a:solidFill>
                <a:schemeClr val="accent4">
                  <a:lumMod val="60000"/>
                  <a:lumOff val="4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Indicators'!$L$260:$O$260</c:f>
                <c:numCache>
                  <c:formatCode>General</c:formatCode>
                  <c:ptCount val="4"/>
                  <c:pt idx="0">
                    <c:v>7.4119893214929178E-2</c:v>
                  </c:pt>
                  <c:pt idx="1">
                    <c:v>8.9352300022322806E-2</c:v>
                  </c:pt>
                  <c:pt idx="2">
                    <c:v>1.046414987458999E-2</c:v>
                  </c:pt>
                  <c:pt idx="3">
                    <c:v>1.2679768656750356E-3</c:v>
                  </c:pt>
                </c:numCache>
              </c:numRef>
            </c:plus>
            <c:minus>
              <c:numRef>
                <c:f>'Health Indicators'!$L$259:$O$259</c:f>
                <c:numCache>
                  <c:formatCode>General</c:formatCode>
                  <c:ptCount val="4"/>
                  <c:pt idx="0">
                    <c:v>5.5634854278978504E-2</c:v>
                  </c:pt>
                  <c:pt idx="1">
                    <c:v>6.8714272527275133E-2</c:v>
                  </c:pt>
                  <c:pt idx="2">
                    <c:v>1.0251201522404052E-2</c:v>
                  </c:pt>
                  <c:pt idx="3">
                    <c:v>1.2655528935509586E-3</c:v>
                  </c:pt>
                </c:numCache>
              </c:numRef>
            </c:minus>
          </c:errBars>
          <c:val>
            <c:numRef>
              <c:f>'Health Indicators'!$L$258:$O$258</c:f>
              <c:numCache>
                <c:formatCode>0.0%</c:formatCode>
                <c:ptCount val="4"/>
                <c:pt idx="0">
                  <c:v>0.17557251908396945</c:v>
                </c:pt>
                <c:pt idx="1">
                  <c:v>0.21568627450980393</c:v>
                </c:pt>
                <c:pt idx="2">
                  <c:v>0.29398303944003201</c:v>
                </c:pt>
                <c:pt idx="3">
                  <c:v>0.33239712888937395</c:v>
                </c:pt>
              </c:numCache>
            </c:numRef>
          </c:val>
        </c:ser>
        <c:dLbls>
          <c:showLegendKey val="0"/>
          <c:showVal val="0"/>
          <c:showCatName val="0"/>
          <c:showSerName val="0"/>
          <c:showPercent val="0"/>
          <c:showBubbleSize val="0"/>
        </c:dLbls>
        <c:gapWidth val="150"/>
        <c:axId val="128135168"/>
        <c:axId val="128136704"/>
      </c:barChart>
      <c:catAx>
        <c:axId val="128135168"/>
        <c:scaling>
          <c:orientation val="minMax"/>
        </c:scaling>
        <c:delete val="0"/>
        <c:axPos val="b"/>
        <c:majorTickMark val="out"/>
        <c:minorTickMark val="none"/>
        <c:tickLblPos val="nextTo"/>
        <c:crossAx val="128136704"/>
        <c:crosses val="autoZero"/>
        <c:auto val="1"/>
        <c:lblAlgn val="ctr"/>
        <c:lblOffset val="100"/>
        <c:noMultiLvlLbl val="0"/>
      </c:catAx>
      <c:valAx>
        <c:axId val="128136704"/>
        <c:scaling>
          <c:orientation val="minMax"/>
        </c:scaling>
        <c:delete val="0"/>
        <c:axPos val="l"/>
        <c:majorGridlines>
          <c:spPr>
            <a:ln>
              <a:solidFill>
                <a:schemeClr val="bg1">
                  <a:lumMod val="75000"/>
                </a:schemeClr>
              </a:solidFill>
            </a:ln>
          </c:spPr>
        </c:majorGridlines>
        <c:title>
          <c:tx>
            <c:rich>
              <a:bodyPr rot="-5400000" vert="horz"/>
              <a:lstStyle/>
              <a:p>
                <a:pPr>
                  <a:defRPr/>
                </a:pPr>
                <a:r>
                  <a:rPr lang="en-US"/>
                  <a:t>% of year</a:t>
                </a:r>
                <a:r>
                  <a:rPr lang="en-US" baseline="0"/>
                  <a:t> 6 </a:t>
                </a:r>
                <a:r>
                  <a:rPr lang="en-US"/>
                  <a:t>children measured as obese</a:t>
                </a:r>
              </a:p>
            </c:rich>
          </c:tx>
          <c:layout/>
          <c:overlay val="0"/>
        </c:title>
        <c:numFmt formatCode="0.0%" sourceLinked="1"/>
        <c:majorTickMark val="out"/>
        <c:minorTickMark val="none"/>
        <c:tickLblPos val="nextTo"/>
        <c:crossAx val="128135168"/>
        <c:crosses val="autoZero"/>
        <c:crossBetween val="between"/>
      </c:valAx>
      <c:spPr>
        <a:solidFill>
          <a:schemeClr val="bg1"/>
        </a:solidFill>
      </c:spPr>
    </c:plotArea>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'Health Indicators'!$F$505</c:f>
              <c:strCache>
                <c:ptCount val="1"/>
                <c:pt idx="0">
                  <c:v>% smoking at time of booking</c:v>
                </c:pt>
              </c:strCache>
            </c:strRef>
          </c:tx>
          <c:spPr>
            <a:solidFill>
              <a:schemeClr val="tx2">
                <a:lumMod val="40000"/>
                <a:lumOff val="60000"/>
              </a:schemeClr>
            </a:solidFill>
            <a:ln>
              <a:solidFill>
                <a:sysClr val="windowText" lastClr="000000"/>
              </a:solidFill>
            </a:ln>
          </c:spPr>
          <c:invertIfNegative val="0"/>
          <c:errBars>
            <c:errBarType val="both"/>
            <c:errValType val="cust"/>
            <c:noEndCap val="0"/>
            <c:plus>
              <c:numRef>
                <c:f>'Health Indicators'!$J$507:$K$507</c:f>
                <c:numCache>
                  <c:formatCode>General</c:formatCode>
                  <c:ptCount val="2"/>
                  <c:pt idx="0">
                    <c:v>8.14057286150731E-2</c:v>
                  </c:pt>
                  <c:pt idx="1">
                    <c:v>0.13829046258981847</c:v>
                  </c:pt>
                </c:numCache>
              </c:numRef>
            </c:plus>
            <c:minus>
              <c:numRef>
                <c:f>'Health Indicators'!$J$506:$K$506</c:f>
                <c:numCache>
                  <c:formatCode>General</c:formatCode>
                  <c:ptCount val="2"/>
                  <c:pt idx="0">
                    <c:v>3.1664838034292118E-2</c:v>
                  </c:pt>
                  <c:pt idx="1">
                    <c:v>1.4571323405611659E-2</c:v>
                  </c:pt>
                </c:numCache>
              </c:numRef>
            </c:minus>
          </c:errBars>
          <c:cat>
            <c:strRef>
              <c:f>'Health Indicators'!$G$504:$H$504</c:f>
              <c:strCache>
                <c:ptCount val="2"/>
                <c:pt idx="0">
                  <c:v>Kingston Buci</c:v>
                </c:pt>
                <c:pt idx="1">
                  <c:v>Stepping Stones</c:v>
                </c:pt>
              </c:strCache>
            </c:strRef>
          </c:cat>
          <c:val>
            <c:numRef>
              <c:f>'Health Indicators'!$G$505:$H$505</c:f>
              <c:numCache>
                <c:formatCode>0.0%</c:formatCode>
                <c:ptCount val="2"/>
                <c:pt idx="0">
                  <c:v>7.4494949494949489E-2</c:v>
                </c:pt>
                <c:pt idx="1">
                  <c:v>6.7724867724867729E-2</c:v>
                </c:pt>
              </c:numCache>
            </c:numRef>
          </c:val>
        </c:ser>
        <c:ser>
          <c:idx val="1"/>
          <c:order val="1"/>
          <c:tx>
            <c:strRef>
              <c:f>'Health Indicators'!$F$508</c:f>
              <c:strCache>
                <c:ptCount val="1"/>
                <c:pt idx="0">
                  <c:v>% smoking at time of delivery</c:v>
                </c:pt>
              </c:strCache>
            </c:strRef>
          </c:tx>
          <c:spPr>
            <a:solidFill>
              <a:schemeClr val="accent4">
                <a:lumMod val="40000"/>
                <a:lumOff val="60000"/>
              </a:schemeClr>
            </a:solidFill>
            <a:ln>
              <a:solidFill>
                <a:sysClr val="windowText" lastClr="000000"/>
              </a:solidFill>
            </a:ln>
          </c:spPr>
          <c:invertIfNegative val="0"/>
          <c:errBars>
            <c:errBarType val="both"/>
            <c:errValType val="cust"/>
            <c:noEndCap val="0"/>
            <c:plus>
              <c:numRef>
                <c:f>'Health Indicators'!$J$510:$K$510</c:f>
                <c:numCache>
                  <c:formatCode>General</c:formatCode>
                  <c:ptCount val="2"/>
                  <c:pt idx="0">
                    <c:v>7.0998928149488216E-2</c:v>
                  </c:pt>
                  <c:pt idx="1">
                    <c:v>3.0508412887976316E-2</c:v>
                  </c:pt>
                </c:numCache>
              </c:numRef>
            </c:plus>
            <c:minus>
              <c:numRef>
                <c:f>'Health Indicators'!$J$509:$K$509</c:f>
                <c:numCache>
                  <c:formatCode>General</c:formatCode>
                  <c:ptCount val="2"/>
                  <c:pt idx="0">
                    <c:v>2.9755841524516696E-2</c:v>
                  </c:pt>
                  <c:pt idx="1">
                    <c:v>0.11361925247629466</c:v>
                  </c:pt>
                </c:numCache>
              </c:numRef>
            </c:minus>
          </c:errBars>
          <c:cat>
            <c:strRef>
              <c:f>'Health Indicators'!$G$504:$H$504</c:f>
              <c:strCache>
                <c:ptCount val="2"/>
                <c:pt idx="0">
                  <c:v>Kingston Buci</c:v>
                </c:pt>
                <c:pt idx="1">
                  <c:v>Stepping Stones</c:v>
                </c:pt>
              </c:strCache>
            </c:strRef>
          </c:cat>
          <c:val>
            <c:numRef>
              <c:f>'Health Indicators'!$G$508:$H$508</c:f>
              <c:numCache>
                <c:formatCode>0.0%</c:formatCode>
                <c:ptCount val="2"/>
                <c:pt idx="0">
                  <c:v>5.8712121212121209E-2</c:v>
                </c:pt>
                <c:pt idx="1">
                  <c:v>0.15661375661375662</c:v>
                </c:pt>
              </c:numCache>
            </c:numRef>
          </c:val>
        </c:ser>
        <c:ser>
          <c:idx val="2"/>
          <c:order val="2"/>
          <c:tx>
            <c:strRef>
              <c:f>'Health Indicators'!$F$511</c:f>
              <c:strCache>
                <c:ptCount val="1"/>
                <c:pt idx="0">
                  <c:v>%current smoker</c:v>
                </c:pt>
              </c:strCache>
            </c:strRef>
          </c:tx>
          <c:spPr>
            <a:solidFill>
              <a:schemeClr val="accent3">
                <a:lumMod val="40000"/>
                <a:lumOff val="60000"/>
              </a:schemeClr>
            </a:solidFill>
            <a:ln>
              <a:solidFill>
                <a:sysClr val="windowText" lastClr="000000"/>
              </a:solidFill>
            </a:ln>
          </c:spPr>
          <c:invertIfNegative val="0"/>
          <c:errBars>
            <c:errBarType val="both"/>
            <c:errValType val="cust"/>
            <c:noEndCap val="0"/>
            <c:plus>
              <c:numRef>
                <c:f>'Health Indicators'!$J$513:$K$513</c:f>
                <c:numCache>
                  <c:formatCode>General</c:formatCode>
                  <c:ptCount val="2"/>
                  <c:pt idx="0">
                    <c:v>7.4118801758826139E-2</c:v>
                  </c:pt>
                  <c:pt idx="1">
                    <c:v>5.273612479950468E-2</c:v>
                  </c:pt>
                </c:numCache>
              </c:numRef>
            </c:plus>
            <c:minus>
              <c:numRef>
                <c:f>'Health Indicators'!$J$512:$K$512</c:f>
                <c:numCache>
                  <c:formatCode>General</c:formatCode>
                  <c:ptCount val="2"/>
                  <c:pt idx="0">
                    <c:v>3.304600507514182E-2</c:v>
                  </c:pt>
                  <c:pt idx="1">
                    <c:v>0.11535702807024766</c:v>
                  </c:pt>
                </c:numCache>
              </c:numRef>
            </c:minus>
          </c:errBars>
          <c:cat>
            <c:strRef>
              <c:f>'Health Indicators'!$G$504:$H$504</c:f>
              <c:strCache>
                <c:ptCount val="2"/>
                <c:pt idx="0">
                  <c:v>Kingston Buci</c:v>
                </c:pt>
                <c:pt idx="1">
                  <c:v>Stepping Stones</c:v>
                </c:pt>
              </c:strCache>
            </c:strRef>
          </c:cat>
          <c:val>
            <c:numRef>
              <c:f>'Health Indicators'!$G$511:$H$511</c:f>
              <c:numCache>
                <c:formatCode>0.0%</c:formatCode>
                <c:ptCount val="2"/>
                <c:pt idx="0">
                  <c:v>6.8813131313131312E-2</c:v>
                </c:pt>
                <c:pt idx="1">
                  <c:v>0.18994708994708998</c:v>
                </c:pt>
              </c:numCache>
            </c:numRef>
          </c:val>
        </c:ser>
        <c:ser>
          <c:idx val="3"/>
          <c:order val="3"/>
          <c:tx>
            <c:strRef>
              <c:f>'Health Indicators'!$E$514</c:f>
              <c:strCache>
                <c:ptCount val="1"/>
                <c:pt idx="0">
                  <c:v>%Smoker in household</c:v>
                </c:pt>
              </c:strCache>
            </c:strRef>
          </c:tx>
          <c:spPr>
            <a:solidFill>
              <a:schemeClr val="bg1">
                <a:lumMod val="85000"/>
              </a:schemeClr>
            </a:solidFill>
            <a:ln>
              <a:solidFill>
                <a:sysClr val="windowText" lastClr="000000"/>
              </a:solidFill>
            </a:ln>
          </c:spPr>
          <c:invertIfNegative val="0"/>
          <c:errBars>
            <c:errBarType val="both"/>
            <c:errValType val="cust"/>
            <c:noEndCap val="0"/>
            <c:plus>
              <c:numRef>
                <c:f>'Health Indicators'!$J$516:$K$516</c:f>
                <c:numCache>
                  <c:formatCode>General</c:formatCode>
                  <c:ptCount val="2"/>
                  <c:pt idx="0">
                    <c:v>0.10746677905831528</c:v>
                  </c:pt>
                  <c:pt idx="1">
                    <c:v>0.16773784720573778</c:v>
                  </c:pt>
                </c:numCache>
              </c:numRef>
            </c:plus>
            <c:minus>
              <c:numRef>
                <c:f>'Health Indicators'!$J$515:$K$515</c:f>
                <c:numCache>
                  <c:formatCode>General</c:formatCode>
                  <c:ptCount val="2"/>
                  <c:pt idx="0">
                    <c:v>5.6151778926389118E-2</c:v>
                  </c:pt>
                  <c:pt idx="1">
                    <c:v>4.1591936169295407E-2</c:v>
                  </c:pt>
                </c:numCache>
              </c:numRef>
            </c:minus>
          </c:errBars>
          <c:cat>
            <c:strRef>
              <c:f>'Health Indicators'!$G$504:$H$504</c:f>
              <c:strCache>
                <c:ptCount val="2"/>
                <c:pt idx="0">
                  <c:v>Kingston Buci</c:v>
                </c:pt>
                <c:pt idx="1">
                  <c:v>Stepping Stones</c:v>
                </c:pt>
              </c:strCache>
            </c:strRef>
          </c:cat>
          <c:val>
            <c:numRef>
              <c:f>'Health Indicators'!$G$514:$H$514</c:f>
              <c:numCache>
                <c:formatCode>0.0%</c:formatCode>
                <c:ptCount val="2"/>
                <c:pt idx="0">
                  <c:v>0.20391414141414141</c:v>
                </c:pt>
                <c:pt idx="1">
                  <c:v>0.21177248677248675</c:v>
                </c:pt>
              </c:numCache>
            </c:numRef>
          </c:val>
        </c:ser>
        <c:dLbls>
          <c:showLegendKey val="0"/>
          <c:showVal val="0"/>
          <c:showCatName val="0"/>
          <c:showSerName val="0"/>
          <c:showPercent val="0"/>
          <c:showBubbleSize val="0"/>
        </c:dLbls>
        <c:gapWidth val="150"/>
        <c:axId val="128168704"/>
        <c:axId val="128170240"/>
      </c:barChart>
      <c:catAx>
        <c:axId val="128168704"/>
        <c:scaling>
          <c:orientation val="minMax"/>
        </c:scaling>
        <c:delete val="0"/>
        <c:axPos val="b"/>
        <c:majorTickMark val="out"/>
        <c:minorTickMark val="none"/>
        <c:tickLblPos val="nextTo"/>
        <c:crossAx val="128170240"/>
        <c:crosses val="autoZero"/>
        <c:auto val="1"/>
        <c:lblAlgn val="ctr"/>
        <c:lblOffset val="100"/>
        <c:noMultiLvlLbl val="0"/>
      </c:catAx>
      <c:valAx>
        <c:axId val="128170240"/>
        <c:scaling>
          <c:orientation val="minMax"/>
        </c:scaling>
        <c:delete val="0"/>
        <c:axPos val="l"/>
        <c:majorGridlines>
          <c:spPr>
            <a:ln>
              <a:solidFill>
                <a:schemeClr val="bg1">
                  <a:lumMod val="75000"/>
                </a:schemeClr>
              </a:solidFill>
              <a:prstDash val="dash"/>
            </a:ln>
          </c:spPr>
        </c:majorGridlines>
        <c:numFmt formatCode="0.0%" sourceLinked="1"/>
        <c:majorTickMark val="out"/>
        <c:minorTickMark val="none"/>
        <c:tickLblPos val="nextTo"/>
        <c:crossAx val="128168704"/>
        <c:crosses val="autoZero"/>
        <c:crossBetween val="between"/>
      </c:valAx>
    </c:plotArea>
    <c:legend>
      <c:legendPos val="r"/>
      <c:layout/>
      <c:overlay val="0"/>
    </c:legend>
    <c:plotVisOnly val="1"/>
    <c:dispBlanksAs val="gap"/>
    <c:showDLblsOverMax val="0"/>
  </c:chart>
  <c:spPr>
    <a:ln>
      <a:noFill/>
    </a:ln>
  </c:sp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'Health Indicators'!$H$545</c:f>
              <c:strCache>
                <c:ptCount val="1"/>
                <c:pt idx="0">
                  <c:v>Q1 - booking</c:v>
                </c:pt>
              </c:strCache>
            </c:strRef>
          </c:tx>
          <c:spPr>
            <a:solidFill>
              <a:schemeClr val="accent1">
                <a:lumMod val="40000"/>
                <a:lumOff val="60000"/>
              </a:schemeClr>
            </a:solidFill>
            <a:ln>
              <a:solidFill>
                <a:schemeClr val="tx1"/>
              </a:solidFill>
            </a:ln>
          </c:spPr>
          <c:invertIfNegative val="0"/>
          <c:errBars>
            <c:errBarType val="both"/>
            <c:errValType val="cust"/>
            <c:noEndCap val="0"/>
            <c:plus>
              <c:numRef>
                <c:f>'Health Indicators'!$R$546:$R$548</c:f>
                <c:numCache>
                  <c:formatCode>General</c:formatCode>
                  <c:ptCount val="3"/>
                  <c:pt idx="0">
                    <c:v>0.1213946979179476</c:v>
                  </c:pt>
                  <c:pt idx="1">
                    <c:v>0.16765890272076156</c:v>
                  </c:pt>
                  <c:pt idx="2">
                    <c:v>9.6464570743878264E-3</c:v>
                  </c:pt>
                </c:numCache>
              </c:numRef>
            </c:plus>
            <c:minus>
              <c:numRef>
                <c:f>'Health Indicators'!$M$546:$M$548</c:f>
                <c:numCache>
                  <c:formatCode>General</c:formatCode>
                  <c:ptCount val="3"/>
                  <c:pt idx="0">
                    <c:v>7.3769303678350648E-2</c:v>
                  </c:pt>
                  <c:pt idx="1">
                    <c:v>8.2956634841638982E-2</c:v>
                  </c:pt>
                  <c:pt idx="2">
                    <c:v>8.9568461686624079E-3</c:v>
                  </c:pt>
                </c:numCache>
              </c:numRef>
            </c:minus>
          </c:errBars>
          <c:cat>
            <c:strRef>
              <c:f>'Health Indicators'!$G$546:$G$548</c:f>
              <c:strCache>
                <c:ptCount val="3"/>
                <c:pt idx="0">
                  <c:v>Kingston Buci</c:v>
                </c:pt>
                <c:pt idx="1">
                  <c:v>Stepping Stones</c:v>
                </c:pt>
                <c:pt idx="2">
                  <c:v>West Sussex</c:v>
                </c:pt>
              </c:strCache>
            </c:strRef>
          </c:cat>
          <c:val>
            <c:numRef>
              <c:f>'Health Indicators'!$H$546:$H$548</c:f>
              <c:numCache>
                <c:formatCode>0.0%</c:formatCode>
                <c:ptCount val="3"/>
                <c:pt idx="0">
                  <c:v>0.15384615384615385</c:v>
                </c:pt>
                <c:pt idx="1">
                  <c:v>0.13793103448275862</c:v>
                </c:pt>
                <c:pt idx="2">
                  <c:v>0.10983191342390053</c:v>
                </c:pt>
              </c:numCache>
            </c:numRef>
          </c:val>
        </c:ser>
        <c:ser>
          <c:idx val="1"/>
          <c:order val="1"/>
          <c:tx>
            <c:strRef>
              <c:f>'Health Indicators'!$I$545</c:f>
              <c:strCache>
                <c:ptCount val="1"/>
                <c:pt idx="0">
                  <c:v>Q2 - delivery</c:v>
                </c:pt>
              </c:strCache>
            </c:strRef>
          </c:tx>
          <c:spPr>
            <a:solidFill>
              <a:schemeClr val="accent4">
                <a:lumMod val="40000"/>
                <a:lumOff val="60000"/>
              </a:schemeClr>
            </a:solidFill>
            <a:ln>
              <a:solidFill>
                <a:schemeClr val="tx1"/>
              </a:solidFill>
            </a:ln>
          </c:spPr>
          <c:invertIfNegative val="0"/>
          <c:errBars>
            <c:errBarType val="both"/>
            <c:errValType val="cust"/>
            <c:noEndCap val="0"/>
            <c:plus>
              <c:numRef>
                <c:f>'Health Indicators'!$S$546:$S$548</c:f>
                <c:numCache>
                  <c:formatCode>General</c:formatCode>
                  <c:ptCount val="3"/>
                  <c:pt idx="0">
                    <c:v>0.10994245504747018</c:v>
                  </c:pt>
                  <c:pt idx="1">
                    <c:v>0.16040253504566904</c:v>
                  </c:pt>
                  <c:pt idx="2">
                    <c:v>8.6338423055132424E-3</c:v>
                  </c:pt>
                </c:numCache>
              </c:numRef>
            </c:plus>
            <c:minus>
              <c:numRef>
                <c:f>'Health Indicators'!$N$546:$N$548</c:f>
                <c:numCache>
                  <c:formatCode>General</c:formatCode>
                  <c:ptCount val="3"/>
                  <c:pt idx="0">
                    <c:v>5.4379495101273684E-2</c:v>
                  </c:pt>
                  <c:pt idx="1">
                    <c:v>6.7633384511391906E-2</c:v>
                  </c:pt>
                  <c:pt idx="2">
                    <c:v>7.8990577140188173E-3</c:v>
                  </c:pt>
                </c:numCache>
              </c:numRef>
            </c:minus>
          </c:errBars>
          <c:cat>
            <c:strRef>
              <c:f>'Health Indicators'!$G$546:$G$548</c:f>
              <c:strCache>
                <c:ptCount val="3"/>
                <c:pt idx="0">
                  <c:v>Kingston Buci</c:v>
                </c:pt>
                <c:pt idx="1">
                  <c:v>Stepping Stones</c:v>
                </c:pt>
                <c:pt idx="2">
                  <c:v>West Sussex</c:v>
                </c:pt>
              </c:strCache>
            </c:strRef>
          </c:cat>
          <c:val>
            <c:numRef>
              <c:f>'Health Indicators'!$I$546:$I$548</c:f>
              <c:numCache>
                <c:formatCode>0.0%</c:formatCode>
                <c:ptCount val="3"/>
                <c:pt idx="0">
                  <c:v>9.6153846153846159E-2</c:v>
                </c:pt>
                <c:pt idx="1">
                  <c:v>0.10344827586206896</c:v>
                </c:pt>
                <c:pt idx="2">
                  <c:v>8.4273543633433104E-2</c:v>
                </c:pt>
              </c:numCache>
            </c:numRef>
          </c:val>
        </c:ser>
        <c:ser>
          <c:idx val="2"/>
          <c:order val="2"/>
          <c:tx>
            <c:strRef>
              <c:f>'Health Indicators'!$J$545</c:f>
              <c:strCache>
                <c:ptCount val="1"/>
                <c:pt idx="0">
                  <c:v>Q3 - 12 week check</c:v>
                </c:pt>
              </c:strCache>
            </c:strRef>
          </c:tx>
          <c:spPr>
            <a:solidFill>
              <a:schemeClr val="accent3">
                <a:lumMod val="60000"/>
                <a:lumOff val="40000"/>
              </a:schemeClr>
            </a:solidFill>
            <a:ln>
              <a:solidFill>
                <a:schemeClr val="tx1"/>
              </a:solidFill>
            </a:ln>
          </c:spPr>
          <c:invertIfNegative val="0"/>
          <c:errBars>
            <c:errBarType val="both"/>
            <c:errValType val="cust"/>
            <c:noEndCap val="0"/>
            <c:plus>
              <c:numRef>
                <c:f>'Health Indicators'!$T$546:$T$548</c:f>
                <c:numCache>
                  <c:formatCode>General</c:formatCode>
                  <c:ptCount val="3"/>
                  <c:pt idx="0">
                    <c:v>0.10994245504747018</c:v>
                  </c:pt>
                  <c:pt idx="1">
                    <c:v>0.17307060579850408</c:v>
                  </c:pt>
                  <c:pt idx="2">
                    <c:v>9.2543066424752712E-3</c:v>
                  </c:pt>
                </c:numCache>
              </c:numRef>
            </c:plus>
            <c:minus>
              <c:numRef>
                <c:f>'Health Indicators'!$O$546:$O$548</c:f>
                <c:numCache>
                  <c:formatCode>General</c:formatCode>
                  <c:ptCount val="3"/>
                  <c:pt idx="0">
                    <c:v>5.4379495101273684E-2</c:v>
                  </c:pt>
                  <c:pt idx="1">
                    <c:v>9.6435220574536018E-2</c:v>
                  </c:pt>
                  <c:pt idx="2">
                    <c:v>8.5408406599911529E-3</c:v>
                  </c:pt>
                </c:numCache>
              </c:numRef>
            </c:minus>
          </c:errBars>
          <c:cat>
            <c:strRef>
              <c:f>'Health Indicators'!$G$546:$G$548</c:f>
              <c:strCache>
                <c:ptCount val="3"/>
                <c:pt idx="0">
                  <c:v>Kingston Buci</c:v>
                </c:pt>
                <c:pt idx="1">
                  <c:v>Stepping Stones</c:v>
                </c:pt>
                <c:pt idx="2">
                  <c:v>West Sussex</c:v>
                </c:pt>
              </c:strCache>
            </c:strRef>
          </c:cat>
          <c:val>
            <c:numRef>
              <c:f>'Health Indicators'!$J$546:$J$548</c:f>
              <c:numCache>
                <c:formatCode>0.0%</c:formatCode>
                <c:ptCount val="3"/>
                <c:pt idx="0">
                  <c:v>9.6153846153846159E-2</c:v>
                </c:pt>
                <c:pt idx="1">
                  <c:v>0.17241379310344829</c:v>
                </c:pt>
                <c:pt idx="2">
                  <c:v>9.8656785548865214E-2</c:v>
                </c:pt>
              </c:numCache>
            </c:numRef>
          </c:val>
        </c:ser>
        <c:ser>
          <c:idx val="3"/>
          <c:order val="3"/>
          <c:tx>
            <c:strRef>
              <c:f>'Health Indicators'!$K$545</c:f>
              <c:strCache>
                <c:ptCount val="1"/>
                <c:pt idx="0">
                  <c:v>Q4 - in the home</c:v>
                </c:pt>
              </c:strCache>
            </c:strRef>
          </c:tx>
          <c:spPr>
            <a:solidFill>
              <a:schemeClr val="bg1">
                <a:lumMod val="85000"/>
              </a:schemeClr>
            </a:solidFill>
            <a:ln>
              <a:solidFill>
                <a:schemeClr val="tx1"/>
              </a:solidFill>
            </a:ln>
          </c:spPr>
          <c:invertIfNegative val="0"/>
          <c:errBars>
            <c:errBarType val="both"/>
            <c:errValType val="cust"/>
            <c:noEndCap val="0"/>
            <c:plus>
              <c:numRef>
                <c:f>'Health Indicators'!$U$546:$U$548</c:f>
                <c:numCache>
                  <c:formatCode>General</c:formatCode>
                  <c:ptCount val="3"/>
                  <c:pt idx="0">
                    <c:v>0.12607083700778657</c:v>
                  </c:pt>
                  <c:pt idx="1">
                    <c:v>0.18130925520314212</c:v>
                  </c:pt>
                  <c:pt idx="2">
                    <c:v>1.210339734339258E-2</c:v>
                  </c:pt>
                </c:numCache>
              </c:numRef>
            </c:plus>
            <c:minus>
              <c:numRef>
                <c:f>'Health Indicators'!$P$546:$P$548</c:f>
                <c:numCache>
                  <c:formatCode>General</c:formatCode>
                  <c:ptCount val="3"/>
                  <c:pt idx="0">
                    <c:v>8.0746553544030958E-2</c:v>
                  </c:pt>
                  <c:pt idx="1">
                    <c:v>0.1288745179446377</c:v>
                  </c:pt>
                  <c:pt idx="2">
                    <c:v>1.1544739047971875E-2</c:v>
                  </c:pt>
                </c:numCache>
              </c:numRef>
            </c:minus>
          </c:errBars>
          <c:cat>
            <c:strRef>
              <c:f>'Health Indicators'!$G$546:$G$548</c:f>
              <c:strCache>
                <c:ptCount val="3"/>
                <c:pt idx="0">
                  <c:v>Kingston Buci</c:v>
                </c:pt>
                <c:pt idx="1">
                  <c:v>Stepping Stones</c:v>
                </c:pt>
                <c:pt idx="2">
                  <c:v>West Sussex</c:v>
                </c:pt>
              </c:strCache>
            </c:strRef>
          </c:cat>
          <c:val>
            <c:numRef>
              <c:f>'Health Indicators'!$K$546:$K$548</c:f>
              <c:numCache>
                <c:formatCode>0.0%</c:formatCode>
                <c:ptCount val="3"/>
                <c:pt idx="0">
                  <c:v>0.17647058823529413</c:v>
                </c:pt>
                <c:pt idx="1">
                  <c:v>0.27586206896551724</c:v>
                </c:pt>
                <c:pt idx="2">
                  <c:v>0.19104829210836277</c:v>
                </c:pt>
              </c:numCache>
            </c:numRef>
          </c:val>
        </c:ser>
        <c:dLbls>
          <c:showLegendKey val="0"/>
          <c:showVal val="0"/>
          <c:showCatName val="0"/>
          <c:showSerName val="0"/>
          <c:showPercent val="0"/>
          <c:showBubbleSize val="0"/>
        </c:dLbls>
        <c:gapWidth val="150"/>
        <c:axId val="129042688"/>
        <c:axId val="129056768"/>
      </c:barChart>
      <c:catAx>
        <c:axId val="129042688"/>
        <c:scaling>
          <c:orientation val="minMax"/>
        </c:scaling>
        <c:delete val="0"/>
        <c:axPos val="b"/>
        <c:majorTickMark val="out"/>
        <c:minorTickMark val="none"/>
        <c:tickLblPos val="nextTo"/>
        <c:crossAx val="129056768"/>
        <c:crosses val="autoZero"/>
        <c:auto val="1"/>
        <c:lblAlgn val="ctr"/>
        <c:lblOffset val="100"/>
        <c:noMultiLvlLbl val="0"/>
      </c:catAx>
      <c:valAx>
        <c:axId val="129056768"/>
        <c:scaling>
          <c:orientation val="minMax"/>
        </c:scaling>
        <c:delete val="0"/>
        <c:axPos val="l"/>
        <c:majorGridlines>
          <c:spPr>
            <a:ln>
              <a:prstDash val="dash"/>
            </a:ln>
          </c:spPr>
        </c:majorGridlines>
        <c:numFmt formatCode="0.0%" sourceLinked="1"/>
        <c:majorTickMark val="out"/>
        <c:minorTickMark val="none"/>
        <c:tickLblPos val="nextTo"/>
        <c:crossAx val="129042688"/>
        <c:crosses val="autoZero"/>
        <c:crossBetween val="between"/>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'Births and Early Years'!$D$121:$E$121</c:f>
              <c:strCache>
                <c:ptCount val="1"/>
                <c:pt idx="0">
                  <c:v>2009</c:v>
                </c:pt>
              </c:strCache>
            </c:strRef>
          </c:tx>
          <c:spPr>
            <a:ln>
              <a:solidFill>
                <a:schemeClr val="bg1">
                  <a:lumMod val="50000"/>
                </a:schemeClr>
              </a:solidFill>
            </a:ln>
          </c:spPr>
          <c:invertIfNegative val="0"/>
          <c:dPt>
            <c:idx val="0"/>
            <c:invertIfNegative val="0"/>
            <c:bubble3D val="0"/>
            <c:spPr>
              <a:solidFill>
                <a:schemeClr val="accent1">
                  <a:lumMod val="60000"/>
                  <a:lumOff val="40000"/>
                </a:schemeClr>
              </a:solidFill>
              <a:ln>
                <a:solidFill>
                  <a:schemeClr val="bg1">
                    <a:lumMod val="50000"/>
                  </a:schemeClr>
                </a:solidFill>
              </a:ln>
            </c:spPr>
          </c:dPt>
          <c:dPt>
            <c:idx val="1"/>
            <c:invertIfNegative val="0"/>
            <c:bubble3D val="0"/>
            <c:spPr>
              <a:solidFill>
                <a:schemeClr val="accent3">
                  <a:lumMod val="60000"/>
                  <a:lumOff val="40000"/>
                </a:schemeClr>
              </a:solidFill>
              <a:ln>
                <a:solidFill>
                  <a:schemeClr val="bg1">
                    <a:lumMod val="50000"/>
                  </a:schemeClr>
                </a:solidFill>
              </a:ln>
            </c:spPr>
          </c:dPt>
          <c:dPt>
            <c:idx val="2"/>
            <c:invertIfNegative val="0"/>
            <c:bubble3D val="0"/>
            <c:spPr>
              <a:solidFill>
                <a:schemeClr val="bg1">
                  <a:lumMod val="75000"/>
                </a:schemeClr>
              </a:solidFill>
              <a:ln>
                <a:solidFill>
                  <a:schemeClr val="bg1">
                    <a:lumMod val="50000"/>
                  </a:schemeClr>
                </a:solidFill>
              </a:ln>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('Births and Early Years'!$I$132,'Births and Early Years'!$M$132,'Births and Early Years'!$Q$132)</c:f>
                <c:numCache>
                  <c:formatCode>General</c:formatCode>
                  <c:ptCount val="3"/>
                  <c:pt idx="0">
                    <c:v>13.710597161335507</c:v>
                  </c:pt>
                  <c:pt idx="1">
                    <c:v>2.9842370233306035</c:v>
                  </c:pt>
                  <c:pt idx="2">
                    <c:v>0.38557563010890306</c:v>
                  </c:pt>
                </c:numCache>
              </c:numRef>
            </c:plus>
            <c:minus>
              <c:numRef>
                <c:f>('Births and Early Years'!$H$132,'Births and Early Years'!$L$132,'Births and Early Years'!$P$132)</c:f>
                <c:numCache>
                  <c:formatCode>General</c:formatCode>
                  <c:ptCount val="3"/>
                  <c:pt idx="0">
                    <c:v>10.945889574026996</c:v>
                  </c:pt>
                  <c:pt idx="1">
                    <c:v>2.7740451293187007</c:v>
                  </c:pt>
                  <c:pt idx="2">
                    <c:v>0.38258364452750016</c:v>
                  </c:pt>
                </c:numCache>
              </c:numRef>
            </c:minus>
          </c:errBars>
          <c:cat>
            <c:strRef>
              <c:f>'Births and Early Years'!$F$127:$H$127</c:f>
              <c:strCache>
                <c:ptCount val="3"/>
                <c:pt idx="0">
                  <c:v>Adur</c:v>
                </c:pt>
                <c:pt idx="1">
                  <c:v>West Sussex</c:v>
                </c:pt>
                <c:pt idx="2">
                  <c:v>England</c:v>
                </c:pt>
              </c:strCache>
            </c:strRef>
          </c:cat>
          <c:val>
            <c:numRef>
              <c:f>('Births and Early Years'!$G$121,'Births and Early Years'!$K$121,'Births and Early Years'!$O$121)</c:f>
              <c:numCache>
                <c:formatCode>0.0</c:formatCode>
                <c:ptCount val="3"/>
                <c:pt idx="0">
                  <c:v>40.036396724294796</c:v>
                </c:pt>
                <c:pt idx="1">
                  <c:v>29.434878902622</c:v>
                </c:pt>
                <c:pt idx="2">
                  <c:v>37.113627592412598</c:v>
                </c:pt>
              </c:numCache>
            </c:numRef>
          </c:val>
        </c:ser>
        <c:ser>
          <c:idx val="1"/>
          <c:order val="1"/>
          <c:tx>
            <c:strRef>
              <c:f>'Births and Early Years'!$D$122:$E$122</c:f>
              <c:strCache>
                <c:ptCount val="1"/>
                <c:pt idx="0">
                  <c:v>2010</c:v>
                </c:pt>
              </c:strCache>
            </c:strRef>
          </c:tx>
          <c:spPr>
            <a:solidFill>
              <a:schemeClr val="accent1">
                <a:lumMod val="60000"/>
                <a:lumOff val="40000"/>
              </a:schemeClr>
            </a:solidFill>
            <a:ln>
              <a:solidFill>
                <a:schemeClr val="bg1">
                  <a:lumMod val="50000"/>
                </a:schemeClr>
              </a:solidFill>
            </a:ln>
          </c:spPr>
          <c:invertIfNegative val="0"/>
          <c:dPt>
            <c:idx val="1"/>
            <c:invertIfNegative val="0"/>
            <c:bubble3D val="0"/>
            <c:spPr>
              <a:solidFill>
                <a:schemeClr val="accent3">
                  <a:lumMod val="60000"/>
                  <a:lumOff val="40000"/>
                </a:schemeClr>
              </a:solidFill>
              <a:ln>
                <a:solidFill>
                  <a:schemeClr val="bg1">
                    <a:lumMod val="50000"/>
                  </a:schemeClr>
                </a:solidFill>
              </a:ln>
            </c:spPr>
          </c:dPt>
          <c:dPt>
            <c:idx val="2"/>
            <c:invertIfNegative val="0"/>
            <c:bubble3D val="0"/>
            <c:spPr>
              <a:solidFill>
                <a:schemeClr val="bg1">
                  <a:lumMod val="75000"/>
                </a:schemeClr>
              </a:solidFill>
              <a:ln>
                <a:solidFill>
                  <a:schemeClr val="bg1">
                    <a:lumMod val="50000"/>
                  </a:schemeClr>
                </a:solidFill>
              </a:ln>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('Births and Early Years'!$I$133,'Births and Early Years'!$M$133,'Births and Early Years'!$Q$133)</c:f>
                <c:numCache>
                  <c:formatCode>General</c:formatCode>
                  <c:ptCount val="3"/>
                  <c:pt idx="0">
                    <c:v>11.767766417254798</c:v>
                  </c:pt>
                  <c:pt idx="1">
                    <c:v>2.8758509287077025</c:v>
                  </c:pt>
                  <c:pt idx="2">
                    <c:v>0.37326963531290147</c:v>
                  </c:pt>
                </c:numCache>
              </c:numRef>
            </c:plus>
            <c:minus>
              <c:numRef>
                <c:f>('Births and Early Years'!$H$133,'Births and Early Years'!$L$133,'Births and Early Years'!$P$133)</c:f>
                <c:numCache>
                  <c:formatCode>General</c:formatCode>
                  <c:ptCount val="3"/>
                  <c:pt idx="0">
                    <c:v>8.9533265858523983</c:v>
                  </c:pt>
                  <c:pt idx="1">
                    <c:v>2.6624705640250994</c:v>
                  </c:pt>
                  <c:pt idx="2">
                    <c:v>0.37022557634010411</c:v>
                  </c:pt>
                </c:numCache>
              </c:numRef>
            </c:minus>
          </c:errBars>
          <c:cat>
            <c:strRef>
              <c:f>'Births and Early Years'!$F$127:$H$127</c:f>
              <c:strCache>
                <c:ptCount val="3"/>
                <c:pt idx="0">
                  <c:v>Adur</c:v>
                </c:pt>
                <c:pt idx="1">
                  <c:v>West Sussex</c:v>
                </c:pt>
                <c:pt idx="2">
                  <c:v>England</c:v>
                </c:pt>
              </c:strCache>
            </c:strRef>
          </c:cat>
          <c:val>
            <c:numRef>
              <c:f>('Births and Early Years'!$G$122,'Births and Early Years'!$K$122,'Births and Early Years'!$O$122)</c:f>
              <c:numCache>
                <c:formatCode>0.0</c:formatCode>
                <c:ptCount val="3"/>
                <c:pt idx="0">
                  <c:v>27.5229357798165</c:v>
                </c:pt>
                <c:pt idx="1">
                  <c:v>26.809651474530799</c:v>
                </c:pt>
                <c:pt idx="2">
                  <c:v>34.172206843049501</c:v>
                </c:pt>
              </c:numCache>
            </c:numRef>
          </c:val>
        </c:ser>
        <c:ser>
          <c:idx val="2"/>
          <c:order val="2"/>
          <c:tx>
            <c:strRef>
              <c:f>'Births and Early Years'!$D$123:$E$123</c:f>
              <c:strCache>
                <c:ptCount val="1"/>
                <c:pt idx="0">
                  <c:v>2011</c:v>
                </c:pt>
              </c:strCache>
            </c:strRef>
          </c:tx>
          <c:spPr>
            <a:ln>
              <a:solidFill>
                <a:schemeClr val="bg1">
                  <a:lumMod val="50000"/>
                </a:schemeClr>
              </a:solidFill>
            </a:ln>
          </c:spPr>
          <c:invertIfNegative val="0"/>
          <c:dPt>
            <c:idx val="0"/>
            <c:invertIfNegative val="0"/>
            <c:bubble3D val="0"/>
            <c:spPr>
              <a:solidFill>
                <a:schemeClr val="accent1">
                  <a:lumMod val="60000"/>
                  <a:lumOff val="40000"/>
                </a:schemeClr>
              </a:solidFill>
              <a:ln>
                <a:solidFill>
                  <a:schemeClr val="bg1">
                    <a:lumMod val="50000"/>
                  </a:schemeClr>
                </a:solidFill>
              </a:ln>
            </c:spPr>
          </c:dPt>
          <c:dPt>
            <c:idx val="1"/>
            <c:invertIfNegative val="0"/>
            <c:bubble3D val="0"/>
            <c:spPr>
              <a:solidFill>
                <a:schemeClr val="accent3">
                  <a:lumMod val="60000"/>
                  <a:lumOff val="40000"/>
                </a:schemeClr>
              </a:solidFill>
              <a:ln>
                <a:solidFill>
                  <a:schemeClr val="bg1">
                    <a:lumMod val="50000"/>
                  </a:schemeClr>
                </a:solidFill>
              </a:ln>
            </c:spPr>
          </c:dPt>
          <c:dPt>
            <c:idx val="2"/>
            <c:invertIfNegative val="0"/>
            <c:bubble3D val="0"/>
            <c:spPr>
              <a:solidFill>
                <a:schemeClr val="bg1">
                  <a:lumMod val="75000"/>
                </a:schemeClr>
              </a:solidFill>
              <a:ln>
                <a:solidFill>
                  <a:schemeClr val="bg1">
                    <a:lumMod val="50000"/>
                  </a:schemeClr>
                </a:solidFill>
              </a:ln>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('Births and Early Years'!$I$134,'Births and Early Years'!$M$134,'Births and Early Years'!$Q$134)</c:f>
                <c:numCache>
                  <c:formatCode>General</c:formatCode>
                  <c:ptCount val="3"/>
                  <c:pt idx="0">
                    <c:v>12.698864751130699</c:v>
                  </c:pt>
                  <c:pt idx="1">
                    <c:v>2.7633998358822005</c:v>
                  </c:pt>
                  <c:pt idx="2">
                    <c:v>0.35442720536729766</c:v>
                  </c:pt>
                </c:numCache>
              </c:numRef>
            </c:plus>
            <c:minus>
              <c:numRef>
                <c:f>('Births and Early Years'!$H$134,'Births and Early Years'!$L$134,'Births and Early Years'!$P$134)</c:f>
                <c:numCache>
                  <c:formatCode>General</c:formatCode>
                  <c:ptCount val="3"/>
                  <c:pt idx="0">
                    <c:v>9.8251988866802016</c:v>
                  </c:pt>
                  <c:pt idx="1">
                    <c:v>2.5492151338675981</c:v>
                  </c:pt>
                  <c:pt idx="2">
                    <c:v>0.35137426180580178</c:v>
                  </c:pt>
                </c:numCache>
              </c:numRef>
            </c:minus>
          </c:errBars>
          <c:cat>
            <c:strRef>
              <c:f>'Births and Early Years'!$F$127:$H$127</c:f>
              <c:strCache>
                <c:ptCount val="3"/>
                <c:pt idx="0">
                  <c:v>Adur</c:v>
                </c:pt>
                <c:pt idx="1">
                  <c:v>West Sussex</c:v>
                </c:pt>
                <c:pt idx="2">
                  <c:v>England</c:v>
                </c:pt>
              </c:strCache>
            </c:strRef>
          </c:cat>
          <c:val>
            <c:numRef>
              <c:f>('Births and Early Years'!$G$123,'Births and Early Years'!$K$123,'Births and Early Years'!$O$123)</c:f>
              <c:numCache>
                <c:formatCode>0.0</c:formatCode>
                <c:ptCount val="3"/>
                <c:pt idx="0">
                  <c:v>31.954887218045101</c:v>
                </c:pt>
                <c:pt idx="1">
                  <c:v>24.5639534883721</c:v>
                </c:pt>
                <c:pt idx="2">
                  <c:v>30.703799813667501</c:v>
                </c:pt>
              </c:numCache>
            </c:numRef>
          </c:val>
        </c:ser>
        <c:ser>
          <c:idx val="3"/>
          <c:order val="3"/>
          <c:tx>
            <c:strRef>
              <c:f>'Births and Early Years'!$D$124:$E$124</c:f>
              <c:strCache>
                <c:ptCount val="1"/>
                <c:pt idx="0">
                  <c:v>2012</c:v>
                </c:pt>
              </c:strCache>
            </c:strRef>
          </c:tx>
          <c:spPr>
            <a:solidFill>
              <a:schemeClr val="accent1">
                <a:lumMod val="60000"/>
                <a:lumOff val="40000"/>
              </a:schemeClr>
            </a:solidFill>
            <a:ln>
              <a:solidFill>
                <a:schemeClr val="bg1">
                  <a:lumMod val="50000"/>
                </a:schemeClr>
              </a:solidFill>
            </a:ln>
          </c:spPr>
          <c:invertIfNegative val="0"/>
          <c:dPt>
            <c:idx val="1"/>
            <c:invertIfNegative val="0"/>
            <c:bubble3D val="0"/>
            <c:spPr>
              <a:solidFill>
                <a:schemeClr val="accent3">
                  <a:lumMod val="60000"/>
                  <a:lumOff val="40000"/>
                </a:schemeClr>
              </a:solidFill>
              <a:ln>
                <a:solidFill>
                  <a:schemeClr val="bg1">
                    <a:lumMod val="50000"/>
                  </a:schemeClr>
                </a:solidFill>
              </a:ln>
            </c:spPr>
          </c:dPt>
          <c:dPt>
            <c:idx val="2"/>
            <c:invertIfNegative val="0"/>
            <c:bubble3D val="0"/>
            <c:spPr>
              <a:solidFill>
                <a:schemeClr val="bg1">
                  <a:lumMod val="75000"/>
                </a:schemeClr>
              </a:solidFill>
              <a:ln>
                <a:solidFill>
                  <a:schemeClr val="bg1">
                    <a:lumMod val="50000"/>
                  </a:schemeClr>
                </a:solidFill>
              </a:ln>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('Births and Early Years'!$I$135,'Births and Early Years'!$M$135,'Births and Early Years'!$Q$135)</c:f>
                <c:numCache>
                  <c:formatCode>General</c:formatCode>
                  <c:ptCount val="3"/>
                  <c:pt idx="0">
                    <c:v>12.942138022225201</c:v>
                  </c:pt>
                  <c:pt idx="1">
                    <c:v>2.6641905567294977</c:v>
                  </c:pt>
                  <c:pt idx="2">
                    <c:v>0.33831964560899763</c:v>
                  </c:pt>
                </c:numCache>
              </c:numRef>
            </c:plus>
            <c:minus>
              <c:numRef>
                <c:f>('Births and Early Years'!$H$135,'Births and Early Years'!$L$135,'Births and Early Years'!$P$135)</c:f>
                <c:numCache>
                  <c:formatCode>General</c:formatCode>
                  <c:ptCount val="3"/>
                  <c:pt idx="0">
                    <c:v>10.013421087574397</c:v>
                  </c:pt>
                  <c:pt idx="1">
                    <c:v>2.4482395998017026</c:v>
                  </c:pt>
                  <c:pt idx="2">
                    <c:v>0.33524305197810023</c:v>
                  </c:pt>
                </c:numCache>
              </c:numRef>
            </c:minus>
          </c:errBars>
          <c:cat>
            <c:strRef>
              <c:f>'Births and Early Years'!$F$127:$H$127</c:f>
              <c:strCache>
                <c:ptCount val="3"/>
                <c:pt idx="0">
                  <c:v>Adur</c:v>
                </c:pt>
                <c:pt idx="1">
                  <c:v>West Sussex</c:v>
                </c:pt>
                <c:pt idx="2">
                  <c:v>England</c:v>
                </c:pt>
              </c:strCache>
            </c:strRef>
          </c:cat>
          <c:val>
            <c:numRef>
              <c:f>('Births and Early Years'!$G$124,'Births and Early Years'!$K$124,'Births and Early Years'!$O$124)</c:f>
              <c:numCache>
                <c:formatCode>0.0</c:formatCode>
                <c:ptCount val="3"/>
                <c:pt idx="0">
                  <c:v>32.567049808429097</c:v>
                </c:pt>
                <c:pt idx="1">
                  <c:v>22.549234936671802</c:v>
                </c:pt>
                <c:pt idx="2">
                  <c:v>27.746396850804601</c:v>
                </c:pt>
              </c:numCache>
            </c:numRef>
          </c:val>
        </c:ser>
        <c:ser>
          <c:idx val="4"/>
          <c:order val="4"/>
          <c:tx>
            <c:strRef>
              <c:f>'Births and Early Years'!$D$125:$E$125</c:f>
              <c:strCache>
                <c:ptCount val="1"/>
                <c:pt idx="0">
                  <c:v>2013</c:v>
                </c:pt>
              </c:strCache>
            </c:strRef>
          </c:tx>
          <c:spPr>
            <a:ln>
              <a:solidFill>
                <a:schemeClr val="bg1">
                  <a:lumMod val="50000"/>
                </a:schemeClr>
              </a:solidFill>
            </a:ln>
          </c:spPr>
          <c:invertIfNegative val="0"/>
          <c:dPt>
            <c:idx val="0"/>
            <c:invertIfNegative val="0"/>
            <c:bubble3D val="0"/>
            <c:spPr>
              <a:solidFill>
                <a:schemeClr val="accent1">
                  <a:lumMod val="60000"/>
                  <a:lumOff val="40000"/>
                </a:schemeClr>
              </a:solidFill>
              <a:ln>
                <a:solidFill>
                  <a:schemeClr val="bg1">
                    <a:lumMod val="50000"/>
                  </a:schemeClr>
                </a:solidFill>
              </a:ln>
            </c:spPr>
          </c:dPt>
          <c:dPt>
            <c:idx val="1"/>
            <c:invertIfNegative val="0"/>
            <c:bubble3D val="0"/>
            <c:spPr>
              <a:solidFill>
                <a:schemeClr val="accent3">
                  <a:lumMod val="60000"/>
                  <a:lumOff val="40000"/>
                </a:schemeClr>
              </a:solidFill>
              <a:ln>
                <a:solidFill>
                  <a:schemeClr val="bg1">
                    <a:lumMod val="50000"/>
                  </a:schemeClr>
                </a:solidFill>
              </a:ln>
            </c:spPr>
          </c:dPt>
          <c:dPt>
            <c:idx val="2"/>
            <c:invertIfNegative val="0"/>
            <c:bubble3D val="0"/>
            <c:spPr>
              <a:solidFill>
                <a:schemeClr val="bg1">
                  <a:lumMod val="75000"/>
                </a:schemeClr>
              </a:solidFill>
              <a:ln>
                <a:solidFill>
                  <a:schemeClr val="bg1">
                    <a:lumMod val="50000"/>
                  </a:schemeClr>
                </a:solidFill>
              </a:ln>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('Births and Early Years'!$I$136,'Births and Early Years'!$M$136,'Births and Early Years'!$Q$136)</c:f>
                <c:numCache>
                  <c:formatCode>General</c:formatCode>
                  <c:ptCount val="3"/>
                  <c:pt idx="0">
                    <c:v>13.484622849504099</c:v>
                  </c:pt>
                  <c:pt idx="1">
                    <c:v>2.4411830058437012</c:v>
                  </c:pt>
                  <c:pt idx="2">
                    <c:v>0.31789135580349992</c:v>
                  </c:pt>
                </c:numCache>
              </c:numRef>
            </c:plus>
            <c:minus>
              <c:numRef>
                <c:f>('Births and Early Years'!$H$136,'Births and Early Years'!$L$136,'Births and Early Years'!$P$136)</c:f>
                <c:numCache>
                  <c:formatCode>General</c:formatCode>
                  <c:ptCount val="3"/>
                  <c:pt idx="0">
                    <c:v>10.433145324778202</c:v>
                  </c:pt>
                  <c:pt idx="1">
                    <c:v>2.2265273605708984</c:v>
                  </c:pt>
                  <c:pt idx="2">
                    <c:v>0.31479793689080182</c:v>
                  </c:pt>
                </c:numCache>
              </c:numRef>
            </c:minus>
          </c:errBars>
          <c:cat>
            <c:strRef>
              <c:f>'Births and Early Years'!$F$127:$H$127</c:f>
              <c:strCache>
                <c:ptCount val="3"/>
                <c:pt idx="0">
                  <c:v>Adur</c:v>
                </c:pt>
                <c:pt idx="1">
                  <c:v>West Sussex</c:v>
                </c:pt>
                <c:pt idx="2">
                  <c:v>England</c:v>
                </c:pt>
              </c:strCache>
            </c:strRef>
          </c:cat>
          <c:val>
            <c:numRef>
              <c:f>('Births and Early Years'!$G$125,'Births and Early Years'!$K$125,'Births and Early Years'!$O$125)</c:f>
              <c:numCache>
                <c:formatCode>0.0</c:formatCode>
                <c:ptCount val="3"/>
                <c:pt idx="0">
                  <c:v>33.932135728542903</c:v>
                </c:pt>
                <c:pt idx="1">
                  <c:v>18.889857599534999</c:v>
                </c:pt>
                <c:pt idx="2">
                  <c:v>24.346104996443501</c:v>
                </c:pt>
              </c:numCache>
            </c:numRef>
          </c:val>
        </c:ser>
        <c:dLbls>
          <c:showLegendKey val="0"/>
          <c:showVal val="1"/>
          <c:showCatName val="0"/>
          <c:showSerName val="0"/>
          <c:showPercent val="0"/>
          <c:showBubbleSize val="0"/>
        </c:dLbls>
        <c:gapWidth val="150"/>
        <c:axId val="115780992"/>
        <c:axId val="115790976"/>
      </c:barChart>
      <c:catAx>
        <c:axId val="115780992"/>
        <c:scaling>
          <c:orientation val="minMax"/>
        </c:scaling>
        <c:delete val="0"/>
        <c:axPos val="b"/>
        <c:majorTickMark val="out"/>
        <c:minorTickMark val="none"/>
        <c:tickLblPos val="nextTo"/>
        <c:spPr>
          <a:ln>
            <a:solidFill>
              <a:schemeClr val="bg1">
                <a:lumMod val="50000"/>
              </a:schemeClr>
            </a:solidFill>
          </a:ln>
        </c:spPr>
        <c:crossAx val="115790976"/>
        <c:crosses val="autoZero"/>
        <c:auto val="1"/>
        <c:lblAlgn val="ctr"/>
        <c:lblOffset val="100"/>
        <c:noMultiLvlLbl val="0"/>
      </c:catAx>
      <c:valAx>
        <c:axId val="115790976"/>
        <c:scaling>
          <c:orientation val="minMax"/>
        </c:scaling>
        <c:delete val="0"/>
        <c:axPos val="l"/>
        <c:majorGridlines>
          <c:spPr>
            <a:ln>
              <a:solidFill>
                <a:schemeClr val="bg1">
                  <a:lumMod val="75000"/>
                </a:schemeClr>
              </a:solidFill>
            </a:ln>
          </c:spPr>
        </c:majorGridlines>
        <c:title>
          <c:tx>
            <c:rich>
              <a:bodyPr rot="-5400000" vert="horz"/>
              <a:lstStyle/>
              <a:p>
                <a:pPr>
                  <a:defRPr sz="1050"/>
                </a:pPr>
                <a:r>
                  <a:rPr lang="en-US" sz="1050"/>
                  <a:t>Rate of under 18 conceptions per 1,000 women aged 15-17</a:t>
                </a:r>
              </a:p>
            </c:rich>
          </c:tx>
          <c:layout/>
          <c:overlay val="0"/>
        </c:title>
        <c:numFmt formatCode="0.0" sourceLinked="1"/>
        <c:majorTickMark val="out"/>
        <c:minorTickMark val="none"/>
        <c:tickLblPos val="nextTo"/>
        <c:spPr>
          <a:noFill/>
          <a:ln>
            <a:solidFill>
              <a:schemeClr val="bg1">
                <a:lumMod val="50000"/>
              </a:schemeClr>
            </a:solidFill>
          </a:ln>
        </c:spPr>
        <c:crossAx val="11578099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38"/>
    </mc:Choice>
    <mc:Fallback>
      <c:style val="38"/>
    </mc:Fallback>
  </mc:AlternateContent>
  <c:chart>
    <c:title>
      <c:tx>
        <c:strRef>
          <c:f>'Births and Early Years'!$G$53:$H$53</c:f>
          <c:strCache>
            <c:ptCount val="1"/>
            <c:pt idx="0">
              <c:v>Kingston Buci</c:v>
            </c:pt>
          </c:strCache>
        </c:strRef>
      </c:tx>
      <c:layout>
        <c:manualLayout>
          <c:xMode val="edge"/>
          <c:yMode val="edge"/>
          <c:x val="0.3547265623283537"/>
          <c:y val="1.3925438596491228E-2"/>
        </c:manualLayout>
      </c:layout>
      <c:overlay val="0"/>
    </c:title>
    <c:autoTitleDeleted val="0"/>
    <c:plotArea>
      <c:layout>
        <c:manualLayout>
          <c:layoutTarget val="inner"/>
          <c:xMode val="edge"/>
          <c:yMode val="edge"/>
          <c:x val="0.14952956349206351"/>
          <c:y val="0.14889802631578947"/>
          <c:w val="0.81765623680267197"/>
          <c:h val="0.62302850877192972"/>
        </c:manualLayout>
      </c:layout>
      <c:barChart>
        <c:barDir val="col"/>
        <c:grouping val="percentStacked"/>
        <c:varyColors val="0"/>
        <c:ser>
          <c:idx val="0"/>
          <c:order val="0"/>
          <c:tx>
            <c:strRef>
              <c:f>'Births and Early Years'!$G$54</c:f>
              <c:strCache>
                <c:ptCount val="1"/>
                <c:pt idx="0">
                  <c:v>Live births to women under 20 years</c:v>
                </c:pt>
              </c:strCache>
            </c:strRef>
          </c:tx>
          <c:spPr>
            <a:solidFill>
              <a:schemeClr val="accent1">
                <a:lumMod val="75000"/>
              </a:schemeClr>
            </a:solidFill>
          </c:spPr>
          <c:invertIfNegative val="0"/>
          <c:cat>
            <c:numRef>
              <c:f>'Births and Early Years'!$F$55:$F$59</c:f>
              <c:numCache>
                <c:formatCode>General</c:formatCode>
                <c:ptCount val="5"/>
                <c:pt idx="0">
                  <c:v>2009</c:v>
                </c:pt>
                <c:pt idx="1">
                  <c:v>2010</c:v>
                </c:pt>
                <c:pt idx="2">
                  <c:v>2011</c:v>
                </c:pt>
                <c:pt idx="3">
                  <c:v>2012</c:v>
                </c:pt>
                <c:pt idx="4">
                  <c:v>2013</c:v>
                </c:pt>
              </c:numCache>
            </c:numRef>
          </c:cat>
          <c:val>
            <c:numRef>
              <c:f>'Births and Early Years'!$G$55:$G$59</c:f>
              <c:numCache>
                <c:formatCode>0.0%</c:formatCode>
                <c:ptCount val="5"/>
                <c:pt idx="0">
                  <c:v>5.2980132450331126E-2</c:v>
                </c:pt>
                <c:pt idx="1">
                  <c:v>2.9940119760479042E-2</c:v>
                </c:pt>
                <c:pt idx="2">
                  <c:v>4.1666666666666664E-2</c:v>
                </c:pt>
                <c:pt idx="3">
                  <c:v>2.247191011235955E-2</c:v>
                </c:pt>
                <c:pt idx="4">
                  <c:v>2.9702970297029702E-2</c:v>
                </c:pt>
              </c:numCache>
            </c:numRef>
          </c:val>
        </c:ser>
        <c:ser>
          <c:idx val="1"/>
          <c:order val="1"/>
          <c:tx>
            <c:strRef>
              <c:f>'Births and Early Years'!$H$54</c:f>
              <c:strCache>
                <c:ptCount val="1"/>
                <c:pt idx="0">
                  <c:v>All other live births</c:v>
                </c:pt>
              </c:strCache>
            </c:strRef>
          </c:tx>
          <c:spPr>
            <a:solidFill>
              <a:schemeClr val="accent1">
                <a:lumMod val="60000"/>
                <a:lumOff val="40000"/>
              </a:schemeClr>
            </a:solidFill>
          </c:spPr>
          <c:invertIfNegative val="0"/>
          <c:cat>
            <c:numRef>
              <c:f>'Births and Early Years'!$F$55:$F$59</c:f>
              <c:numCache>
                <c:formatCode>General</c:formatCode>
                <c:ptCount val="5"/>
                <c:pt idx="0">
                  <c:v>2009</c:v>
                </c:pt>
                <c:pt idx="1">
                  <c:v>2010</c:v>
                </c:pt>
                <c:pt idx="2">
                  <c:v>2011</c:v>
                </c:pt>
                <c:pt idx="3">
                  <c:v>2012</c:v>
                </c:pt>
                <c:pt idx="4">
                  <c:v>2013</c:v>
                </c:pt>
              </c:numCache>
            </c:numRef>
          </c:cat>
          <c:val>
            <c:numRef>
              <c:f>'Births and Early Years'!$H$55:$H$59</c:f>
              <c:numCache>
                <c:formatCode>0.0%</c:formatCode>
                <c:ptCount val="5"/>
                <c:pt idx="0">
                  <c:v>0.94701986754966883</c:v>
                </c:pt>
                <c:pt idx="1">
                  <c:v>0.97005988023952094</c:v>
                </c:pt>
                <c:pt idx="2">
                  <c:v>0.95833333333333337</c:v>
                </c:pt>
                <c:pt idx="3">
                  <c:v>0.97752808988764039</c:v>
                </c:pt>
                <c:pt idx="4">
                  <c:v>0.97029702970297027</c:v>
                </c:pt>
              </c:numCache>
            </c:numRef>
          </c:val>
        </c:ser>
        <c:dLbls>
          <c:showLegendKey val="0"/>
          <c:showVal val="0"/>
          <c:showCatName val="0"/>
          <c:showSerName val="0"/>
          <c:showPercent val="0"/>
          <c:showBubbleSize val="0"/>
        </c:dLbls>
        <c:gapWidth val="150"/>
        <c:overlap val="100"/>
        <c:axId val="127706624"/>
        <c:axId val="127708160"/>
      </c:barChart>
      <c:catAx>
        <c:axId val="127706624"/>
        <c:scaling>
          <c:orientation val="minMax"/>
        </c:scaling>
        <c:delete val="0"/>
        <c:axPos val="b"/>
        <c:numFmt formatCode="General" sourceLinked="1"/>
        <c:majorTickMark val="out"/>
        <c:minorTickMark val="none"/>
        <c:tickLblPos val="nextTo"/>
        <c:crossAx val="127708160"/>
        <c:crosses val="autoZero"/>
        <c:auto val="1"/>
        <c:lblAlgn val="ctr"/>
        <c:lblOffset val="100"/>
        <c:noMultiLvlLbl val="0"/>
      </c:catAx>
      <c:valAx>
        <c:axId val="127708160"/>
        <c:scaling>
          <c:orientation val="minMax"/>
        </c:scaling>
        <c:delete val="0"/>
        <c:axPos val="l"/>
        <c:majorGridlines>
          <c:spPr>
            <a:ln>
              <a:solidFill>
                <a:schemeClr val="bg1">
                  <a:lumMod val="75000"/>
                </a:schemeClr>
              </a:solidFill>
            </a:ln>
          </c:spPr>
        </c:majorGridlines>
        <c:title>
          <c:tx>
            <c:rich>
              <a:bodyPr rot="-5400000" vert="horz"/>
              <a:lstStyle/>
              <a:p>
                <a:pPr>
                  <a:defRPr/>
                </a:pPr>
                <a:r>
                  <a:rPr lang="en-GB"/>
                  <a:t>Percentage of live births</a:t>
                </a:r>
              </a:p>
            </c:rich>
          </c:tx>
          <c:layout/>
          <c:overlay val="0"/>
        </c:title>
        <c:numFmt formatCode="0%" sourceLinked="1"/>
        <c:majorTickMark val="out"/>
        <c:minorTickMark val="none"/>
        <c:tickLblPos val="nextTo"/>
        <c:crossAx val="127706624"/>
        <c:crosses val="autoZero"/>
        <c:crossBetween val="between"/>
      </c:valAx>
      <c:spPr>
        <a:noFill/>
      </c:spPr>
    </c:plotArea>
    <c:legend>
      <c:legendPos val="b"/>
      <c:layout/>
      <c:overlay val="0"/>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38"/>
    </mc:Choice>
    <mc:Fallback>
      <c:style val="38"/>
    </mc:Fallback>
  </mc:AlternateContent>
  <c:chart>
    <c:title>
      <c:tx>
        <c:strRef>
          <c:f>'Births and Early Years'!$I$53:$J$53</c:f>
          <c:strCache>
            <c:ptCount val="1"/>
            <c:pt idx="0">
              <c:v>Stepping Stones</c:v>
            </c:pt>
          </c:strCache>
        </c:strRef>
      </c:tx>
      <c:layout>
        <c:manualLayout>
          <c:xMode val="edge"/>
          <c:yMode val="edge"/>
          <c:x val="0.41604570263299945"/>
          <c:y val="9.2836257309941526E-3"/>
        </c:manualLayout>
      </c:layout>
      <c:overlay val="0"/>
    </c:title>
    <c:autoTitleDeleted val="0"/>
    <c:plotArea>
      <c:layout>
        <c:manualLayout>
          <c:layoutTarget val="inner"/>
          <c:xMode val="edge"/>
          <c:yMode val="edge"/>
          <c:x val="0.16709851337712259"/>
          <c:y val="0.14850721784776902"/>
          <c:w val="0.80192648125712851"/>
          <c:h val="0.62401793525809279"/>
        </c:manualLayout>
      </c:layout>
      <c:barChart>
        <c:barDir val="col"/>
        <c:grouping val="percentStacked"/>
        <c:varyColors val="0"/>
        <c:ser>
          <c:idx val="0"/>
          <c:order val="0"/>
          <c:tx>
            <c:strRef>
              <c:f>'Births and Early Years'!$I$54</c:f>
              <c:strCache>
                <c:ptCount val="1"/>
                <c:pt idx="0">
                  <c:v>Live births to women under 20 years</c:v>
                </c:pt>
              </c:strCache>
            </c:strRef>
          </c:tx>
          <c:invertIfNegative val="0"/>
          <c:cat>
            <c:numRef>
              <c:f>'Births and Early Years'!$F$55:$F$59</c:f>
              <c:numCache>
                <c:formatCode>General</c:formatCode>
                <c:ptCount val="5"/>
                <c:pt idx="0">
                  <c:v>2009</c:v>
                </c:pt>
                <c:pt idx="1">
                  <c:v>2010</c:v>
                </c:pt>
                <c:pt idx="2">
                  <c:v>2011</c:v>
                </c:pt>
                <c:pt idx="3">
                  <c:v>2012</c:v>
                </c:pt>
                <c:pt idx="4">
                  <c:v>2013</c:v>
                </c:pt>
              </c:numCache>
            </c:numRef>
          </c:cat>
          <c:val>
            <c:numRef>
              <c:f>'Births and Early Years'!$I$55:$I$59</c:f>
              <c:numCache>
                <c:formatCode>0.0%</c:formatCode>
                <c:ptCount val="5"/>
                <c:pt idx="0">
                  <c:v>8.4905660377358486E-2</c:v>
                </c:pt>
                <c:pt idx="1">
                  <c:v>6.2992125984251968E-2</c:v>
                </c:pt>
                <c:pt idx="2">
                  <c:v>4.716981132075472E-2</c:v>
                </c:pt>
                <c:pt idx="3">
                  <c:v>5.0724637681159424E-2</c:v>
                </c:pt>
                <c:pt idx="4">
                  <c:v>6.0869565217391307E-2</c:v>
                </c:pt>
              </c:numCache>
            </c:numRef>
          </c:val>
        </c:ser>
        <c:ser>
          <c:idx val="1"/>
          <c:order val="1"/>
          <c:tx>
            <c:strRef>
              <c:f>'Births and Early Years'!$J$54</c:f>
              <c:strCache>
                <c:ptCount val="1"/>
                <c:pt idx="0">
                  <c:v>All other live births</c:v>
                </c:pt>
              </c:strCache>
            </c:strRef>
          </c:tx>
          <c:invertIfNegative val="0"/>
          <c:cat>
            <c:numRef>
              <c:f>'Births and Early Years'!$F$55:$F$59</c:f>
              <c:numCache>
                <c:formatCode>General</c:formatCode>
                <c:ptCount val="5"/>
                <c:pt idx="0">
                  <c:v>2009</c:v>
                </c:pt>
                <c:pt idx="1">
                  <c:v>2010</c:v>
                </c:pt>
                <c:pt idx="2">
                  <c:v>2011</c:v>
                </c:pt>
                <c:pt idx="3">
                  <c:v>2012</c:v>
                </c:pt>
                <c:pt idx="4">
                  <c:v>2013</c:v>
                </c:pt>
              </c:numCache>
            </c:numRef>
          </c:cat>
          <c:val>
            <c:numRef>
              <c:f>'Births and Early Years'!$J$55:$J$59</c:f>
              <c:numCache>
                <c:formatCode>0.0%</c:formatCode>
                <c:ptCount val="5"/>
                <c:pt idx="0">
                  <c:v>0.91509433962264153</c:v>
                </c:pt>
                <c:pt idx="1">
                  <c:v>0.93700787401574803</c:v>
                </c:pt>
                <c:pt idx="2">
                  <c:v>0.95283018867924529</c:v>
                </c:pt>
                <c:pt idx="3">
                  <c:v>0.94927536231884058</c:v>
                </c:pt>
                <c:pt idx="4">
                  <c:v>0.93913043478260871</c:v>
                </c:pt>
              </c:numCache>
            </c:numRef>
          </c:val>
        </c:ser>
        <c:dLbls>
          <c:showLegendKey val="0"/>
          <c:showVal val="0"/>
          <c:showCatName val="0"/>
          <c:showSerName val="0"/>
          <c:showPercent val="0"/>
          <c:showBubbleSize val="0"/>
        </c:dLbls>
        <c:gapWidth val="150"/>
        <c:overlap val="100"/>
        <c:axId val="129765760"/>
        <c:axId val="129767296"/>
      </c:barChart>
      <c:catAx>
        <c:axId val="129765760"/>
        <c:scaling>
          <c:orientation val="minMax"/>
        </c:scaling>
        <c:delete val="0"/>
        <c:axPos val="b"/>
        <c:numFmt formatCode="General" sourceLinked="1"/>
        <c:majorTickMark val="out"/>
        <c:minorTickMark val="none"/>
        <c:tickLblPos val="nextTo"/>
        <c:crossAx val="129767296"/>
        <c:crosses val="autoZero"/>
        <c:auto val="1"/>
        <c:lblAlgn val="ctr"/>
        <c:lblOffset val="100"/>
        <c:noMultiLvlLbl val="0"/>
      </c:catAx>
      <c:valAx>
        <c:axId val="129767296"/>
        <c:scaling>
          <c:orientation val="minMax"/>
        </c:scaling>
        <c:delete val="0"/>
        <c:axPos val="l"/>
        <c:majorGridlines>
          <c:spPr>
            <a:ln>
              <a:solidFill>
                <a:schemeClr val="bg1">
                  <a:lumMod val="75000"/>
                </a:schemeClr>
              </a:solidFill>
            </a:ln>
          </c:spPr>
        </c:majorGridlines>
        <c:title>
          <c:tx>
            <c:rich>
              <a:bodyPr rot="-5400000" vert="horz"/>
              <a:lstStyle/>
              <a:p>
                <a:pPr>
                  <a:defRPr/>
                </a:pPr>
                <a:r>
                  <a:rPr lang="en-GB"/>
                  <a:t>Percentage of live births</a:t>
                </a:r>
              </a:p>
            </c:rich>
          </c:tx>
          <c:layout/>
          <c:overlay val="0"/>
        </c:title>
        <c:numFmt formatCode="0%" sourceLinked="1"/>
        <c:majorTickMark val="out"/>
        <c:minorTickMark val="none"/>
        <c:tickLblPos val="nextTo"/>
        <c:crossAx val="129765760"/>
        <c:crosses val="autoZero"/>
        <c:crossBetween val="between"/>
      </c:valAx>
      <c:spPr>
        <a:noFill/>
      </c:spPr>
    </c:plotArea>
    <c:legend>
      <c:legendPos val="b"/>
      <c:layout/>
      <c:overlay val="0"/>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60000"/>
                  <a:lumOff val="40000"/>
                </a:schemeClr>
              </a:solidFill>
            </c:spPr>
          </c:dPt>
          <c:errBars>
            <c:errBarType val="both"/>
            <c:errValType val="cust"/>
            <c:noEndCap val="0"/>
            <c:plus>
              <c:numRef>
                <c:f>'Births and Early Years'!$O$154:$P$154</c:f>
                <c:numCache>
                  <c:formatCode>General</c:formatCode>
                  <c:ptCount val="2"/>
                  <c:pt idx="0">
                    <c:v>4.5572660232110929E-2</c:v>
                  </c:pt>
                  <c:pt idx="1">
                    <c:v>5.4279588477324017E-2</c:v>
                  </c:pt>
                </c:numCache>
              </c:numRef>
            </c:plus>
            <c:minus>
              <c:numRef>
                <c:f>'Births and Early Years'!$O$155:$P$155</c:f>
                <c:numCache>
                  <c:formatCode>General</c:formatCode>
                  <c:ptCount val="2"/>
                  <c:pt idx="0">
                    <c:v>2.9866830574543653E-2</c:v>
                  </c:pt>
                  <c:pt idx="1">
                    <c:v>2.4766159762733834E-2</c:v>
                  </c:pt>
                </c:numCache>
              </c:numRef>
            </c:minus>
          </c:errBars>
          <c:cat>
            <c:strRef>
              <c:f>'Births and Early Years'!$O$152:$P$152</c:f>
              <c:strCache>
                <c:ptCount val="2"/>
                <c:pt idx="0">
                  <c:v>Kingston Buci</c:v>
                </c:pt>
                <c:pt idx="1">
                  <c:v>Stepping Stones</c:v>
                </c:pt>
              </c:strCache>
            </c:strRef>
          </c:cat>
          <c:val>
            <c:numRef>
              <c:f>'Births and Early Years'!$O$153:$P$153</c:f>
              <c:numCache>
                <c:formatCode>0.0%</c:formatCode>
                <c:ptCount val="2"/>
                <c:pt idx="0">
                  <c:v>7.9207920792079209E-2</c:v>
                </c:pt>
                <c:pt idx="1">
                  <c:v>4.3478260869565216E-2</c:v>
                </c:pt>
              </c:numCache>
            </c:numRef>
          </c:val>
        </c:ser>
        <c:dLbls>
          <c:showLegendKey val="0"/>
          <c:showVal val="0"/>
          <c:showCatName val="0"/>
          <c:showSerName val="0"/>
          <c:showPercent val="0"/>
          <c:showBubbleSize val="0"/>
        </c:dLbls>
        <c:gapWidth val="150"/>
        <c:axId val="129798144"/>
        <c:axId val="129799680"/>
      </c:barChart>
      <c:catAx>
        <c:axId val="129798144"/>
        <c:scaling>
          <c:orientation val="minMax"/>
        </c:scaling>
        <c:delete val="0"/>
        <c:axPos val="b"/>
        <c:majorTickMark val="out"/>
        <c:minorTickMark val="none"/>
        <c:tickLblPos val="nextTo"/>
        <c:crossAx val="129799680"/>
        <c:crosses val="autoZero"/>
        <c:auto val="1"/>
        <c:lblAlgn val="ctr"/>
        <c:lblOffset val="100"/>
        <c:noMultiLvlLbl val="0"/>
      </c:catAx>
      <c:valAx>
        <c:axId val="129799680"/>
        <c:scaling>
          <c:orientation val="minMax"/>
        </c:scaling>
        <c:delete val="0"/>
        <c:axPos val="l"/>
        <c:majorGridlines>
          <c:spPr>
            <a:ln>
              <a:solidFill>
                <a:schemeClr val="bg1">
                  <a:lumMod val="75000"/>
                </a:schemeClr>
              </a:solidFill>
            </a:ln>
          </c:spPr>
        </c:majorGridlines>
        <c:title>
          <c:tx>
            <c:rich>
              <a:bodyPr rot="-5400000" vert="horz"/>
              <a:lstStyle/>
              <a:p>
                <a:pPr>
                  <a:defRPr/>
                </a:pPr>
                <a:r>
                  <a:rPr lang="en-GB"/>
                  <a:t>% of low</a:t>
                </a:r>
                <a:r>
                  <a:rPr lang="en-GB" baseline="0"/>
                  <a:t> birth weight births (2013)</a:t>
                </a:r>
                <a:endParaRPr lang="en-GB"/>
              </a:p>
            </c:rich>
          </c:tx>
          <c:layout/>
          <c:overlay val="0"/>
        </c:title>
        <c:numFmt formatCode="0.0%" sourceLinked="1"/>
        <c:majorTickMark val="out"/>
        <c:minorTickMark val="none"/>
        <c:tickLblPos val="nextTo"/>
        <c:crossAx val="12979814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23840769903763"/>
          <c:y val="3.3971488858010393E-2"/>
          <c:w val="0.81720603674540682"/>
          <c:h val="0.74577462130959116"/>
        </c:manualLayout>
      </c:layout>
      <c:lineChart>
        <c:grouping val="standard"/>
        <c:varyColors val="0"/>
        <c:ser>
          <c:idx val="0"/>
          <c:order val="0"/>
          <c:tx>
            <c:strRef>
              <c:f>Deprivation!$M$69</c:f>
              <c:strCache>
                <c:ptCount val="1"/>
                <c:pt idx="0">
                  <c:v>Kingston Buci</c:v>
                </c:pt>
              </c:strCache>
            </c:strRef>
          </c:tx>
          <c:spPr>
            <a:ln>
              <a:solidFill>
                <a:schemeClr val="accent1">
                  <a:lumMod val="60000"/>
                  <a:lumOff val="40000"/>
                </a:schemeClr>
              </a:solidFill>
            </a:ln>
          </c:spPr>
          <c:marker>
            <c:symbol val="none"/>
          </c:marker>
          <c:dLbls>
            <c:spPr>
              <a:solidFill>
                <a:schemeClr val="accent1">
                  <a:lumMod val="40000"/>
                  <a:lumOff val="60000"/>
                </a:schemeClr>
              </a:solidFill>
            </c:spPr>
            <c:dLblPos val="ctr"/>
            <c:showLegendKey val="0"/>
            <c:showVal val="1"/>
            <c:showCatName val="0"/>
            <c:showSerName val="0"/>
            <c:showPercent val="0"/>
            <c:showBubbleSize val="0"/>
            <c:showLeaderLines val="0"/>
          </c:dLbls>
          <c:cat>
            <c:numRef>
              <c:f>Deprivation!$L$70:$L$74</c:f>
              <c:numCache>
                <c:formatCode>General</c:formatCode>
                <c:ptCount val="5"/>
                <c:pt idx="0">
                  <c:v>2010</c:v>
                </c:pt>
                <c:pt idx="1">
                  <c:v>2011</c:v>
                </c:pt>
                <c:pt idx="2">
                  <c:v>2012</c:v>
                </c:pt>
                <c:pt idx="3">
                  <c:v>2013</c:v>
                </c:pt>
                <c:pt idx="4">
                  <c:v>2014</c:v>
                </c:pt>
              </c:numCache>
            </c:numRef>
          </c:cat>
          <c:val>
            <c:numRef>
              <c:f>Deprivation!$M$70:$M$74</c:f>
              <c:numCache>
                <c:formatCode>General</c:formatCode>
                <c:ptCount val="5"/>
                <c:pt idx="0">
                  <c:v>165</c:v>
                </c:pt>
                <c:pt idx="1">
                  <c:v>165</c:v>
                </c:pt>
                <c:pt idx="2">
                  <c:v>155</c:v>
                </c:pt>
                <c:pt idx="3">
                  <c:v>155</c:v>
                </c:pt>
                <c:pt idx="4">
                  <c:v>115</c:v>
                </c:pt>
              </c:numCache>
            </c:numRef>
          </c:val>
          <c:smooth val="0"/>
        </c:ser>
        <c:ser>
          <c:idx val="1"/>
          <c:order val="1"/>
          <c:tx>
            <c:strRef>
              <c:f>Deprivation!$N$69</c:f>
              <c:strCache>
                <c:ptCount val="1"/>
                <c:pt idx="0">
                  <c:v>Stepping Stones</c:v>
                </c:pt>
              </c:strCache>
            </c:strRef>
          </c:tx>
          <c:spPr>
            <a:ln>
              <a:solidFill>
                <a:schemeClr val="accent4">
                  <a:lumMod val="60000"/>
                  <a:lumOff val="40000"/>
                </a:schemeClr>
              </a:solidFill>
            </a:ln>
          </c:spPr>
          <c:marker>
            <c:symbol val="none"/>
          </c:marker>
          <c:dLbls>
            <c:spPr>
              <a:solidFill>
                <a:schemeClr val="accent4">
                  <a:lumMod val="40000"/>
                  <a:lumOff val="60000"/>
                </a:schemeClr>
              </a:solidFill>
            </c:spPr>
            <c:dLblPos val="ctr"/>
            <c:showLegendKey val="0"/>
            <c:showVal val="1"/>
            <c:showCatName val="0"/>
            <c:showSerName val="0"/>
            <c:showPercent val="0"/>
            <c:showBubbleSize val="0"/>
            <c:showLeaderLines val="0"/>
          </c:dLbls>
          <c:cat>
            <c:numRef>
              <c:f>Deprivation!$L$70:$L$74</c:f>
              <c:numCache>
                <c:formatCode>General</c:formatCode>
                <c:ptCount val="5"/>
                <c:pt idx="0">
                  <c:v>2010</c:v>
                </c:pt>
                <c:pt idx="1">
                  <c:v>2011</c:v>
                </c:pt>
                <c:pt idx="2">
                  <c:v>2012</c:v>
                </c:pt>
                <c:pt idx="3">
                  <c:v>2013</c:v>
                </c:pt>
                <c:pt idx="4">
                  <c:v>2014</c:v>
                </c:pt>
              </c:numCache>
            </c:numRef>
          </c:cat>
          <c:val>
            <c:numRef>
              <c:f>Deprivation!$N$70:$N$74</c:f>
              <c:numCache>
                <c:formatCode>General</c:formatCode>
                <c:ptCount val="5"/>
                <c:pt idx="0">
                  <c:v>215</c:v>
                </c:pt>
                <c:pt idx="1">
                  <c:v>210</c:v>
                </c:pt>
                <c:pt idx="2">
                  <c:v>215</c:v>
                </c:pt>
                <c:pt idx="3">
                  <c:v>185</c:v>
                </c:pt>
                <c:pt idx="4">
                  <c:v>180</c:v>
                </c:pt>
              </c:numCache>
            </c:numRef>
          </c:val>
          <c:smooth val="0"/>
        </c:ser>
        <c:dLbls>
          <c:showLegendKey val="0"/>
          <c:showVal val="0"/>
          <c:showCatName val="0"/>
          <c:showSerName val="0"/>
          <c:showPercent val="0"/>
          <c:showBubbleSize val="0"/>
        </c:dLbls>
        <c:marker val="1"/>
        <c:smooth val="0"/>
        <c:axId val="129374464"/>
        <c:axId val="129376640"/>
      </c:lineChart>
      <c:catAx>
        <c:axId val="129374464"/>
        <c:scaling>
          <c:orientation val="minMax"/>
        </c:scaling>
        <c:delete val="0"/>
        <c:axPos val="b"/>
        <c:title>
          <c:tx>
            <c:rich>
              <a:bodyPr/>
              <a:lstStyle/>
              <a:p>
                <a:pPr>
                  <a:defRPr/>
                </a:pPr>
                <a:r>
                  <a:rPr lang="en-GB"/>
                  <a:t>Year</a:t>
                </a:r>
              </a:p>
            </c:rich>
          </c:tx>
          <c:overlay val="0"/>
        </c:title>
        <c:numFmt formatCode="General" sourceLinked="1"/>
        <c:majorTickMark val="out"/>
        <c:minorTickMark val="none"/>
        <c:tickLblPos val="nextTo"/>
        <c:crossAx val="129376640"/>
        <c:crosses val="autoZero"/>
        <c:auto val="1"/>
        <c:lblAlgn val="ctr"/>
        <c:lblOffset val="100"/>
        <c:noMultiLvlLbl val="0"/>
      </c:catAx>
      <c:valAx>
        <c:axId val="129376640"/>
        <c:scaling>
          <c:orientation val="minMax"/>
        </c:scaling>
        <c:delete val="0"/>
        <c:axPos val="l"/>
        <c:majorGridlines>
          <c:spPr>
            <a:ln>
              <a:solidFill>
                <a:schemeClr val="bg1">
                  <a:lumMod val="75000"/>
                </a:schemeClr>
              </a:solidFill>
            </a:ln>
          </c:spPr>
        </c:majorGridlines>
        <c:title>
          <c:tx>
            <c:rich>
              <a:bodyPr rot="-5400000" vert="horz"/>
              <a:lstStyle/>
              <a:p>
                <a:pPr>
                  <a:defRPr/>
                </a:pPr>
                <a:r>
                  <a:rPr lang="en-GB"/>
                  <a:t>Number of 0-4year</a:t>
                </a:r>
                <a:r>
                  <a:rPr lang="en-GB" baseline="0"/>
                  <a:t> old children </a:t>
                </a:r>
              </a:p>
              <a:p>
                <a:pPr>
                  <a:defRPr/>
                </a:pPr>
                <a:r>
                  <a:rPr lang="en-GB" baseline="0"/>
                  <a:t>in all Out-of-Work benefits for households</a:t>
                </a:r>
              </a:p>
              <a:p>
                <a:pPr>
                  <a:defRPr/>
                </a:pPr>
                <a:endParaRPr lang="en-GB"/>
              </a:p>
            </c:rich>
          </c:tx>
          <c:overlay val="0"/>
        </c:title>
        <c:numFmt formatCode="General" sourceLinked="1"/>
        <c:majorTickMark val="out"/>
        <c:minorTickMark val="none"/>
        <c:tickLblPos val="nextTo"/>
        <c:crossAx val="129374464"/>
        <c:crosses val="autoZero"/>
        <c:crossBetween val="between"/>
      </c:valAx>
    </c:plotArea>
    <c:legend>
      <c:legendPos val="b"/>
      <c:layout>
        <c:manualLayout>
          <c:xMode val="edge"/>
          <c:yMode val="edge"/>
          <c:x val="5.1268591426073659E-4"/>
          <c:y val="0.92120734908136481"/>
          <c:w val="0.98786351706036746"/>
          <c:h val="7.8792650918635174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Deprivation!$H$95</c:f>
              <c:strCache>
                <c:ptCount val="1"/>
                <c:pt idx="0">
                  <c:v>Kingston Buci</c:v>
                </c:pt>
              </c:strCache>
            </c:strRef>
          </c:tx>
          <c:spPr>
            <a:solidFill>
              <a:schemeClr val="accent1">
                <a:lumMod val="60000"/>
                <a:lumOff val="40000"/>
              </a:schemeClr>
            </a:solidFill>
            <a:ln>
              <a:solidFill>
                <a:sysClr val="windowText" lastClr="000000"/>
              </a:solidFill>
            </a:ln>
          </c:spPr>
          <c:invertIfNegative val="0"/>
          <c:dLbls>
            <c:txPr>
              <a:bodyPr rot="-5400000" vert="horz"/>
              <a:lstStyle/>
              <a:p>
                <a:pPr>
                  <a:defRPr/>
                </a:pPr>
                <a:endParaRPr lang="en-US"/>
              </a:p>
            </c:txPr>
            <c:dLblPos val="inBase"/>
            <c:showLegendKey val="0"/>
            <c:showVal val="1"/>
            <c:showCatName val="0"/>
            <c:showSerName val="0"/>
            <c:showPercent val="0"/>
            <c:showBubbleSize val="0"/>
            <c:showLeaderLines val="0"/>
          </c:dLbls>
          <c:errBars>
            <c:errBarType val="both"/>
            <c:errValType val="cust"/>
            <c:noEndCap val="0"/>
            <c:plus>
              <c:numRef>
                <c:f>(Deprivation!$I$106,Deprivation!$I$108,Deprivation!$I$110,Deprivation!$I$112,Deprivation!$I$114,Deprivation!$I$116)</c:f>
                <c:numCache>
                  <c:formatCode>General</c:formatCode>
                  <c:ptCount val="6"/>
                  <c:pt idx="0">
                    <c:v>2.7896969505808333E-2</c:v>
                  </c:pt>
                  <c:pt idx="1">
                    <c:v>2.8197188580267485E-2</c:v>
                  </c:pt>
                  <c:pt idx="2">
                    <c:v>2.8657442819437023E-2</c:v>
                  </c:pt>
                  <c:pt idx="3">
                    <c:v>2.6930088881874675E-2</c:v>
                  </c:pt>
                  <c:pt idx="4">
                    <c:v>2.5701696917663025E-2</c:v>
                  </c:pt>
                  <c:pt idx="5">
                    <c:v>2.5327057367352246E-2</c:v>
                  </c:pt>
                </c:numCache>
              </c:numRef>
            </c:plus>
            <c:minus>
              <c:numRef>
                <c:f>(Deprivation!$I$105,Deprivation!$I$107,Deprivation!$I$109,Deprivation!$I$111,Deprivation!$I$113,Deprivation!$I$115)</c:f>
                <c:numCache>
                  <c:formatCode>General</c:formatCode>
                  <c:ptCount val="6"/>
                  <c:pt idx="0">
                    <c:v>2.4866745762200909E-2</c:v>
                  </c:pt>
                  <c:pt idx="1">
                    <c:v>2.5150654999149008E-2</c:v>
                  </c:pt>
                  <c:pt idx="2">
                    <c:v>2.587660304858877E-2</c:v>
                  </c:pt>
                  <c:pt idx="3">
                    <c:v>2.40266676425748E-2</c:v>
                  </c:pt>
                  <c:pt idx="4">
                    <c:v>2.2804373802906314E-2</c:v>
                  </c:pt>
                  <c:pt idx="5">
                    <c:v>2.2454725685754379E-2</c:v>
                  </c:pt>
                </c:numCache>
              </c:numRef>
            </c:minus>
          </c:errBars>
          <c:cat>
            <c:strRef>
              <c:f>Deprivation!$D$98:$F$103</c:f>
              <c:strCache>
                <c:ptCount val="6"/>
                <c:pt idx="0">
                  <c:v>% of children in poverty (2008)</c:v>
                </c:pt>
                <c:pt idx="1">
                  <c:v>% of children in poverty (2009)</c:v>
                </c:pt>
                <c:pt idx="2">
                  <c:v>% of children in poverty (2010)</c:v>
                </c:pt>
                <c:pt idx="3">
                  <c:v>% of children in poverty (2011)</c:v>
                </c:pt>
                <c:pt idx="4">
                  <c:v>% of children in poverty (2012)</c:v>
                </c:pt>
                <c:pt idx="5">
                  <c:v>% of children in poverty (2013)</c:v>
                </c:pt>
              </c:strCache>
            </c:strRef>
          </c:cat>
          <c:val>
            <c:numRef>
              <c:f>Deprivation!$H$98:$H$103</c:f>
              <c:numCache>
                <c:formatCode>0.0%</c:formatCode>
                <c:ptCount val="6"/>
                <c:pt idx="0">
                  <c:v>0.17901234567901234</c:v>
                </c:pt>
                <c:pt idx="1">
                  <c:v>0.18124999999999999</c:v>
                </c:pt>
                <c:pt idx="2">
                  <c:v>0.2</c:v>
                </c:pt>
                <c:pt idx="3">
                  <c:v>0.17543859649122806</c:v>
                </c:pt>
                <c:pt idx="4">
                  <c:v>0.16292134831460675</c:v>
                </c:pt>
                <c:pt idx="5">
                  <c:v>0.16022099447513813</c:v>
                </c:pt>
              </c:numCache>
            </c:numRef>
          </c:val>
        </c:ser>
        <c:ser>
          <c:idx val="1"/>
          <c:order val="1"/>
          <c:tx>
            <c:strRef>
              <c:f>Deprivation!$J$95</c:f>
              <c:strCache>
                <c:ptCount val="1"/>
                <c:pt idx="0">
                  <c:v>Stepping Stones</c:v>
                </c:pt>
              </c:strCache>
            </c:strRef>
          </c:tx>
          <c:spPr>
            <a:solidFill>
              <a:schemeClr val="accent4">
                <a:lumMod val="40000"/>
                <a:lumOff val="60000"/>
              </a:schemeClr>
            </a:solidFill>
            <a:ln>
              <a:solidFill>
                <a:sysClr val="windowText" lastClr="000000"/>
              </a:solidFill>
            </a:ln>
          </c:spPr>
          <c:invertIfNegative val="0"/>
          <c:dLbls>
            <c:txPr>
              <a:bodyPr rot="-5400000" vert="horz"/>
              <a:lstStyle/>
              <a:p>
                <a:pPr>
                  <a:defRPr/>
                </a:pPr>
                <a:endParaRPr lang="en-US"/>
              </a:p>
            </c:txPr>
            <c:dLblPos val="inBase"/>
            <c:showLegendKey val="0"/>
            <c:showVal val="1"/>
            <c:showCatName val="0"/>
            <c:showSerName val="0"/>
            <c:showPercent val="0"/>
            <c:showBubbleSize val="0"/>
            <c:showLeaderLines val="0"/>
          </c:dLbls>
          <c:errBars>
            <c:errBarType val="both"/>
            <c:errValType val="cust"/>
            <c:noEndCap val="0"/>
            <c:plus>
              <c:numRef>
                <c:f>(Deprivation!$K$106,Deprivation!$K$108,Deprivation!$K$110,Deprivation!$K$112,Deprivation!$K$114,Deprivation!$K$116)</c:f>
                <c:numCache>
                  <c:formatCode>General</c:formatCode>
                  <c:ptCount val="6"/>
                  <c:pt idx="0">
                    <c:v>3.1753975797579104E-2</c:v>
                  </c:pt>
                  <c:pt idx="1">
                    <c:v>3.2487596319972556E-2</c:v>
                  </c:pt>
                  <c:pt idx="2">
                    <c:v>3.109306860093991E-2</c:v>
                  </c:pt>
                  <c:pt idx="3">
                    <c:v>3.0855411105218944E-2</c:v>
                  </c:pt>
                  <c:pt idx="4">
                    <c:v>3.0099233708609174E-2</c:v>
                  </c:pt>
                  <c:pt idx="5">
                    <c:v>2.851140776845551E-2</c:v>
                  </c:pt>
                </c:numCache>
              </c:numRef>
            </c:plus>
            <c:minus>
              <c:numRef>
                <c:f>(Deprivation!$K$105,Deprivation!$K$107,Deprivation!$K$109,Deprivation!$K$111,Deprivation!$K$113,Deprivation!$K$115)</c:f>
                <c:numCache>
                  <c:formatCode>General</c:formatCode>
                  <c:ptCount val="6"/>
                  <c:pt idx="0">
                    <c:v>2.9034112201538176E-2</c:v>
                  </c:pt>
                  <c:pt idx="1">
                    <c:v>3.0168993787626858E-2</c:v>
                  </c:pt>
                  <c:pt idx="2">
                    <c:v>2.8517001295817523E-2</c:v>
                  </c:pt>
                  <c:pt idx="3">
                    <c:v>2.8345163542956187E-2</c:v>
                  </c:pt>
                  <c:pt idx="4">
                    <c:v>2.7713515876823497E-2</c:v>
                  </c:pt>
                  <c:pt idx="5">
                    <c:v>2.5736141804865553E-2</c:v>
                  </c:pt>
                </c:numCache>
              </c:numRef>
            </c:minus>
          </c:errBars>
          <c:cat>
            <c:strRef>
              <c:f>Deprivation!$D$98:$F$103</c:f>
              <c:strCache>
                <c:ptCount val="6"/>
                <c:pt idx="0">
                  <c:v>% of children in poverty (2008)</c:v>
                </c:pt>
                <c:pt idx="1">
                  <c:v>% of children in poverty (2009)</c:v>
                </c:pt>
                <c:pt idx="2">
                  <c:v>% of children in poverty (2010)</c:v>
                </c:pt>
                <c:pt idx="3">
                  <c:v>% of children in poverty (2011)</c:v>
                </c:pt>
                <c:pt idx="4">
                  <c:v>% of children in poverty (2012)</c:v>
                </c:pt>
                <c:pt idx="5">
                  <c:v>% of children in poverty (2013)</c:v>
                </c:pt>
              </c:strCache>
            </c:strRef>
          </c:cat>
          <c:val>
            <c:numRef>
              <c:f>Deprivation!$J$98:$J$103</c:f>
              <c:numCache>
                <c:formatCode>0.0%</c:formatCode>
                <c:ptCount val="6"/>
                <c:pt idx="0">
                  <c:v>0.2348993288590604</c:v>
                </c:pt>
                <c:pt idx="1">
                  <c:v>0.26797385620915032</c:v>
                </c:pt>
                <c:pt idx="2">
                  <c:v>0.23717948717948717</c:v>
                </c:pt>
                <c:pt idx="3">
                  <c:v>0.2389937106918239</c:v>
                </c:pt>
                <c:pt idx="4">
                  <c:v>0.23952095808383234</c:v>
                </c:pt>
                <c:pt idx="5">
                  <c:v>0.19879518072289157</c:v>
                </c:pt>
              </c:numCache>
            </c:numRef>
          </c:val>
        </c:ser>
        <c:ser>
          <c:idx val="2"/>
          <c:order val="2"/>
          <c:tx>
            <c:strRef>
              <c:f>Deprivation!$L$95</c:f>
              <c:strCache>
                <c:ptCount val="1"/>
                <c:pt idx="0">
                  <c:v>West Sussex</c:v>
                </c:pt>
              </c:strCache>
            </c:strRef>
          </c:tx>
          <c:spPr>
            <a:solidFill>
              <a:schemeClr val="accent3">
                <a:lumMod val="60000"/>
                <a:lumOff val="40000"/>
              </a:schemeClr>
            </a:solidFill>
            <a:ln>
              <a:solidFill>
                <a:sysClr val="windowText" lastClr="000000"/>
              </a:solidFill>
            </a:ln>
          </c:spPr>
          <c:invertIfNegative val="0"/>
          <c:dLbls>
            <c:txPr>
              <a:bodyPr rot="-5400000" vert="horz"/>
              <a:lstStyle/>
              <a:p>
                <a:pPr>
                  <a:defRPr/>
                </a:pPr>
                <a:endParaRPr lang="en-US"/>
              </a:p>
            </c:txPr>
            <c:dLblPos val="inBase"/>
            <c:showLegendKey val="0"/>
            <c:showVal val="1"/>
            <c:showCatName val="0"/>
            <c:showSerName val="0"/>
            <c:showPercent val="0"/>
            <c:showBubbleSize val="0"/>
            <c:showLeaderLines val="0"/>
          </c:dLbls>
          <c:errBars>
            <c:errBarType val="both"/>
            <c:errValType val="cust"/>
            <c:noEndCap val="0"/>
            <c:plus>
              <c:numRef>
                <c:f>(Deprivation!$M$106,Deprivation!$M$108,Deprivation!$M$110,Deprivation!$M$112,Deprivation!$M$114,Deprivation!$M$116)</c:f>
                <c:numCache>
                  <c:formatCode>General</c:formatCode>
                  <c:ptCount val="6"/>
                  <c:pt idx="0">
                    <c:v>3.3947971654167963E-3</c:v>
                  </c:pt>
                  <c:pt idx="1">
                    <c:v>3.4915960794604795E-3</c:v>
                  </c:pt>
                  <c:pt idx="2">
                    <c:v>3.4249121914063929E-3</c:v>
                  </c:pt>
                  <c:pt idx="3">
                    <c:v>3.3903944655434837E-3</c:v>
                  </c:pt>
                  <c:pt idx="4">
                    <c:v>3.2749483902100029E-3</c:v>
                  </c:pt>
                  <c:pt idx="5">
                    <c:v>3.4722734748213746E-3</c:v>
                  </c:pt>
                </c:numCache>
              </c:numRef>
            </c:plus>
            <c:minus>
              <c:numRef>
                <c:f>(Deprivation!$M$105,Deprivation!$M$107,Deprivation!$M$109,Deprivation!$M$111,Deprivation!$M$113,Deprivation!$M$116,Deprivation!$M$115,Deprivation!$M$116)</c:f>
                <c:numCache>
                  <c:formatCode>General</c:formatCode>
                  <c:ptCount val="8"/>
                  <c:pt idx="0">
                    <c:v>3.330069479742126E-3</c:v>
                  </c:pt>
                  <c:pt idx="1">
                    <c:v>3.4310776288488942E-3</c:v>
                  </c:pt>
                  <c:pt idx="2">
                    <c:v>3.365292998683822E-3</c:v>
                  </c:pt>
                  <c:pt idx="3">
                    <c:v>3.3317533270487976E-3</c:v>
                  </c:pt>
                  <c:pt idx="4">
                    <c:v>3.2154859898209653E-3</c:v>
                  </c:pt>
                  <c:pt idx="5">
                    <c:v>3.4722734748213746E-3</c:v>
                  </c:pt>
                  <c:pt idx="6">
                    <c:v>3.409527920994776E-3</c:v>
                  </c:pt>
                  <c:pt idx="7">
                    <c:v>3.4722734748213746E-3</c:v>
                  </c:pt>
                </c:numCache>
              </c:numRef>
            </c:minus>
          </c:errBars>
          <c:cat>
            <c:strRef>
              <c:f>Deprivation!$D$98:$F$103</c:f>
              <c:strCache>
                <c:ptCount val="6"/>
                <c:pt idx="0">
                  <c:v>% of children in poverty (2008)</c:v>
                </c:pt>
                <c:pt idx="1">
                  <c:v>% of children in poverty (2009)</c:v>
                </c:pt>
                <c:pt idx="2">
                  <c:v>% of children in poverty (2010)</c:v>
                </c:pt>
                <c:pt idx="3">
                  <c:v>% of children in poverty (2011)</c:v>
                </c:pt>
                <c:pt idx="4">
                  <c:v>% of children in poverty (2012)</c:v>
                </c:pt>
                <c:pt idx="5">
                  <c:v>% of children in poverty (2013)</c:v>
                </c:pt>
              </c:strCache>
            </c:strRef>
          </c:cat>
          <c:val>
            <c:numRef>
              <c:f>Deprivation!$L$98:$L$103</c:f>
              <c:numCache>
                <c:formatCode>0.0%</c:formatCode>
                <c:ptCount val="6"/>
                <c:pt idx="0">
                  <c:v>0.14502729646332779</c:v>
                </c:pt>
                <c:pt idx="1">
                  <c:v>0.16019473745218499</c:v>
                </c:pt>
                <c:pt idx="2">
                  <c:v>0.15725121702705763</c:v>
                </c:pt>
                <c:pt idx="3">
                  <c:v>0.15680604982206406</c:v>
                </c:pt>
                <c:pt idx="4">
                  <c:v>0.14665936473165389</c:v>
                </c:pt>
                <c:pt idx="5">
                  <c:v>0.15426411528466807</c:v>
                </c:pt>
              </c:numCache>
            </c:numRef>
          </c:val>
        </c:ser>
        <c:ser>
          <c:idx val="3"/>
          <c:order val="3"/>
          <c:tx>
            <c:strRef>
              <c:f>Deprivation!$N$95</c:f>
              <c:strCache>
                <c:ptCount val="1"/>
                <c:pt idx="0">
                  <c:v>South East</c:v>
                </c:pt>
              </c:strCache>
            </c:strRef>
          </c:tx>
          <c:spPr>
            <a:solidFill>
              <a:schemeClr val="bg1">
                <a:lumMod val="85000"/>
              </a:schemeClr>
            </a:solidFill>
            <a:ln>
              <a:solidFill>
                <a:sysClr val="windowText" lastClr="000000"/>
              </a:solidFill>
            </a:ln>
          </c:spPr>
          <c:invertIfNegative val="0"/>
          <c:dLbls>
            <c:txPr>
              <a:bodyPr rot="-5400000" vert="horz"/>
              <a:lstStyle/>
              <a:p>
                <a:pPr>
                  <a:defRPr/>
                </a:pPr>
                <a:endParaRPr lang="en-US"/>
              </a:p>
            </c:txPr>
            <c:dLblPos val="inBase"/>
            <c:showLegendKey val="0"/>
            <c:showVal val="1"/>
            <c:showCatName val="0"/>
            <c:showSerName val="0"/>
            <c:showPercent val="0"/>
            <c:showBubbleSize val="0"/>
            <c:showLeaderLines val="0"/>
          </c:dLbls>
          <c:errBars>
            <c:errBarType val="both"/>
            <c:errValType val="cust"/>
            <c:noEndCap val="0"/>
            <c:plus>
              <c:numRef>
                <c:f>(Deprivation!$O$106,Deprivation!$O$108,Deprivation!$O$110,Deprivation!$O$112,Deprivation!$O$114,Deprivation!$O$116)</c:f>
                <c:numCache>
                  <c:formatCode>General</c:formatCode>
                  <c:ptCount val="6"/>
                  <c:pt idx="0">
                    <c:v>1.0576219760747574E-3</c:v>
                  </c:pt>
                  <c:pt idx="1">
                    <c:v>1.0739535907736408E-3</c:v>
                  </c:pt>
                  <c:pt idx="2">
                    <c:v>1.0478104233173635E-3</c:v>
                  </c:pt>
                  <c:pt idx="3">
                    <c:v>1.0347068796447145E-3</c:v>
                  </c:pt>
                  <c:pt idx="4">
                    <c:v>1.0094138030084521E-3</c:v>
                  </c:pt>
                  <c:pt idx="5">
                    <c:v>1.0845595704758737E-3</c:v>
                  </c:pt>
                </c:numCache>
              </c:numRef>
            </c:plus>
            <c:minus>
              <c:numRef>
                <c:f>(Deprivation!$O$105,Deprivation!$O$107,Deprivation!$O$109,Deprivation!$O$111,Deprivation!$O$113,Deprivation!$O$115)</c:f>
                <c:numCache>
                  <c:formatCode>General</c:formatCode>
                  <c:ptCount val="6"/>
                  <c:pt idx="0">
                    <c:v>1.0522999201197647E-3</c:v>
                  </c:pt>
                  <c:pt idx="1">
                    <c:v>1.0689780306663565E-3</c:v>
                  </c:pt>
                  <c:pt idx="2">
                    <c:v>1.0428529249768559E-3</c:v>
                  </c:pt>
                  <c:pt idx="3">
                    <c:v>1.0298129917891696E-3</c:v>
                  </c:pt>
                  <c:pt idx="4">
                    <c:v>1.0044579889134098E-3</c:v>
                  </c:pt>
                  <c:pt idx="5">
                    <c:v>1.0793050573909835E-3</c:v>
                  </c:pt>
                </c:numCache>
              </c:numRef>
            </c:minus>
          </c:errBars>
          <c:cat>
            <c:strRef>
              <c:f>Deprivation!$D$98:$F$103</c:f>
              <c:strCache>
                <c:ptCount val="6"/>
                <c:pt idx="0">
                  <c:v>% of children in poverty (2008)</c:v>
                </c:pt>
                <c:pt idx="1">
                  <c:v>% of children in poverty (2009)</c:v>
                </c:pt>
                <c:pt idx="2">
                  <c:v>% of children in poverty (2010)</c:v>
                </c:pt>
                <c:pt idx="3">
                  <c:v>% of children in poverty (2011)</c:v>
                </c:pt>
                <c:pt idx="4">
                  <c:v>% of children in poverty (2012)</c:v>
                </c:pt>
                <c:pt idx="5">
                  <c:v>% of children in poverty (2013)</c:v>
                </c:pt>
              </c:strCache>
            </c:strRef>
          </c:cat>
          <c:val>
            <c:numRef>
              <c:f>Deprivation!$N$98:$N$103</c:f>
              <c:numCache>
                <c:formatCode>0.0%</c:formatCode>
                <c:ptCount val="6"/>
                <c:pt idx="0">
                  <c:v>0.16714880332986473</c:v>
                </c:pt>
                <c:pt idx="1">
                  <c:v>0.18006356017974981</c:v>
                </c:pt>
                <c:pt idx="2">
                  <c:v>0.17398834205864597</c:v>
                </c:pt>
                <c:pt idx="3">
                  <c:v>0.17238127643027268</c:v>
                </c:pt>
                <c:pt idx="4">
                  <c:v>0.16435249690109446</c:v>
                </c:pt>
                <c:pt idx="5">
                  <c:v>0.17539109823544904</c:v>
                </c:pt>
              </c:numCache>
            </c:numRef>
          </c:val>
        </c:ser>
        <c:ser>
          <c:idx val="4"/>
          <c:order val="4"/>
          <c:tx>
            <c:strRef>
              <c:f>Deprivation!$P$95</c:f>
              <c:strCache>
                <c:ptCount val="1"/>
                <c:pt idx="0">
                  <c:v>England</c:v>
                </c:pt>
              </c:strCache>
            </c:strRef>
          </c:tx>
          <c:spPr>
            <a:solidFill>
              <a:schemeClr val="bg1">
                <a:lumMod val="75000"/>
              </a:schemeClr>
            </a:solidFill>
            <a:ln>
              <a:solidFill>
                <a:sysClr val="windowText" lastClr="000000"/>
              </a:solidFill>
            </a:ln>
          </c:spPr>
          <c:invertIfNegative val="0"/>
          <c:dLbls>
            <c:txPr>
              <a:bodyPr rot="-5400000" vert="horz"/>
              <a:lstStyle/>
              <a:p>
                <a:pPr>
                  <a:defRPr/>
                </a:pPr>
                <a:endParaRPr lang="en-US"/>
              </a:p>
            </c:txPr>
            <c:dLblPos val="inBase"/>
            <c:showLegendKey val="0"/>
            <c:showVal val="1"/>
            <c:showCatName val="0"/>
            <c:showSerName val="0"/>
            <c:showPercent val="0"/>
            <c:showBubbleSize val="0"/>
            <c:showLeaderLines val="0"/>
          </c:dLbls>
          <c:errBars>
            <c:errBarType val="both"/>
            <c:errValType val="cust"/>
            <c:noEndCap val="0"/>
            <c:plus>
              <c:numRef>
                <c:f>(Deprivation!$Q$106,Deprivation!$Q$108,Deprivation!$Q$110,Deprivation!$Q$112,Deprivation!$Q$114,Deprivation!$Q$116)</c:f>
                <c:numCache>
                  <c:formatCode>General</c:formatCode>
                  <c:ptCount val="6"/>
                  <c:pt idx="0">
                    <c:v>4.7483869309314364E-4</c:v>
                  </c:pt>
                  <c:pt idx="1">
                    <c:v>4.7276253301611892E-4</c:v>
                  </c:pt>
                  <c:pt idx="2">
                    <c:v>4.613551545768757E-4</c:v>
                  </c:pt>
                  <c:pt idx="3">
                    <c:v>4.5561396252635777E-4</c:v>
                  </c:pt>
                  <c:pt idx="4">
                    <c:v>4.4493461631553433E-4</c:v>
                  </c:pt>
                  <c:pt idx="5">
                    <c:v>4.6157297163793021E-4</c:v>
                  </c:pt>
                </c:numCache>
              </c:numRef>
            </c:plus>
            <c:minus>
              <c:numRef>
                <c:f>(Deprivation!$Q$105,Deprivation!$Q$107,Deprivation!$Q$109,Deprivation!$Q$111,Deprivation!$Q$113,Deprivation!$Q$115)</c:f>
                <c:numCache>
                  <c:formatCode>General</c:formatCode>
                  <c:ptCount val="6"/>
                  <c:pt idx="0">
                    <c:v>4.7416203346517527E-4</c:v>
                  </c:pt>
                  <c:pt idx="1">
                    <c:v>4.7212313941391582E-4</c:v>
                  </c:pt>
                  <c:pt idx="2">
                    <c:v>4.6070538473355627E-4</c:v>
                  </c:pt>
                  <c:pt idx="3">
                    <c:v>4.5496679741219292E-4</c:v>
                  </c:pt>
                  <c:pt idx="4">
                    <c:v>4.4426916171758091E-4</c:v>
                  </c:pt>
                  <c:pt idx="5">
                    <c:v>4.6088560104157184E-4</c:v>
                  </c:pt>
                </c:numCache>
              </c:numRef>
            </c:minus>
          </c:errBars>
          <c:cat>
            <c:strRef>
              <c:f>Deprivation!$D$98:$F$103</c:f>
              <c:strCache>
                <c:ptCount val="6"/>
                <c:pt idx="0">
                  <c:v>% of children in poverty (2008)</c:v>
                </c:pt>
                <c:pt idx="1">
                  <c:v>% of children in poverty (2009)</c:v>
                </c:pt>
                <c:pt idx="2">
                  <c:v>% of children in poverty (2010)</c:v>
                </c:pt>
                <c:pt idx="3">
                  <c:v>% of children in poverty (2011)</c:v>
                </c:pt>
                <c:pt idx="4">
                  <c:v>% of children in poverty (2012)</c:v>
                </c:pt>
                <c:pt idx="5">
                  <c:v>% of children in poverty (2013)</c:v>
                </c:pt>
              </c:strCache>
            </c:strRef>
          </c:cat>
          <c:val>
            <c:numRef>
              <c:f>Deprivation!$P$98:$P$103</c:f>
              <c:numCache>
                <c:formatCode>0.0%</c:formatCode>
                <c:ptCount val="6"/>
                <c:pt idx="0">
                  <c:v>0.23214288650065187</c:v>
                </c:pt>
                <c:pt idx="1">
                  <c:v>0.23928108580877047</c:v>
                </c:pt>
                <c:pt idx="2">
                  <c:v>0.22961623757049512</c:v>
                </c:pt>
                <c:pt idx="3">
                  <c:v>0.2265069406586773</c:v>
                </c:pt>
                <c:pt idx="4">
                  <c:v>0.21546519008053139</c:v>
                </c:pt>
                <c:pt idx="5">
                  <c:v>0.22145456531025867</c:v>
                </c:pt>
              </c:numCache>
            </c:numRef>
          </c:val>
        </c:ser>
        <c:dLbls>
          <c:showLegendKey val="0"/>
          <c:showVal val="1"/>
          <c:showCatName val="0"/>
          <c:showSerName val="0"/>
          <c:showPercent val="0"/>
          <c:showBubbleSize val="0"/>
        </c:dLbls>
        <c:gapWidth val="140"/>
        <c:axId val="129449344"/>
        <c:axId val="129655936"/>
      </c:barChart>
      <c:catAx>
        <c:axId val="129449344"/>
        <c:scaling>
          <c:orientation val="minMax"/>
        </c:scaling>
        <c:delete val="0"/>
        <c:axPos val="b"/>
        <c:majorTickMark val="out"/>
        <c:minorTickMark val="none"/>
        <c:tickLblPos val="nextTo"/>
        <c:crossAx val="129655936"/>
        <c:crosses val="autoZero"/>
        <c:auto val="1"/>
        <c:lblAlgn val="ctr"/>
        <c:lblOffset val="100"/>
        <c:noMultiLvlLbl val="0"/>
      </c:catAx>
      <c:valAx>
        <c:axId val="129655936"/>
        <c:scaling>
          <c:orientation val="minMax"/>
        </c:scaling>
        <c:delete val="0"/>
        <c:axPos val="l"/>
        <c:majorGridlines>
          <c:spPr>
            <a:ln>
              <a:solidFill>
                <a:schemeClr val="bg1">
                  <a:lumMod val="75000"/>
                </a:schemeClr>
              </a:solidFill>
            </a:ln>
          </c:spPr>
        </c:majorGridlines>
        <c:numFmt formatCode="0.0%" sourceLinked="1"/>
        <c:majorTickMark val="out"/>
        <c:minorTickMark val="none"/>
        <c:tickLblPos val="nextTo"/>
        <c:crossAx val="129449344"/>
        <c:crosses val="autoZero"/>
        <c:crossBetween val="between"/>
      </c:valAx>
    </c:plotArea>
    <c:legend>
      <c:legendPos val="t"/>
      <c:overlay val="0"/>
    </c:legend>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EYFS!$E$48</c:f>
              <c:strCache>
                <c:ptCount val="1"/>
                <c:pt idx="0">
                  <c:v>2013</c:v>
                </c:pt>
              </c:strCache>
            </c:strRef>
          </c:tx>
          <c:spPr>
            <a:ln>
              <a:solidFill>
                <a:sysClr val="windowText" lastClr="000000"/>
              </a:solidFill>
            </a:ln>
          </c:spPr>
          <c:invertIfNegative val="0"/>
          <c:dPt>
            <c:idx val="0"/>
            <c:invertIfNegative val="0"/>
            <c:bubble3D val="0"/>
            <c:spPr>
              <a:solidFill>
                <a:schemeClr val="accent1">
                  <a:lumMod val="60000"/>
                  <a:lumOff val="40000"/>
                </a:schemeClr>
              </a:solidFill>
              <a:ln>
                <a:solidFill>
                  <a:sysClr val="windowText" lastClr="000000"/>
                </a:solidFill>
              </a:ln>
            </c:spPr>
          </c:dPt>
          <c:dPt>
            <c:idx val="1"/>
            <c:invertIfNegative val="0"/>
            <c:bubble3D val="0"/>
            <c:spPr>
              <a:solidFill>
                <a:schemeClr val="accent4">
                  <a:lumMod val="60000"/>
                  <a:lumOff val="40000"/>
                </a:schemeClr>
              </a:solidFill>
              <a:ln>
                <a:solidFill>
                  <a:sysClr val="windowText" lastClr="000000"/>
                </a:solidFill>
              </a:ln>
            </c:spPr>
          </c:dPt>
          <c:dPt>
            <c:idx val="2"/>
            <c:invertIfNegative val="0"/>
            <c:bubble3D val="0"/>
            <c:spPr>
              <a:solidFill>
                <a:schemeClr val="accent3">
                  <a:lumMod val="60000"/>
                  <a:lumOff val="40000"/>
                </a:schemeClr>
              </a:solidFill>
              <a:ln>
                <a:solidFill>
                  <a:sysClr val="windowText" lastClr="000000"/>
                </a:solidFill>
              </a:ln>
            </c:spPr>
          </c:dPt>
          <c:dPt>
            <c:idx val="3"/>
            <c:invertIfNegative val="0"/>
            <c:bubble3D val="0"/>
            <c:spPr>
              <a:solidFill>
                <a:schemeClr val="bg1">
                  <a:lumMod val="75000"/>
                </a:schemeClr>
              </a:solidFill>
              <a:ln>
                <a:solidFill>
                  <a:sysClr val="windowText" lastClr="000000"/>
                </a:solidFill>
              </a:ln>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EYFS!$F$56:$F$57</c:f>
                <c:numCache>
                  <c:formatCode>General</c:formatCode>
                  <c:ptCount val="2"/>
                  <c:pt idx="0">
                    <c:v>7.26398480251505E-2</c:v>
                  </c:pt>
                  <c:pt idx="1">
                    <c:v>8.3063739028907846E-2</c:v>
                  </c:pt>
                </c:numCache>
              </c:numRef>
            </c:plus>
            <c:minus>
              <c:numRef>
                <c:f>EYFS!$E$56:$E$57</c:f>
                <c:numCache>
                  <c:formatCode>General</c:formatCode>
                  <c:ptCount val="2"/>
                  <c:pt idx="0">
                    <c:v>7.2287728807640783E-2</c:v>
                  </c:pt>
                  <c:pt idx="1">
                    <c:v>8.3268686821630078E-2</c:v>
                  </c:pt>
                </c:numCache>
              </c:numRef>
            </c:minus>
          </c:errBars>
          <c:cat>
            <c:strRef>
              <c:f>EYFS!$D$49:$D$52</c:f>
              <c:strCache>
                <c:ptCount val="4"/>
                <c:pt idx="0">
                  <c:v>Kingston Buci</c:v>
                </c:pt>
                <c:pt idx="1">
                  <c:v>Stepping Stones</c:v>
                </c:pt>
                <c:pt idx="2">
                  <c:v>West Sussex</c:v>
                </c:pt>
                <c:pt idx="3">
                  <c:v>England</c:v>
                </c:pt>
              </c:strCache>
            </c:strRef>
          </c:cat>
          <c:val>
            <c:numRef>
              <c:f>EYFS!$E$49:$E$52</c:f>
              <c:numCache>
                <c:formatCode>0.0%</c:formatCode>
                <c:ptCount val="4"/>
                <c:pt idx="0">
                  <c:v>0.49162011173184356</c:v>
                </c:pt>
                <c:pt idx="1">
                  <c:v>0.50370370370370365</c:v>
                </c:pt>
                <c:pt idx="2">
                  <c:v>0.52</c:v>
                </c:pt>
                <c:pt idx="3">
                  <c:v>0.52</c:v>
                </c:pt>
              </c:numCache>
            </c:numRef>
          </c:val>
        </c:ser>
        <c:ser>
          <c:idx val="1"/>
          <c:order val="1"/>
          <c:tx>
            <c:strRef>
              <c:f>EYFS!$H$48</c:f>
              <c:strCache>
                <c:ptCount val="1"/>
                <c:pt idx="0">
                  <c:v>2014</c:v>
                </c:pt>
              </c:strCache>
            </c:strRef>
          </c:tx>
          <c:spPr>
            <a:ln>
              <a:solidFill>
                <a:sysClr val="windowText" lastClr="000000"/>
              </a:solidFill>
            </a:ln>
          </c:spPr>
          <c:invertIfNegative val="0"/>
          <c:dPt>
            <c:idx val="0"/>
            <c:invertIfNegative val="0"/>
            <c:bubble3D val="0"/>
            <c:spPr>
              <a:solidFill>
                <a:schemeClr val="accent1">
                  <a:lumMod val="60000"/>
                  <a:lumOff val="40000"/>
                </a:schemeClr>
              </a:solidFill>
              <a:ln>
                <a:solidFill>
                  <a:sysClr val="windowText" lastClr="000000"/>
                </a:solidFill>
              </a:ln>
            </c:spPr>
          </c:dPt>
          <c:dPt>
            <c:idx val="1"/>
            <c:invertIfNegative val="0"/>
            <c:bubble3D val="0"/>
            <c:spPr>
              <a:solidFill>
                <a:schemeClr val="accent4">
                  <a:lumMod val="60000"/>
                  <a:lumOff val="40000"/>
                </a:schemeClr>
              </a:solidFill>
              <a:ln>
                <a:solidFill>
                  <a:sysClr val="windowText" lastClr="000000"/>
                </a:solidFill>
              </a:ln>
            </c:spPr>
          </c:dPt>
          <c:dPt>
            <c:idx val="2"/>
            <c:invertIfNegative val="0"/>
            <c:bubble3D val="0"/>
            <c:spPr>
              <a:solidFill>
                <a:schemeClr val="accent3">
                  <a:lumMod val="60000"/>
                  <a:lumOff val="40000"/>
                </a:schemeClr>
              </a:solidFill>
              <a:ln>
                <a:solidFill>
                  <a:sysClr val="windowText" lastClr="000000"/>
                </a:solidFill>
              </a:ln>
            </c:spPr>
          </c:dPt>
          <c:dPt>
            <c:idx val="3"/>
            <c:invertIfNegative val="0"/>
            <c:bubble3D val="0"/>
            <c:spPr>
              <a:solidFill>
                <a:schemeClr val="bg1">
                  <a:lumMod val="75000"/>
                </a:schemeClr>
              </a:solidFill>
              <a:ln>
                <a:solidFill>
                  <a:sysClr val="windowText" lastClr="000000"/>
                </a:solidFill>
              </a:ln>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EYFS!$I$56:$I$57</c:f>
                <c:numCache>
                  <c:formatCode>General</c:formatCode>
                  <c:ptCount val="2"/>
                  <c:pt idx="0">
                    <c:v>6.938062584097926E-2</c:v>
                  </c:pt>
                  <c:pt idx="1">
                    <c:v>8.5047785619826954E-2</c:v>
                  </c:pt>
                </c:numCache>
              </c:numRef>
            </c:plus>
            <c:minus>
              <c:numRef>
                <c:f>EYFS!$H$56:$H$57</c:f>
                <c:numCache>
                  <c:formatCode>General</c:formatCode>
                  <c:ptCount val="2"/>
                  <c:pt idx="0">
                    <c:v>7.4461125755117541E-2</c:v>
                  </c:pt>
                  <c:pt idx="1">
                    <c:v>8.8550789697254551E-2</c:v>
                  </c:pt>
                </c:numCache>
              </c:numRef>
            </c:minus>
          </c:errBars>
          <c:cat>
            <c:strRef>
              <c:f>EYFS!$D$49:$D$52</c:f>
              <c:strCache>
                <c:ptCount val="4"/>
                <c:pt idx="0">
                  <c:v>Kingston Buci</c:v>
                </c:pt>
                <c:pt idx="1">
                  <c:v>Stepping Stones</c:v>
                </c:pt>
                <c:pt idx="2">
                  <c:v>West Sussex</c:v>
                </c:pt>
                <c:pt idx="3">
                  <c:v>England</c:v>
                </c:pt>
              </c:strCache>
            </c:strRef>
          </c:cat>
          <c:val>
            <c:numRef>
              <c:f>EYFS!$H$49:$H$52</c:f>
              <c:numCache>
                <c:formatCode>0.0%</c:formatCode>
                <c:ptCount val="4"/>
                <c:pt idx="0">
                  <c:v>0.61627906976744184</c:v>
                </c:pt>
                <c:pt idx="1">
                  <c:v>0.55737704918032782</c:v>
                </c:pt>
                <c:pt idx="2">
                  <c:v>0.59</c:v>
                </c:pt>
                <c:pt idx="3">
                  <c:v>0.6</c:v>
                </c:pt>
              </c:numCache>
            </c:numRef>
          </c:val>
        </c:ser>
        <c:ser>
          <c:idx val="2"/>
          <c:order val="2"/>
          <c:tx>
            <c:strRef>
              <c:f>EYFS!$K$48</c:f>
              <c:strCache>
                <c:ptCount val="1"/>
                <c:pt idx="0">
                  <c:v>2015</c:v>
                </c:pt>
              </c:strCache>
            </c:strRef>
          </c:tx>
          <c:spPr>
            <a:ln>
              <a:solidFill>
                <a:sysClr val="windowText" lastClr="000000"/>
              </a:solidFill>
            </a:ln>
          </c:spPr>
          <c:invertIfNegative val="0"/>
          <c:dPt>
            <c:idx val="0"/>
            <c:invertIfNegative val="0"/>
            <c:bubble3D val="0"/>
            <c:spPr>
              <a:solidFill>
                <a:schemeClr val="accent1">
                  <a:lumMod val="60000"/>
                  <a:lumOff val="40000"/>
                </a:schemeClr>
              </a:solidFill>
              <a:ln>
                <a:solidFill>
                  <a:sysClr val="windowText" lastClr="000000"/>
                </a:solidFill>
              </a:ln>
            </c:spPr>
          </c:dPt>
          <c:dPt>
            <c:idx val="1"/>
            <c:invertIfNegative val="0"/>
            <c:bubble3D val="0"/>
            <c:spPr>
              <a:solidFill>
                <a:schemeClr val="accent4">
                  <a:lumMod val="60000"/>
                  <a:lumOff val="40000"/>
                </a:schemeClr>
              </a:solidFill>
              <a:ln>
                <a:solidFill>
                  <a:sysClr val="windowText" lastClr="000000"/>
                </a:solidFill>
              </a:ln>
            </c:spPr>
          </c:dPt>
          <c:dPt>
            <c:idx val="2"/>
            <c:invertIfNegative val="0"/>
            <c:bubble3D val="0"/>
            <c:spPr>
              <a:solidFill>
                <a:schemeClr val="accent3">
                  <a:lumMod val="60000"/>
                  <a:lumOff val="40000"/>
                </a:schemeClr>
              </a:solidFill>
              <a:ln>
                <a:solidFill>
                  <a:sysClr val="windowText" lastClr="000000"/>
                </a:solidFill>
              </a:ln>
            </c:spPr>
          </c:dPt>
          <c:dPt>
            <c:idx val="3"/>
            <c:invertIfNegative val="0"/>
            <c:bubble3D val="0"/>
            <c:spPr>
              <a:solidFill>
                <a:schemeClr val="bg1">
                  <a:lumMod val="75000"/>
                </a:schemeClr>
              </a:solidFill>
              <a:ln>
                <a:solidFill>
                  <a:sysClr val="windowText" lastClr="000000"/>
                </a:solidFill>
              </a:ln>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EYFS!$L$56:$L$57</c:f>
                <c:numCache>
                  <c:formatCode>General</c:formatCode>
                  <c:ptCount val="2"/>
                  <c:pt idx="0">
                    <c:v>5.8905964160234192E-2</c:v>
                  </c:pt>
                  <c:pt idx="1">
                    <c:v>7.4319845460890654E-2</c:v>
                  </c:pt>
                </c:numCache>
              </c:numRef>
            </c:plus>
            <c:minus>
              <c:numRef>
                <c:f>EYFS!$K$56:$K$57</c:f>
                <c:numCache>
                  <c:formatCode>General</c:formatCode>
                  <c:ptCount val="2"/>
                  <c:pt idx="0">
                    <c:v>6.7667398237162946E-2</c:v>
                  </c:pt>
                  <c:pt idx="1">
                    <c:v>8.1454551121512786E-2</c:v>
                  </c:pt>
                </c:numCache>
              </c:numRef>
            </c:minus>
          </c:errBars>
          <c:cat>
            <c:strRef>
              <c:f>EYFS!$D$49:$D$52</c:f>
              <c:strCache>
                <c:ptCount val="4"/>
                <c:pt idx="0">
                  <c:v>Kingston Buci</c:v>
                </c:pt>
                <c:pt idx="1">
                  <c:v>Stepping Stones</c:v>
                </c:pt>
                <c:pt idx="2">
                  <c:v>West Sussex</c:v>
                </c:pt>
                <c:pt idx="3">
                  <c:v>England</c:v>
                </c:pt>
              </c:strCache>
            </c:strRef>
          </c:cat>
          <c:val>
            <c:numRef>
              <c:f>EYFS!$K$49:$K$52</c:f>
              <c:numCache>
                <c:formatCode>0.0%</c:formatCode>
                <c:ptCount val="4"/>
                <c:pt idx="0">
                  <c:v>0.72105263157894739</c:v>
                </c:pt>
                <c:pt idx="1">
                  <c:v>0.63636363636363635</c:v>
                </c:pt>
                <c:pt idx="2">
                  <c:v>0.63500000000000001</c:v>
                </c:pt>
                <c:pt idx="3">
                  <c:v>0.66300000000000003</c:v>
                </c:pt>
              </c:numCache>
            </c:numRef>
          </c:val>
        </c:ser>
        <c:dLbls>
          <c:showLegendKey val="0"/>
          <c:showVal val="0"/>
          <c:showCatName val="0"/>
          <c:showSerName val="0"/>
          <c:showPercent val="0"/>
          <c:showBubbleSize val="0"/>
        </c:dLbls>
        <c:gapWidth val="150"/>
        <c:axId val="129923712"/>
        <c:axId val="129929600"/>
      </c:barChart>
      <c:catAx>
        <c:axId val="129923712"/>
        <c:scaling>
          <c:orientation val="minMax"/>
        </c:scaling>
        <c:delete val="0"/>
        <c:axPos val="b"/>
        <c:majorTickMark val="out"/>
        <c:minorTickMark val="none"/>
        <c:tickLblPos val="nextTo"/>
        <c:crossAx val="129929600"/>
        <c:crosses val="autoZero"/>
        <c:auto val="1"/>
        <c:lblAlgn val="ctr"/>
        <c:lblOffset val="100"/>
        <c:noMultiLvlLbl val="0"/>
      </c:catAx>
      <c:valAx>
        <c:axId val="129929600"/>
        <c:scaling>
          <c:orientation val="minMax"/>
        </c:scaling>
        <c:delete val="0"/>
        <c:axPos val="l"/>
        <c:majorGridlines>
          <c:spPr>
            <a:ln>
              <a:solidFill>
                <a:schemeClr val="bg1">
                  <a:lumMod val="75000"/>
                </a:schemeClr>
              </a:solidFill>
            </a:ln>
          </c:spPr>
        </c:majorGridlines>
        <c:title>
          <c:tx>
            <c:rich>
              <a:bodyPr rot="-5400000" vert="horz"/>
              <a:lstStyle/>
              <a:p>
                <a:pPr>
                  <a:defRPr/>
                </a:pPr>
                <a:r>
                  <a:rPr lang="en-GB"/>
                  <a:t>% assessed</a:t>
                </a:r>
                <a:r>
                  <a:rPr lang="en-GB" baseline="0"/>
                  <a:t> as having a good level of developement</a:t>
                </a:r>
              </a:p>
            </c:rich>
          </c:tx>
          <c:overlay val="0"/>
        </c:title>
        <c:numFmt formatCode="0.0%" sourceLinked="1"/>
        <c:majorTickMark val="out"/>
        <c:minorTickMark val="none"/>
        <c:tickLblPos val="nextTo"/>
        <c:crossAx val="12992371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53018372703411"/>
          <c:y val="5.1400554097404488E-2"/>
          <c:w val="0.79091426071741044"/>
          <c:h val="0.74833697871099447"/>
        </c:manualLayout>
      </c:layout>
      <c:barChart>
        <c:barDir val="col"/>
        <c:grouping val="clustered"/>
        <c:varyColors val="0"/>
        <c:ser>
          <c:idx val="0"/>
          <c:order val="0"/>
          <c:invertIfNegative val="0"/>
          <c:cat>
            <c:strRef>
              <c:f>Population!$F$59:$H$59</c:f>
              <c:strCache>
                <c:ptCount val="3"/>
                <c:pt idx="0">
                  <c:v>Kingston Buci</c:v>
                </c:pt>
                <c:pt idx="1">
                  <c:v>Stepping Stones</c:v>
                </c:pt>
                <c:pt idx="2">
                  <c:v>West Sussex</c:v>
                </c:pt>
              </c:strCache>
            </c:strRef>
          </c:cat>
          <c:val>
            <c:numRef>
              <c:f>Population!$F$60:$H$60</c:f>
              <c:numCache>
                <c:formatCode>General</c:formatCode>
                <c:ptCount val="3"/>
              </c:numCache>
            </c:numRef>
          </c:val>
        </c:ser>
        <c:ser>
          <c:idx val="1"/>
          <c:order val="1"/>
          <c:invertIfNegative val="0"/>
          <c:cat>
            <c:strRef>
              <c:f>Population!$F$59:$H$59</c:f>
              <c:strCache>
                <c:ptCount val="3"/>
                <c:pt idx="0">
                  <c:v>Kingston Buci</c:v>
                </c:pt>
                <c:pt idx="1">
                  <c:v>Stepping Stones</c:v>
                </c:pt>
                <c:pt idx="2">
                  <c:v>West Sussex</c:v>
                </c:pt>
              </c:strCache>
            </c:strRef>
          </c:cat>
          <c:val>
            <c:numRef>
              <c:f>Population!$F$61:$H$61</c:f>
              <c:numCache>
                <c:formatCode>General</c:formatCode>
                <c:ptCount val="3"/>
              </c:numCache>
            </c:numRef>
          </c:val>
        </c:ser>
        <c:ser>
          <c:idx val="2"/>
          <c:order val="2"/>
          <c:invertIfNegative val="0"/>
          <c:dPt>
            <c:idx val="0"/>
            <c:invertIfNegative val="0"/>
            <c:bubble3D val="0"/>
            <c:spPr>
              <a:solidFill>
                <a:schemeClr val="accent1">
                  <a:lumMod val="40000"/>
                  <a:lumOff val="60000"/>
                </a:schemeClr>
              </a:solidFill>
            </c:spPr>
          </c:dPt>
          <c:dPt>
            <c:idx val="1"/>
            <c:invertIfNegative val="0"/>
            <c:bubble3D val="0"/>
            <c:spPr>
              <a:solidFill>
                <a:schemeClr val="accent4">
                  <a:lumMod val="40000"/>
                  <a:lumOff val="60000"/>
                </a:schemeClr>
              </a:solidFill>
            </c:spPr>
          </c:dPt>
          <c:dLbls>
            <c:dLblPos val="outEnd"/>
            <c:showLegendKey val="0"/>
            <c:showVal val="1"/>
            <c:showCatName val="0"/>
            <c:showSerName val="0"/>
            <c:showPercent val="0"/>
            <c:showBubbleSize val="0"/>
            <c:showLeaderLines val="0"/>
          </c:dLbls>
          <c:cat>
            <c:strRef>
              <c:f>Population!$F$59:$H$59</c:f>
              <c:strCache>
                <c:ptCount val="3"/>
                <c:pt idx="0">
                  <c:v>Kingston Buci</c:v>
                </c:pt>
                <c:pt idx="1">
                  <c:v>Stepping Stones</c:v>
                </c:pt>
                <c:pt idx="2">
                  <c:v>West Sussex</c:v>
                </c:pt>
              </c:strCache>
            </c:strRef>
          </c:cat>
          <c:val>
            <c:numRef>
              <c:f>Population!$F$68:$H$68</c:f>
              <c:numCache>
                <c:formatCode>0.0%</c:formatCode>
                <c:ptCount val="3"/>
                <c:pt idx="0">
                  <c:v>0.10089686098654704</c:v>
                </c:pt>
                <c:pt idx="1">
                  <c:v>0.11069651741293529</c:v>
                </c:pt>
                <c:pt idx="2">
                  <c:v>0.16441509271608656</c:v>
                </c:pt>
              </c:numCache>
            </c:numRef>
          </c:val>
        </c:ser>
        <c:dLbls>
          <c:showLegendKey val="0"/>
          <c:showVal val="0"/>
          <c:showCatName val="0"/>
          <c:showSerName val="0"/>
          <c:showPercent val="0"/>
          <c:showBubbleSize val="0"/>
        </c:dLbls>
        <c:gapWidth val="250"/>
        <c:overlap val="100"/>
        <c:axId val="115283456"/>
        <c:axId val="115285376"/>
      </c:barChart>
      <c:catAx>
        <c:axId val="115283456"/>
        <c:scaling>
          <c:orientation val="minMax"/>
        </c:scaling>
        <c:delete val="0"/>
        <c:axPos val="b"/>
        <c:title>
          <c:tx>
            <c:rich>
              <a:bodyPr/>
              <a:lstStyle/>
              <a:p>
                <a:pPr>
                  <a:defRPr/>
                </a:pPr>
                <a:r>
                  <a:rPr lang="en-GB"/>
                  <a:t>Area</a:t>
                </a:r>
              </a:p>
            </c:rich>
          </c:tx>
          <c:layout>
            <c:manualLayout>
              <c:xMode val="edge"/>
              <c:yMode val="edge"/>
              <c:x val="0.54511220472440947"/>
              <c:y val="0.93230432288679144"/>
            </c:manualLayout>
          </c:layout>
          <c:overlay val="0"/>
        </c:title>
        <c:majorTickMark val="out"/>
        <c:minorTickMark val="none"/>
        <c:tickLblPos val="nextTo"/>
        <c:crossAx val="115285376"/>
        <c:crosses val="autoZero"/>
        <c:auto val="1"/>
        <c:lblAlgn val="ctr"/>
        <c:lblOffset val="100"/>
        <c:noMultiLvlLbl val="0"/>
      </c:catAx>
      <c:valAx>
        <c:axId val="115285376"/>
        <c:scaling>
          <c:orientation val="minMax"/>
        </c:scaling>
        <c:delete val="0"/>
        <c:axPos val="l"/>
        <c:majorGridlines>
          <c:spPr>
            <a:ln>
              <a:solidFill>
                <a:schemeClr val="bg1">
                  <a:lumMod val="85000"/>
                </a:schemeClr>
              </a:solidFill>
            </a:ln>
          </c:spPr>
        </c:majorGridlines>
        <c:title>
          <c:tx>
            <c:rich>
              <a:bodyPr rot="-5400000" vert="horz"/>
              <a:lstStyle/>
              <a:p>
                <a:pPr>
                  <a:defRPr/>
                </a:pPr>
                <a:r>
                  <a:rPr lang="en-GB"/>
                  <a:t>Percentage of 0-4 year</a:t>
                </a:r>
                <a:r>
                  <a:rPr lang="en-GB" baseline="0"/>
                  <a:t> Olds BAME</a:t>
                </a:r>
                <a:endParaRPr lang="en-GB"/>
              </a:p>
            </c:rich>
          </c:tx>
          <c:layout>
            <c:manualLayout>
              <c:xMode val="edge"/>
              <c:yMode val="edge"/>
              <c:x val="3.6111111111111108E-2"/>
              <c:y val="7.6425342665500162E-2"/>
            </c:manualLayout>
          </c:layout>
          <c:overlay val="0"/>
        </c:title>
        <c:numFmt formatCode="0%" sourceLinked="0"/>
        <c:majorTickMark val="out"/>
        <c:minorTickMark val="none"/>
        <c:tickLblPos val="nextTo"/>
        <c:crossAx val="115283456"/>
        <c:crosses val="autoZero"/>
        <c:crossBetween val="between"/>
      </c:valAx>
    </c:plotArea>
    <c:plotVisOnly val="1"/>
    <c:dispBlanksAs val="gap"/>
    <c:showDLblsOverMax val="0"/>
  </c:chart>
  <c:spPr>
    <a:solidFill>
      <a:schemeClr val="bg1"/>
    </a:solid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38"/>
    </mc:Choice>
    <mc:Fallback>
      <c:style val="38"/>
    </mc:Fallback>
  </mc:AlternateContent>
  <c:chart>
    <c:autoTitleDeleted val="0"/>
    <c:plotArea>
      <c:layout/>
      <c:barChart>
        <c:barDir val="col"/>
        <c:grouping val="clustered"/>
        <c:varyColors val="0"/>
        <c:ser>
          <c:idx val="0"/>
          <c:order val="0"/>
          <c:tx>
            <c:strRef>
              <c:f>EYFS!$F$83</c:f>
              <c:strCache>
                <c:ptCount val="1"/>
                <c:pt idx="0">
                  <c:v>2013</c:v>
                </c:pt>
              </c:strCache>
            </c:strRef>
          </c:tx>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60000"/>
                  <a:lumOff val="4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bg1">
                  <a:lumMod val="75000"/>
                </a:schemeClr>
              </a:solidFill>
            </c:spPr>
          </c:dPt>
          <c:dLbls>
            <c:dLblPos val="inBase"/>
            <c:showLegendKey val="0"/>
            <c:showVal val="0"/>
            <c:showCatName val="0"/>
            <c:showSerName val="1"/>
            <c:showPercent val="0"/>
            <c:showBubbleSize val="0"/>
            <c:showLeaderLines val="0"/>
          </c:dLbls>
          <c:cat>
            <c:strRef>
              <c:f>EYFS!$E$84:$E$87</c:f>
              <c:strCache>
                <c:ptCount val="4"/>
                <c:pt idx="0">
                  <c:v>Kingston Buci</c:v>
                </c:pt>
                <c:pt idx="1">
                  <c:v>Stepping Stones</c:v>
                </c:pt>
                <c:pt idx="2">
                  <c:v>West Sussex</c:v>
                </c:pt>
                <c:pt idx="3">
                  <c:v>England</c:v>
                </c:pt>
              </c:strCache>
            </c:strRef>
          </c:cat>
          <c:val>
            <c:numRef>
              <c:f>EYFS!$F$84:$F$87</c:f>
              <c:numCache>
                <c:formatCode>0.0%</c:formatCode>
                <c:ptCount val="4"/>
                <c:pt idx="0">
                  <c:v>0.29495798319327743</c:v>
                </c:pt>
                <c:pt idx="1">
                  <c:v>0.36710239651416121</c:v>
                </c:pt>
                <c:pt idx="2">
                  <c:v>0.30399999999999999</c:v>
                </c:pt>
                <c:pt idx="3">
                  <c:v>0.36599999999999999</c:v>
                </c:pt>
              </c:numCache>
            </c:numRef>
          </c:val>
        </c:ser>
        <c:ser>
          <c:idx val="1"/>
          <c:order val="1"/>
          <c:tx>
            <c:strRef>
              <c:f>EYFS!$G$83</c:f>
              <c:strCache>
                <c:ptCount val="1"/>
                <c:pt idx="0">
                  <c:v>2014</c:v>
                </c:pt>
              </c:strCache>
            </c:strRef>
          </c:tx>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60000"/>
                  <a:lumOff val="4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bg1">
                  <a:lumMod val="75000"/>
                </a:schemeClr>
              </a:solidFill>
            </c:spPr>
          </c:dPt>
          <c:dLbls>
            <c:dLblPos val="inBase"/>
            <c:showLegendKey val="0"/>
            <c:showVal val="0"/>
            <c:showCatName val="0"/>
            <c:showSerName val="1"/>
            <c:showPercent val="0"/>
            <c:showBubbleSize val="0"/>
            <c:showLeaderLines val="0"/>
          </c:dLbls>
          <c:cat>
            <c:strRef>
              <c:f>EYFS!$E$84:$E$87</c:f>
              <c:strCache>
                <c:ptCount val="4"/>
                <c:pt idx="0">
                  <c:v>Kingston Buci</c:v>
                </c:pt>
                <c:pt idx="1">
                  <c:v>Stepping Stones</c:v>
                </c:pt>
                <c:pt idx="2">
                  <c:v>West Sussex</c:v>
                </c:pt>
                <c:pt idx="3">
                  <c:v>England</c:v>
                </c:pt>
              </c:strCache>
            </c:strRef>
          </c:cat>
          <c:val>
            <c:numRef>
              <c:f>EYFS!$G$84:$G$87</c:f>
              <c:numCache>
                <c:formatCode>0.0%</c:formatCode>
                <c:ptCount val="4"/>
                <c:pt idx="0">
                  <c:v>0.20761245674740494</c:v>
                </c:pt>
                <c:pt idx="1">
                  <c:v>0.31862745098039202</c:v>
                </c:pt>
                <c:pt idx="2">
                  <c:v>0.27900000000000003</c:v>
                </c:pt>
                <c:pt idx="3">
                  <c:v>0.33900000000000002</c:v>
                </c:pt>
              </c:numCache>
            </c:numRef>
          </c:val>
        </c:ser>
        <c:ser>
          <c:idx val="2"/>
          <c:order val="2"/>
          <c:tx>
            <c:strRef>
              <c:f>EYFS!$H$83</c:f>
              <c:strCache>
                <c:ptCount val="1"/>
                <c:pt idx="0">
                  <c:v>2015</c:v>
                </c:pt>
              </c:strCache>
            </c:strRef>
          </c:tx>
          <c:spPr>
            <a:solidFill>
              <a:schemeClr val="accent1">
                <a:lumMod val="60000"/>
                <a:lumOff val="40000"/>
              </a:schemeClr>
            </a:solidFill>
          </c:spPr>
          <c:invertIfNegative val="0"/>
          <c:dPt>
            <c:idx val="1"/>
            <c:invertIfNegative val="0"/>
            <c:bubble3D val="0"/>
            <c:spPr>
              <a:solidFill>
                <a:schemeClr val="accent4">
                  <a:lumMod val="60000"/>
                  <a:lumOff val="4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bg1">
                  <a:lumMod val="75000"/>
                </a:schemeClr>
              </a:solidFill>
            </c:spPr>
          </c:dPt>
          <c:dLbls>
            <c:dLblPos val="inBase"/>
            <c:showLegendKey val="0"/>
            <c:showVal val="0"/>
            <c:showCatName val="0"/>
            <c:showSerName val="1"/>
            <c:showPercent val="0"/>
            <c:showBubbleSize val="0"/>
            <c:showLeaderLines val="0"/>
          </c:dLbls>
          <c:cat>
            <c:strRef>
              <c:f>EYFS!$E$84:$E$87</c:f>
              <c:strCache>
                <c:ptCount val="4"/>
                <c:pt idx="0">
                  <c:v>Kingston Buci</c:v>
                </c:pt>
                <c:pt idx="1">
                  <c:v>Stepping Stones</c:v>
                </c:pt>
                <c:pt idx="2">
                  <c:v>West Sussex</c:v>
                </c:pt>
                <c:pt idx="3">
                  <c:v>England</c:v>
                </c:pt>
              </c:strCache>
            </c:strRef>
          </c:cat>
          <c:val>
            <c:numRef>
              <c:f>EYFS!$H$84:$H$87</c:f>
              <c:numCache>
                <c:formatCode>0.0%</c:formatCode>
                <c:ptCount val="4"/>
                <c:pt idx="0">
                  <c:v>0.216</c:v>
                </c:pt>
                <c:pt idx="1">
                  <c:v>0.35499999999999998</c:v>
                </c:pt>
                <c:pt idx="2">
                  <c:v>0.27900000000000003</c:v>
                </c:pt>
                <c:pt idx="3">
                  <c:v>0.32100000000000001</c:v>
                </c:pt>
              </c:numCache>
            </c:numRef>
          </c:val>
        </c:ser>
        <c:dLbls>
          <c:showLegendKey val="0"/>
          <c:showVal val="0"/>
          <c:showCatName val="0"/>
          <c:showSerName val="0"/>
          <c:showPercent val="0"/>
          <c:showBubbleSize val="0"/>
        </c:dLbls>
        <c:gapWidth val="150"/>
        <c:axId val="130104320"/>
        <c:axId val="130118400"/>
      </c:barChart>
      <c:catAx>
        <c:axId val="130104320"/>
        <c:scaling>
          <c:orientation val="minMax"/>
        </c:scaling>
        <c:delete val="0"/>
        <c:axPos val="b"/>
        <c:majorTickMark val="out"/>
        <c:minorTickMark val="none"/>
        <c:tickLblPos val="nextTo"/>
        <c:crossAx val="130118400"/>
        <c:crosses val="autoZero"/>
        <c:auto val="1"/>
        <c:lblAlgn val="ctr"/>
        <c:lblOffset val="100"/>
        <c:noMultiLvlLbl val="0"/>
      </c:catAx>
      <c:valAx>
        <c:axId val="130118400"/>
        <c:scaling>
          <c:orientation val="minMax"/>
        </c:scaling>
        <c:delete val="0"/>
        <c:axPos val="l"/>
        <c:majorGridlines/>
        <c:numFmt formatCode="0.0%" sourceLinked="1"/>
        <c:majorTickMark val="out"/>
        <c:minorTickMark val="none"/>
        <c:tickLblPos val="nextTo"/>
        <c:crossAx val="130104320"/>
        <c:crosses val="autoZero"/>
        <c:crossBetween val="between"/>
      </c:valAx>
      <c:spPr>
        <a:solidFill>
          <a:schemeClr val="bg1"/>
        </a:solidFill>
      </c:spPr>
    </c:plotArea>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0"/>
    <c:plotArea>
      <c:layout>
        <c:manualLayout>
          <c:layoutTarget val="inner"/>
          <c:xMode val="edge"/>
          <c:yMode val="edge"/>
          <c:x val="6.3164930470647696E-2"/>
          <c:y val="5.0351563197457462E-2"/>
          <c:w val="0.68673154986061524"/>
          <c:h val="0.7770785794632814"/>
        </c:manualLayout>
      </c:layout>
      <c:barChart>
        <c:barDir val="col"/>
        <c:grouping val="percentStacked"/>
        <c:varyColors val="0"/>
        <c:ser>
          <c:idx val="1"/>
          <c:order val="0"/>
          <c:tx>
            <c:strRef>
              <c:f>Population!$D$95</c:f>
              <c:strCache>
                <c:ptCount val="1"/>
                <c:pt idx="0">
                  <c:v>% Owned</c:v>
                </c:pt>
              </c:strCache>
            </c:strRef>
          </c:tx>
          <c:spPr>
            <a:ln>
              <a:solidFill>
                <a:sysClr val="windowText" lastClr="000000"/>
              </a:solidFill>
            </a:ln>
          </c:spPr>
          <c:invertIfNegative val="0"/>
          <c:dPt>
            <c:idx val="0"/>
            <c:invertIfNegative val="0"/>
            <c:bubble3D val="0"/>
            <c:spPr>
              <a:solidFill>
                <a:schemeClr val="accent1">
                  <a:lumMod val="60000"/>
                  <a:lumOff val="40000"/>
                </a:schemeClr>
              </a:solidFill>
              <a:ln>
                <a:solidFill>
                  <a:sysClr val="windowText" lastClr="000000"/>
                </a:solidFill>
              </a:ln>
            </c:spPr>
          </c:dPt>
          <c:dPt>
            <c:idx val="1"/>
            <c:invertIfNegative val="0"/>
            <c:bubble3D val="0"/>
            <c:spPr>
              <a:solidFill>
                <a:schemeClr val="accent4">
                  <a:lumMod val="60000"/>
                  <a:lumOff val="40000"/>
                </a:schemeClr>
              </a:solidFill>
              <a:ln>
                <a:solidFill>
                  <a:sysClr val="windowText" lastClr="000000"/>
                </a:solidFill>
              </a:ln>
            </c:spPr>
          </c:dPt>
          <c:dPt>
            <c:idx val="2"/>
            <c:invertIfNegative val="0"/>
            <c:bubble3D val="0"/>
            <c:spPr>
              <a:solidFill>
                <a:schemeClr val="accent3">
                  <a:lumMod val="60000"/>
                  <a:lumOff val="40000"/>
                </a:schemeClr>
              </a:solidFill>
              <a:ln>
                <a:solidFill>
                  <a:sysClr val="windowText" lastClr="000000"/>
                </a:solidFill>
              </a:ln>
            </c:spPr>
          </c:dPt>
          <c:dPt>
            <c:idx val="3"/>
            <c:invertIfNegative val="0"/>
            <c:bubble3D val="0"/>
            <c:spPr>
              <a:solidFill>
                <a:schemeClr val="bg1">
                  <a:lumMod val="75000"/>
                </a:schemeClr>
              </a:solidFill>
              <a:ln>
                <a:solidFill>
                  <a:sysClr val="windowText" lastClr="000000"/>
                </a:solidFill>
              </a:ln>
            </c:spPr>
          </c:dPt>
          <c:dPt>
            <c:idx val="4"/>
            <c:invertIfNegative val="0"/>
            <c:bubble3D val="0"/>
            <c:spPr>
              <a:solidFill>
                <a:schemeClr val="bg1">
                  <a:lumMod val="75000"/>
                </a:schemeClr>
              </a:solidFill>
              <a:ln>
                <a:solidFill>
                  <a:sysClr val="windowText" lastClr="000000"/>
                </a:solidFill>
              </a:ln>
            </c:spPr>
          </c:dPt>
          <c:dLbls>
            <c:dLblPos val="inBase"/>
            <c:showLegendKey val="0"/>
            <c:showVal val="1"/>
            <c:showCatName val="0"/>
            <c:showSerName val="0"/>
            <c:showPercent val="0"/>
            <c:showBubbleSize val="0"/>
            <c:showLeaderLines val="0"/>
          </c:dLbls>
          <c:cat>
            <c:strRef>
              <c:f>Population!$G$93:$K$93</c:f>
              <c:strCache>
                <c:ptCount val="5"/>
                <c:pt idx="0">
                  <c:v>Kingston Buci</c:v>
                </c:pt>
                <c:pt idx="1">
                  <c:v>Stepping Stones</c:v>
                </c:pt>
                <c:pt idx="2">
                  <c:v>West Sussex</c:v>
                </c:pt>
                <c:pt idx="3">
                  <c:v>South East</c:v>
                </c:pt>
                <c:pt idx="4">
                  <c:v>England</c:v>
                </c:pt>
              </c:strCache>
            </c:strRef>
          </c:cat>
          <c:val>
            <c:numRef>
              <c:f>Population!$G$95:$K$95</c:f>
              <c:numCache>
                <c:formatCode>0.0%</c:formatCode>
                <c:ptCount val="5"/>
                <c:pt idx="0">
                  <c:v>0.59975889089813139</c:v>
                </c:pt>
                <c:pt idx="1">
                  <c:v>0.59199483537766295</c:v>
                </c:pt>
                <c:pt idx="2">
                  <c:v>0.62169075757914261</c:v>
                </c:pt>
                <c:pt idx="3">
                  <c:v>0.60131071046932683</c:v>
                </c:pt>
                <c:pt idx="4">
                  <c:v>0.55249679011512953</c:v>
                </c:pt>
              </c:numCache>
            </c:numRef>
          </c:val>
        </c:ser>
        <c:ser>
          <c:idx val="2"/>
          <c:order val="1"/>
          <c:tx>
            <c:strRef>
              <c:f>Population!$D$96</c:f>
              <c:strCache>
                <c:ptCount val="1"/>
                <c:pt idx="0">
                  <c:v>% Socially rented</c:v>
                </c:pt>
              </c:strCache>
            </c:strRef>
          </c:tx>
          <c:spPr>
            <a:ln>
              <a:solidFill>
                <a:sysClr val="windowText" lastClr="000000"/>
              </a:solidFill>
            </a:ln>
          </c:spPr>
          <c:invertIfNegative val="0"/>
          <c:dPt>
            <c:idx val="0"/>
            <c:invertIfNegative val="0"/>
            <c:bubble3D val="0"/>
            <c:spPr>
              <a:solidFill>
                <a:schemeClr val="accent1">
                  <a:lumMod val="40000"/>
                  <a:lumOff val="60000"/>
                </a:schemeClr>
              </a:solidFill>
              <a:ln>
                <a:solidFill>
                  <a:sysClr val="windowText" lastClr="000000"/>
                </a:solidFill>
              </a:ln>
            </c:spPr>
          </c:dPt>
          <c:dPt>
            <c:idx val="1"/>
            <c:invertIfNegative val="0"/>
            <c:bubble3D val="0"/>
            <c:spPr>
              <a:solidFill>
                <a:schemeClr val="accent4">
                  <a:lumMod val="40000"/>
                  <a:lumOff val="60000"/>
                </a:schemeClr>
              </a:solidFill>
              <a:ln>
                <a:solidFill>
                  <a:sysClr val="windowText" lastClr="000000"/>
                </a:solidFill>
              </a:ln>
            </c:spPr>
          </c:dPt>
          <c:dPt>
            <c:idx val="2"/>
            <c:invertIfNegative val="0"/>
            <c:bubble3D val="0"/>
            <c:spPr>
              <a:solidFill>
                <a:schemeClr val="accent3">
                  <a:lumMod val="40000"/>
                  <a:lumOff val="60000"/>
                </a:schemeClr>
              </a:solidFill>
              <a:ln>
                <a:solidFill>
                  <a:sysClr val="windowText" lastClr="000000"/>
                </a:solidFill>
              </a:ln>
            </c:spPr>
          </c:dPt>
          <c:dPt>
            <c:idx val="3"/>
            <c:invertIfNegative val="0"/>
            <c:bubble3D val="0"/>
            <c:spPr>
              <a:solidFill>
                <a:schemeClr val="bg1">
                  <a:lumMod val="85000"/>
                </a:schemeClr>
              </a:solidFill>
              <a:ln>
                <a:solidFill>
                  <a:sysClr val="windowText" lastClr="000000"/>
                </a:solidFill>
              </a:ln>
            </c:spPr>
          </c:dPt>
          <c:dPt>
            <c:idx val="4"/>
            <c:invertIfNegative val="0"/>
            <c:bubble3D val="0"/>
            <c:spPr>
              <a:solidFill>
                <a:schemeClr val="bg1">
                  <a:lumMod val="85000"/>
                </a:schemeClr>
              </a:solidFill>
              <a:ln>
                <a:solidFill>
                  <a:sysClr val="windowText" lastClr="000000"/>
                </a:solidFill>
              </a:ln>
            </c:spPr>
          </c:dPt>
          <c:dLbls>
            <c:dLblPos val="inBase"/>
            <c:showLegendKey val="0"/>
            <c:showVal val="1"/>
            <c:showCatName val="0"/>
            <c:showSerName val="0"/>
            <c:showPercent val="0"/>
            <c:showBubbleSize val="0"/>
            <c:showLeaderLines val="0"/>
          </c:dLbls>
          <c:cat>
            <c:strRef>
              <c:f>Population!$G$93:$K$93</c:f>
              <c:strCache>
                <c:ptCount val="5"/>
                <c:pt idx="0">
                  <c:v>Kingston Buci</c:v>
                </c:pt>
                <c:pt idx="1">
                  <c:v>Stepping Stones</c:v>
                </c:pt>
                <c:pt idx="2">
                  <c:v>West Sussex</c:v>
                </c:pt>
                <c:pt idx="3">
                  <c:v>South East</c:v>
                </c:pt>
                <c:pt idx="4">
                  <c:v>England</c:v>
                </c:pt>
              </c:strCache>
            </c:strRef>
          </c:cat>
          <c:val>
            <c:numRef>
              <c:f>Population!$G$96:$K$96</c:f>
              <c:numCache>
                <c:formatCode>0.0%</c:formatCode>
                <c:ptCount val="5"/>
                <c:pt idx="0">
                  <c:v>0.20253164556962025</c:v>
                </c:pt>
                <c:pt idx="1">
                  <c:v>0.20787604906391219</c:v>
                </c:pt>
                <c:pt idx="2">
                  <c:v>0.17295190009159758</c:v>
                </c:pt>
                <c:pt idx="3">
                  <c:v>0.17231993402372051</c:v>
                </c:pt>
                <c:pt idx="4">
                  <c:v>0.21446978397089048</c:v>
                </c:pt>
              </c:numCache>
            </c:numRef>
          </c:val>
        </c:ser>
        <c:ser>
          <c:idx val="3"/>
          <c:order val="2"/>
          <c:tx>
            <c:strRef>
              <c:f>Population!$D$97</c:f>
              <c:strCache>
                <c:ptCount val="1"/>
                <c:pt idx="0">
                  <c:v>% Privately rented or living rent free</c:v>
                </c:pt>
              </c:strCache>
            </c:strRef>
          </c:tx>
          <c:spPr>
            <a:ln>
              <a:solidFill>
                <a:sysClr val="windowText" lastClr="000000"/>
              </a:solidFill>
            </a:ln>
          </c:spPr>
          <c:invertIfNegative val="0"/>
          <c:dPt>
            <c:idx val="0"/>
            <c:invertIfNegative val="0"/>
            <c:bubble3D val="0"/>
            <c:spPr>
              <a:solidFill>
                <a:schemeClr val="accent1">
                  <a:lumMod val="20000"/>
                  <a:lumOff val="80000"/>
                </a:schemeClr>
              </a:solidFill>
              <a:ln>
                <a:solidFill>
                  <a:sysClr val="windowText" lastClr="000000"/>
                </a:solidFill>
              </a:ln>
            </c:spPr>
          </c:dPt>
          <c:dPt>
            <c:idx val="1"/>
            <c:invertIfNegative val="0"/>
            <c:bubble3D val="0"/>
            <c:spPr>
              <a:solidFill>
                <a:schemeClr val="accent4">
                  <a:lumMod val="20000"/>
                  <a:lumOff val="80000"/>
                </a:schemeClr>
              </a:solidFill>
              <a:ln>
                <a:solidFill>
                  <a:sysClr val="windowText" lastClr="000000"/>
                </a:solidFill>
              </a:ln>
            </c:spPr>
          </c:dPt>
          <c:dPt>
            <c:idx val="2"/>
            <c:invertIfNegative val="0"/>
            <c:bubble3D val="0"/>
            <c:spPr>
              <a:solidFill>
                <a:schemeClr val="accent3">
                  <a:lumMod val="20000"/>
                  <a:lumOff val="80000"/>
                </a:schemeClr>
              </a:solidFill>
              <a:ln>
                <a:solidFill>
                  <a:sysClr val="windowText" lastClr="000000"/>
                </a:solidFill>
              </a:ln>
            </c:spPr>
          </c:dPt>
          <c:dPt>
            <c:idx val="3"/>
            <c:invertIfNegative val="0"/>
            <c:bubble3D val="0"/>
            <c:spPr>
              <a:solidFill>
                <a:schemeClr val="bg1">
                  <a:lumMod val="95000"/>
                </a:schemeClr>
              </a:solidFill>
              <a:ln>
                <a:solidFill>
                  <a:sysClr val="windowText" lastClr="000000"/>
                </a:solidFill>
              </a:ln>
            </c:spPr>
          </c:dPt>
          <c:dPt>
            <c:idx val="4"/>
            <c:invertIfNegative val="0"/>
            <c:bubble3D val="0"/>
            <c:spPr>
              <a:solidFill>
                <a:schemeClr val="bg1">
                  <a:lumMod val="95000"/>
                </a:schemeClr>
              </a:solidFill>
              <a:ln>
                <a:solidFill>
                  <a:sysClr val="windowText" lastClr="000000"/>
                </a:solidFill>
              </a:ln>
            </c:spPr>
          </c:dPt>
          <c:dLbls>
            <c:dLblPos val="inBase"/>
            <c:showLegendKey val="0"/>
            <c:showVal val="1"/>
            <c:showCatName val="0"/>
            <c:showSerName val="0"/>
            <c:showPercent val="0"/>
            <c:showBubbleSize val="0"/>
            <c:showLeaderLines val="0"/>
          </c:dLbls>
          <c:cat>
            <c:strRef>
              <c:f>Population!$G$93:$K$93</c:f>
              <c:strCache>
                <c:ptCount val="5"/>
                <c:pt idx="0">
                  <c:v>Kingston Buci</c:v>
                </c:pt>
                <c:pt idx="1">
                  <c:v>Stepping Stones</c:v>
                </c:pt>
                <c:pt idx="2">
                  <c:v>West Sussex</c:v>
                </c:pt>
                <c:pt idx="3">
                  <c:v>South East</c:v>
                </c:pt>
                <c:pt idx="4">
                  <c:v>England</c:v>
                </c:pt>
              </c:strCache>
            </c:strRef>
          </c:cat>
          <c:val>
            <c:numRef>
              <c:f>Population!$G$97:$K$97</c:f>
              <c:numCache>
                <c:formatCode>0.0%</c:formatCode>
                <c:ptCount val="5"/>
                <c:pt idx="0">
                  <c:v>0.19770946353224833</c:v>
                </c:pt>
                <c:pt idx="1">
                  <c:v>0.2001291155584248</c:v>
                </c:pt>
                <c:pt idx="2">
                  <c:v>0.20535734232925984</c:v>
                </c:pt>
                <c:pt idx="3">
                  <c:v>0.22636935550695267</c:v>
                </c:pt>
                <c:pt idx="4">
                  <c:v>0.23303342591398002</c:v>
                </c:pt>
              </c:numCache>
            </c:numRef>
          </c:val>
        </c:ser>
        <c:dLbls>
          <c:showLegendKey val="0"/>
          <c:showVal val="0"/>
          <c:showCatName val="0"/>
          <c:showSerName val="0"/>
          <c:showPercent val="0"/>
          <c:showBubbleSize val="0"/>
        </c:dLbls>
        <c:gapWidth val="150"/>
        <c:overlap val="100"/>
        <c:axId val="115376128"/>
        <c:axId val="115377664"/>
      </c:barChart>
      <c:catAx>
        <c:axId val="115376128"/>
        <c:scaling>
          <c:orientation val="minMax"/>
        </c:scaling>
        <c:delete val="0"/>
        <c:axPos val="b"/>
        <c:majorTickMark val="out"/>
        <c:minorTickMark val="none"/>
        <c:tickLblPos val="nextTo"/>
        <c:crossAx val="115377664"/>
        <c:crosses val="autoZero"/>
        <c:auto val="1"/>
        <c:lblAlgn val="ctr"/>
        <c:lblOffset val="100"/>
        <c:noMultiLvlLbl val="0"/>
      </c:catAx>
      <c:valAx>
        <c:axId val="115377664"/>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crossAx val="115376128"/>
        <c:crosses val="autoZero"/>
        <c:crossBetween val="between"/>
      </c:valAx>
    </c:plotArea>
    <c:plotVisOnly val="1"/>
    <c:dispBlanksAs val="gap"/>
    <c:showDLblsOverMax val="0"/>
  </c:chart>
  <c:spPr>
    <a:ln>
      <a:noFill/>
    </a:ln>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35"/>
    </mc:Choice>
    <mc:Fallback>
      <c:style val="35"/>
    </mc:Fallback>
  </mc:AlternateContent>
  <c:chart>
    <c:autoTitleDeleted val="0"/>
    <c:plotArea>
      <c:layout>
        <c:manualLayout>
          <c:layoutTarget val="inner"/>
          <c:xMode val="edge"/>
          <c:yMode val="edge"/>
          <c:x val="0.15130425615534704"/>
          <c:y val="2.6898153723666954E-2"/>
          <c:w val="0.8082359561528274"/>
          <c:h val="0.850899619016249"/>
        </c:manualLayout>
      </c:layout>
      <c:barChart>
        <c:barDir val="col"/>
        <c:grouping val="percentStacked"/>
        <c:varyColors val="0"/>
        <c:ser>
          <c:idx val="0"/>
          <c:order val="0"/>
          <c:tx>
            <c:strRef>
              <c:f>'Family Structure'!$J$20</c:f>
              <c:strCache>
                <c:ptCount val="1"/>
                <c:pt idx="0">
                  <c:v>One child</c:v>
                </c:pt>
              </c:strCache>
            </c:strRef>
          </c:tx>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60000"/>
                  <a:lumOff val="40000"/>
                </a:schemeClr>
              </a:solidFill>
            </c:spPr>
          </c:dPt>
          <c:dLbls>
            <c:txPr>
              <a:bodyPr/>
              <a:lstStyle/>
              <a:p>
                <a:pPr>
                  <a:defRPr sz="800"/>
                </a:pPr>
                <a:endParaRPr lang="en-US"/>
              </a:p>
            </c:txPr>
            <c:showLegendKey val="0"/>
            <c:showVal val="1"/>
            <c:showCatName val="0"/>
            <c:showSerName val="1"/>
            <c:showPercent val="0"/>
            <c:showBubbleSize val="0"/>
            <c:showLeaderLines val="0"/>
          </c:dLbls>
          <c:cat>
            <c:strRef>
              <c:f>'Family Structure'!$K$19:$L$19</c:f>
              <c:strCache>
                <c:ptCount val="2"/>
                <c:pt idx="0">
                  <c:v>Kingston Buci</c:v>
                </c:pt>
                <c:pt idx="1">
                  <c:v>Stepping Stones</c:v>
                </c:pt>
              </c:strCache>
            </c:strRef>
          </c:cat>
          <c:val>
            <c:numRef>
              <c:f>'Family Structure'!$K$20:$L$20</c:f>
              <c:numCache>
                <c:formatCode>0.0%</c:formatCode>
                <c:ptCount val="2"/>
                <c:pt idx="0">
                  <c:v>0.42653352353780316</c:v>
                </c:pt>
                <c:pt idx="1">
                  <c:v>0.40125391849529779</c:v>
                </c:pt>
              </c:numCache>
            </c:numRef>
          </c:val>
        </c:ser>
        <c:ser>
          <c:idx val="1"/>
          <c:order val="1"/>
          <c:tx>
            <c:strRef>
              <c:f>'Family Structure'!$J$21</c:f>
              <c:strCache>
                <c:ptCount val="1"/>
                <c:pt idx="0">
                  <c:v>Two children</c:v>
                </c:pt>
              </c:strCache>
            </c:strRef>
          </c:tx>
          <c:invertIfNegative val="0"/>
          <c:dPt>
            <c:idx val="0"/>
            <c:invertIfNegative val="0"/>
            <c:bubble3D val="0"/>
            <c:spPr>
              <a:solidFill>
                <a:schemeClr val="accent1">
                  <a:lumMod val="40000"/>
                  <a:lumOff val="60000"/>
                </a:schemeClr>
              </a:solidFill>
            </c:spPr>
          </c:dPt>
          <c:dPt>
            <c:idx val="1"/>
            <c:invertIfNegative val="0"/>
            <c:bubble3D val="0"/>
            <c:spPr>
              <a:solidFill>
                <a:schemeClr val="accent4">
                  <a:lumMod val="40000"/>
                  <a:lumOff val="60000"/>
                </a:schemeClr>
              </a:solidFill>
            </c:spPr>
          </c:dPt>
          <c:dLbls>
            <c:txPr>
              <a:bodyPr/>
              <a:lstStyle/>
              <a:p>
                <a:pPr>
                  <a:defRPr sz="800"/>
                </a:pPr>
                <a:endParaRPr lang="en-US"/>
              </a:p>
            </c:txPr>
            <c:showLegendKey val="0"/>
            <c:showVal val="1"/>
            <c:showCatName val="0"/>
            <c:showSerName val="1"/>
            <c:showPercent val="0"/>
            <c:showBubbleSize val="0"/>
            <c:showLeaderLines val="0"/>
          </c:dLbls>
          <c:cat>
            <c:strRef>
              <c:f>'Family Structure'!$K$19:$L$19</c:f>
              <c:strCache>
                <c:ptCount val="2"/>
                <c:pt idx="0">
                  <c:v>Kingston Buci</c:v>
                </c:pt>
                <c:pt idx="1">
                  <c:v>Stepping Stones</c:v>
                </c:pt>
              </c:strCache>
            </c:strRef>
          </c:cat>
          <c:val>
            <c:numRef>
              <c:f>'Family Structure'!$K$21:$L$21</c:f>
              <c:numCache>
                <c:formatCode>0.0%</c:formatCode>
                <c:ptCount val="2"/>
                <c:pt idx="0">
                  <c:v>0.42225392296718972</c:v>
                </c:pt>
                <c:pt idx="1">
                  <c:v>0.43260188087774293</c:v>
                </c:pt>
              </c:numCache>
            </c:numRef>
          </c:val>
        </c:ser>
        <c:ser>
          <c:idx val="2"/>
          <c:order val="2"/>
          <c:tx>
            <c:strRef>
              <c:f>'Family Structure'!$J$22</c:f>
              <c:strCache>
                <c:ptCount val="1"/>
                <c:pt idx="0">
                  <c:v>Three children</c:v>
                </c:pt>
              </c:strCache>
            </c:strRef>
          </c:tx>
          <c:invertIfNegative val="0"/>
          <c:dPt>
            <c:idx val="0"/>
            <c:invertIfNegative val="0"/>
            <c:bubble3D val="0"/>
            <c:spPr>
              <a:solidFill>
                <a:schemeClr val="accent1">
                  <a:lumMod val="20000"/>
                  <a:lumOff val="80000"/>
                </a:schemeClr>
              </a:solidFill>
            </c:spPr>
          </c:dPt>
          <c:dPt>
            <c:idx val="1"/>
            <c:invertIfNegative val="0"/>
            <c:bubble3D val="0"/>
            <c:spPr>
              <a:solidFill>
                <a:schemeClr val="accent4">
                  <a:lumMod val="20000"/>
                  <a:lumOff val="80000"/>
                </a:schemeClr>
              </a:solidFill>
            </c:spPr>
          </c:dPt>
          <c:dLbls>
            <c:txPr>
              <a:bodyPr/>
              <a:lstStyle/>
              <a:p>
                <a:pPr>
                  <a:defRPr sz="800"/>
                </a:pPr>
                <a:endParaRPr lang="en-US"/>
              </a:p>
            </c:txPr>
            <c:showLegendKey val="0"/>
            <c:showVal val="1"/>
            <c:showCatName val="0"/>
            <c:showSerName val="1"/>
            <c:showPercent val="0"/>
            <c:showBubbleSize val="0"/>
            <c:showLeaderLines val="0"/>
          </c:dLbls>
          <c:cat>
            <c:strRef>
              <c:f>'Family Structure'!$K$19:$L$19</c:f>
              <c:strCache>
                <c:ptCount val="2"/>
                <c:pt idx="0">
                  <c:v>Kingston Buci</c:v>
                </c:pt>
                <c:pt idx="1">
                  <c:v>Stepping Stones</c:v>
                </c:pt>
              </c:strCache>
            </c:strRef>
          </c:cat>
          <c:val>
            <c:numRef>
              <c:f>'Family Structure'!$K$22:$L$22</c:f>
              <c:numCache>
                <c:formatCode>0.0%</c:formatCode>
                <c:ptCount val="2"/>
                <c:pt idx="0">
                  <c:v>0.15121255349500715</c:v>
                </c:pt>
                <c:pt idx="1">
                  <c:v>0.16614420062695925</c:v>
                </c:pt>
              </c:numCache>
            </c:numRef>
          </c:val>
        </c:ser>
        <c:dLbls>
          <c:showLegendKey val="0"/>
          <c:showVal val="1"/>
          <c:showCatName val="0"/>
          <c:showSerName val="0"/>
          <c:showPercent val="0"/>
          <c:showBubbleSize val="0"/>
        </c:dLbls>
        <c:gapWidth val="63"/>
        <c:overlap val="100"/>
        <c:axId val="115432448"/>
        <c:axId val="115446528"/>
      </c:barChart>
      <c:catAx>
        <c:axId val="115432448"/>
        <c:scaling>
          <c:orientation val="minMax"/>
        </c:scaling>
        <c:delete val="0"/>
        <c:axPos val="b"/>
        <c:majorTickMark val="out"/>
        <c:minorTickMark val="none"/>
        <c:tickLblPos val="nextTo"/>
        <c:crossAx val="115446528"/>
        <c:crosses val="autoZero"/>
        <c:auto val="1"/>
        <c:lblAlgn val="ctr"/>
        <c:lblOffset val="100"/>
        <c:noMultiLvlLbl val="0"/>
      </c:catAx>
      <c:valAx>
        <c:axId val="115446528"/>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crossAx val="115432448"/>
        <c:crosses val="autoZero"/>
        <c:crossBetween val="between"/>
      </c:valAx>
      <c:spPr>
        <a:solidFill>
          <a:schemeClr val="bg1"/>
        </a:solidFill>
      </c:spPr>
    </c:plotArea>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35769713568413"/>
          <c:y val="3.0867732442535593E-2"/>
          <c:w val="0.8287872304005478"/>
          <c:h val="0.76282400014683482"/>
        </c:manualLayout>
      </c:layout>
      <c:barChart>
        <c:barDir val="col"/>
        <c:grouping val="percentStacked"/>
        <c:varyColors val="0"/>
        <c:ser>
          <c:idx val="0"/>
          <c:order val="0"/>
          <c:tx>
            <c:strRef>
              <c:f>'Family Structure'!$J$40</c:f>
              <c:strCache>
                <c:ptCount val="1"/>
                <c:pt idx="0">
                  <c:v>couple</c:v>
                </c:pt>
              </c:strCache>
            </c:strRef>
          </c:tx>
          <c:spPr>
            <a:solidFill>
              <a:schemeClr val="bg1">
                <a:lumMod val="65000"/>
              </a:schemeClr>
            </a:solidFill>
            <a:ln>
              <a:solidFill>
                <a:schemeClr val="bg1">
                  <a:lumMod val="50000"/>
                </a:schemeClr>
              </a:solidFill>
            </a:ln>
          </c:spPr>
          <c:invertIfNegative val="0"/>
          <c:dPt>
            <c:idx val="0"/>
            <c:invertIfNegative val="0"/>
            <c:bubble3D val="0"/>
            <c:spPr>
              <a:solidFill>
                <a:schemeClr val="accent1">
                  <a:lumMod val="60000"/>
                  <a:lumOff val="40000"/>
                </a:schemeClr>
              </a:solidFill>
              <a:ln>
                <a:solidFill>
                  <a:schemeClr val="bg1">
                    <a:lumMod val="50000"/>
                  </a:schemeClr>
                </a:solidFill>
              </a:ln>
            </c:spPr>
          </c:dPt>
          <c:dPt>
            <c:idx val="1"/>
            <c:invertIfNegative val="0"/>
            <c:bubble3D val="0"/>
            <c:spPr>
              <a:solidFill>
                <a:schemeClr val="accent4">
                  <a:lumMod val="60000"/>
                  <a:lumOff val="40000"/>
                </a:schemeClr>
              </a:solidFill>
              <a:ln>
                <a:solidFill>
                  <a:schemeClr val="bg1">
                    <a:lumMod val="50000"/>
                  </a:schemeClr>
                </a:solidFill>
              </a:ln>
            </c:spPr>
          </c:dPt>
          <c:dPt>
            <c:idx val="2"/>
            <c:invertIfNegative val="0"/>
            <c:bubble3D val="0"/>
            <c:spPr>
              <a:solidFill>
                <a:schemeClr val="accent3">
                  <a:lumMod val="60000"/>
                  <a:lumOff val="40000"/>
                </a:schemeClr>
              </a:solidFill>
              <a:ln>
                <a:solidFill>
                  <a:schemeClr val="bg1">
                    <a:lumMod val="50000"/>
                  </a:schemeClr>
                </a:solidFill>
              </a:ln>
            </c:spPr>
          </c:dPt>
          <c:dLbls>
            <c:txPr>
              <a:bodyPr rot="0" vert="horz"/>
              <a:lstStyle/>
              <a:p>
                <a:pPr>
                  <a:defRPr/>
                </a:pPr>
                <a:endParaRPr lang="en-US"/>
              </a:p>
            </c:txPr>
            <c:dLblPos val="ctr"/>
            <c:showLegendKey val="0"/>
            <c:showVal val="0"/>
            <c:showCatName val="0"/>
            <c:showSerName val="1"/>
            <c:showPercent val="0"/>
            <c:showBubbleSize val="0"/>
            <c:showLeaderLines val="0"/>
          </c:dLbls>
          <c:cat>
            <c:strRef>
              <c:f>'Family Structure'!$J$37:$M$37</c:f>
              <c:strCache>
                <c:ptCount val="4"/>
                <c:pt idx="0">
                  <c:v>Kingston Buci</c:v>
                </c:pt>
                <c:pt idx="1">
                  <c:v>Stepping Stones</c:v>
                </c:pt>
                <c:pt idx="2">
                  <c:v>West Sussex</c:v>
                </c:pt>
                <c:pt idx="3">
                  <c:v>England</c:v>
                </c:pt>
              </c:strCache>
            </c:strRef>
          </c:cat>
          <c:val>
            <c:numRef>
              <c:f>'Family Structure'!$J$38:$M$38</c:f>
              <c:numCache>
                <c:formatCode>_-* #,##0_-;\-* #,##0_-;_-* "-"??_-;_-@_-</c:formatCode>
                <c:ptCount val="4"/>
                <c:pt idx="0">
                  <c:v>573</c:v>
                </c:pt>
                <c:pt idx="1">
                  <c:v>492</c:v>
                </c:pt>
                <c:pt idx="2" formatCode="General">
                  <c:v>30468</c:v>
                </c:pt>
                <c:pt idx="3" formatCode="General">
                  <c:v>2018660</c:v>
                </c:pt>
              </c:numCache>
            </c:numRef>
          </c:val>
        </c:ser>
        <c:ser>
          <c:idx val="1"/>
          <c:order val="1"/>
          <c:tx>
            <c:strRef>
              <c:f>'Family Structure'!$J$41</c:f>
              <c:strCache>
                <c:ptCount val="1"/>
                <c:pt idx="0">
                  <c:v>non-couple</c:v>
                </c:pt>
              </c:strCache>
            </c:strRef>
          </c:tx>
          <c:spPr>
            <a:ln>
              <a:solidFill>
                <a:schemeClr val="bg1">
                  <a:lumMod val="50000"/>
                </a:schemeClr>
              </a:solidFill>
            </a:ln>
          </c:spPr>
          <c:invertIfNegative val="0"/>
          <c:dPt>
            <c:idx val="0"/>
            <c:invertIfNegative val="0"/>
            <c:bubble3D val="0"/>
            <c:spPr>
              <a:solidFill>
                <a:schemeClr val="accent1">
                  <a:lumMod val="40000"/>
                  <a:lumOff val="60000"/>
                </a:schemeClr>
              </a:solidFill>
              <a:ln>
                <a:solidFill>
                  <a:schemeClr val="bg1">
                    <a:lumMod val="50000"/>
                  </a:schemeClr>
                </a:solidFill>
              </a:ln>
            </c:spPr>
          </c:dPt>
          <c:dPt>
            <c:idx val="1"/>
            <c:invertIfNegative val="0"/>
            <c:bubble3D val="0"/>
            <c:spPr>
              <a:solidFill>
                <a:schemeClr val="accent4">
                  <a:lumMod val="40000"/>
                  <a:lumOff val="60000"/>
                </a:schemeClr>
              </a:solidFill>
              <a:ln>
                <a:solidFill>
                  <a:schemeClr val="bg1">
                    <a:lumMod val="50000"/>
                  </a:schemeClr>
                </a:solidFill>
              </a:ln>
            </c:spPr>
          </c:dPt>
          <c:dPt>
            <c:idx val="2"/>
            <c:invertIfNegative val="0"/>
            <c:bubble3D val="0"/>
            <c:spPr>
              <a:solidFill>
                <a:schemeClr val="accent3">
                  <a:lumMod val="40000"/>
                  <a:lumOff val="60000"/>
                </a:schemeClr>
              </a:solidFill>
              <a:ln>
                <a:solidFill>
                  <a:schemeClr val="bg1">
                    <a:lumMod val="50000"/>
                  </a:schemeClr>
                </a:solidFill>
              </a:ln>
            </c:spPr>
          </c:dPt>
          <c:dPt>
            <c:idx val="3"/>
            <c:invertIfNegative val="0"/>
            <c:bubble3D val="0"/>
            <c:spPr>
              <a:solidFill>
                <a:schemeClr val="bg1">
                  <a:lumMod val="75000"/>
                </a:schemeClr>
              </a:solidFill>
              <a:ln>
                <a:solidFill>
                  <a:schemeClr val="bg1">
                    <a:lumMod val="50000"/>
                  </a:schemeClr>
                </a:solidFill>
              </a:ln>
            </c:spPr>
          </c:dPt>
          <c:dLbls>
            <c:dLbl>
              <c:idx val="0"/>
              <c:tx>
                <c:rich>
                  <a:bodyPr/>
                  <a:lstStyle/>
                  <a:p>
                    <a:r>
                      <a:rPr lang="en-US"/>
                      <a:t>non-</a:t>
                    </a:r>
                  </a:p>
                  <a:p>
                    <a:r>
                      <a:rPr lang="en-US"/>
                      <a:t>couple</a:t>
                    </a:r>
                  </a:p>
                </c:rich>
              </c:tx>
              <c:dLblPos val="ctr"/>
              <c:showLegendKey val="0"/>
              <c:showVal val="0"/>
              <c:showCatName val="0"/>
              <c:showSerName val="1"/>
              <c:showPercent val="0"/>
              <c:showBubbleSize val="0"/>
            </c:dLbl>
            <c:dLbl>
              <c:idx val="1"/>
              <c:tx>
                <c:rich>
                  <a:bodyPr/>
                  <a:lstStyle/>
                  <a:p>
                    <a:r>
                      <a:rPr lang="en-US"/>
                      <a:t>non-</a:t>
                    </a:r>
                  </a:p>
                  <a:p>
                    <a:r>
                      <a:rPr lang="en-US"/>
                      <a:t>couple</a:t>
                    </a:r>
                  </a:p>
                </c:rich>
              </c:tx>
              <c:dLblPos val="ctr"/>
              <c:showLegendKey val="0"/>
              <c:showVal val="0"/>
              <c:showCatName val="0"/>
              <c:showSerName val="1"/>
              <c:showPercent val="0"/>
              <c:showBubbleSize val="0"/>
            </c:dLbl>
            <c:dLbl>
              <c:idx val="2"/>
              <c:tx>
                <c:rich>
                  <a:bodyPr/>
                  <a:lstStyle/>
                  <a:p>
                    <a:r>
                      <a:rPr lang="en-US"/>
                      <a:t>non-</a:t>
                    </a:r>
                  </a:p>
                  <a:p>
                    <a:r>
                      <a:rPr lang="en-US"/>
                      <a:t>couple</a:t>
                    </a:r>
                  </a:p>
                </c:rich>
              </c:tx>
              <c:dLblPos val="ctr"/>
              <c:showLegendKey val="0"/>
              <c:showVal val="0"/>
              <c:showCatName val="0"/>
              <c:showSerName val="1"/>
              <c:showPercent val="0"/>
              <c:showBubbleSize val="0"/>
            </c:dLbl>
            <c:dLbl>
              <c:idx val="3"/>
              <c:tx>
                <c:rich>
                  <a:bodyPr/>
                  <a:lstStyle/>
                  <a:p>
                    <a:r>
                      <a:rPr lang="en-US"/>
                      <a:t>non-</a:t>
                    </a:r>
                  </a:p>
                  <a:p>
                    <a:r>
                      <a:rPr lang="en-US"/>
                      <a:t>couple</a:t>
                    </a:r>
                  </a:p>
                </c:rich>
              </c:tx>
              <c:dLblPos val="ctr"/>
              <c:showLegendKey val="0"/>
              <c:showVal val="0"/>
              <c:showCatName val="0"/>
              <c:showSerName val="1"/>
              <c:showPercent val="0"/>
              <c:showBubbleSize val="0"/>
            </c:dLbl>
            <c:dLblPos val="ctr"/>
            <c:showLegendKey val="0"/>
            <c:showVal val="0"/>
            <c:showCatName val="0"/>
            <c:showSerName val="1"/>
            <c:showPercent val="0"/>
            <c:showBubbleSize val="0"/>
            <c:showLeaderLines val="0"/>
          </c:dLbls>
          <c:cat>
            <c:strRef>
              <c:f>'Family Structure'!$J$37:$M$37</c:f>
              <c:strCache>
                <c:ptCount val="4"/>
                <c:pt idx="0">
                  <c:v>Kingston Buci</c:v>
                </c:pt>
                <c:pt idx="1">
                  <c:v>Stepping Stones</c:v>
                </c:pt>
                <c:pt idx="2">
                  <c:v>West Sussex</c:v>
                </c:pt>
                <c:pt idx="3">
                  <c:v>England</c:v>
                </c:pt>
              </c:strCache>
            </c:strRef>
          </c:cat>
          <c:val>
            <c:numRef>
              <c:f>'Family Structure'!$J$39:$M$39</c:f>
              <c:numCache>
                <c:formatCode>_-* #,##0_-;\-* #,##0_-;_-* "-"??_-;_-@_-</c:formatCode>
                <c:ptCount val="4"/>
                <c:pt idx="0">
                  <c:v>133</c:v>
                </c:pt>
                <c:pt idx="1">
                  <c:v>148</c:v>
                </c:pt>
                <c:pt idx="2" formatCode="General">
                  <c:v>5946</c:v>
                </c:pt>
                <c:pt idx="3" formatCode="General">
                  <c:v>587904</c:v>
                </c:pt>
              </c:numCache>
            </c:numRef>
          </c:val>
        </c:ser>
        <c:dLbls>
          <c:showLegendKey val="0"/>
          <c:showVal val="0"/>
          <c:showCatName val="0"/>
          <c:showSerName val="0"/>
          <c:showPercent val="0"/>
          <c:showBubbleSize val="0"/>
        </c:dLbls>
        <c:gapWidth val="79"/>
        <c:overlap val="100"/>
        <c:axId val="115561216"/>
        <c:axId val="115562752"/>
      </c:barChart>
      <c:catAx>
        <c:axId val="115561216"/>
        <c:scaling>
          <c:orientation val="minMax"/>
        </c:scaling>
        <c:delete val="0"/>
        <c:axPos val="b"/>
        <c:majorTickMark val="out"/>
        <c:minorTickMark val="none"/>
        <c:tickLblPos val="low"/>
        <c:txPr>
          <a:bodyPr rot="0"/>
          <a:lstStyle/>
          <a:p>
            <a:pPr>
              <a:defRPr sz="900"/>
            </a:pPr>
            <a:endParaRPr lang="en-US"/>
          </a:p>
        </c:txPr>
        <c:crossAx val="115562752"/>
        <c:crosses val="autoZero"/>
        <c:auto val="1"/>
        <c:lblAlgn val="ctr"/>
        <c:lblOffset val="100"/>
        <c:noMultiLvlLbl val="0"/>
      </c:catAx>
      <c:valAx>
        <c:axId val="115562752"/>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txPr>
          <a:bodyPr/>
          <a:lstStyle/>
          <a:p>
            <a:pPr>
              <a:defRPr sz="900"/>
            </a:pPr>
            <a:endParaRPr lang="en-US"/>
          </a:p>
        </c:txPr>
        <c:crossAx val="11556121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39"/>
    </mc:Choice>
    <mc:Fallback>
      <c:style val="39"/>
    </mc:Fallback>
  </mc:AlternateContent>
  <c:chart>
    <c:autoTitleDeleted val="0"/>
    <c:plotArea>
      <c:layout>
        <c:manualLayout>
          <c:layoutTarget val="inner"/>
          <c:xMode val="edge"/>
          <c:yMode val="edge"/>
          <c:x val="0.18626580768313053"/>
          <c:y val="5.1400554097404488E-2"/>
          <c:w val="0.77333015191282906"/>
          <c:h val="0.77611475648877226"/>
        </c:manualLayout>
      </c:layout>
      <c:barChart>
        <c:barDir val="col"/>
        <c:grouping val="clustered"/>
        <c:varyColors val="0"/>
        <c:ser>
          <c:idx val="0"/>
          <c:order val="0"/>
          <c:tx>
            <c:strRef>
              <c:f>'Family Structure'!$C$70</c:f>
              <c:strCache>
                <c:ptCount val="1"/>
                <c:pt idx="0">
                  <c:v>2011</c:v>
                </c:pt>
              </c:strCache>
            </c:strRef>
          </c:tx>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60000"/>
                  <a:lumOff val="40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cat>
            <c:strRef>
              <c:f>'Family Structure'!$G$69:$H$69</c:f>
              <c:strCache>
                <c:ptCount val="2"/>
                <c:pt idx="0">
                  <c:v>Kingston Buci</c:v>
                </c:pt>
                <c:pt idx="1">
                  <c:v>Stepping Stones</c:v>
                </c:pt>
              </c:strCache>
            </c:strRef>
          </c:cat>
          <c:val>
            <c:numRef>
              <c:f>'Family Structure'!$G$70:$H$70</c:f>
              <c:numCache>
                <c:formatCode>_-* #,##0_-;\-* #,##0_-;_-* "-"??_-;_-@_-</c:formatCode>
                <c:ptCount val="2"/>
                <c:pt idx="0">
                  <c:v>130</c:v>
                </c:pt>
                <c:pt idx="1">
                  <c:v>140</c:v>
                </c:pt>
              </c:numCache>
            </c:numRef>
          </c:val>
        </c:ser>
        <c:ser>
          <c:idx val="1"/>
          <c:order val="1"/>
          <c:tx>
            <c:strRef>
              <c:f>'Family Structure'!$C$71</c:f>
              <c:strCache>
                <c:ptCount val="1"/>
                <c:pt idx="0">
                  <c:v>2012</c:v>
                </c:pt>
              </c:strCache>
            </c:strRef>
          </c:tx>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60000"/>
                  <a:lumOff val="40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val>
            <c:numRef>
              <c:f>'Family Structure'!$G$71:$H$71</c:f>
              <c:numCache>
                <c:formatCode>_-* #,##0_-;\-* #,##0_-;_-* "-"??_-;_-@_-</c:formatCode>
                <c:ptCount val="2"/>
                <c:pt idx="0">
                  <c:v>90</c:v>
                </c:pt>
                <c:pt idx="1">
                  <c:v>130</c:v>
                </c:pt>
              </c:numCache>
            </c:numRef>
          </c:val>
        </c:ser>
        <c:ser>
          <c:idx val="2"/>
          <c:order val="2"/>
          <c:tx>
            <c:strRef>
              <c:f>'Family Structure'!$C$72</c:f>
              <c:strCache>
                <c:ptCount val="1"/>
                <c:pt idx="0">
                  <c:v>2013</c:v>
                </c:pt>
              </c:strCache>
            </c:strRef>
          </c:tx>
          <c:spPr>
            <a:solidFill>
              <a:schemeClr val="accent1">
                <a:lumMod val="60000"/>
                <a:lumOff val="40000"/>
              </a:schemeClr>
            </a:solidFill>
          </c:spPr>
          <c:invertIfNegative val="0"/>
          <c:dPt>
            <c:idx val="1"/>
            <c:invertIfNegative val="0"/>
            <c:bubble3D val="0"/>
            <c:spPr>
              <a:solidFill>
                <a:schemeClr val="accent4">
                  <a:lumMod val="60000"/>
                  <a:lumOff val="40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val>
            <c:numRef>
              <c:f>'Family Structure'!$G$72:$H$72</c:f>
              <c:numCache>
                <c:formatCode>_-* #,##0_-;\-* #,##0_-;_-* "-"??_-;_-@_-</c:formatCode>
                <c:ptCount val="2"/>
                <c:pt idx="0">
                  <c:v>105</c:v>
                </c:pt>
                <c:pt idx="1">
                  <c:v>115</c:v>
                </c:pt>
              </c:numCache>
            </c:numRef>
          </c:val>
        </c:ser>
        <c:ser>
          <c:idx val="3"/>
          <c:order val="3"/>
          <c:tx>
            <c:strRef>
              <c:f>'Family Structure'!$C$73</c:f>
              <c:strCache>
                <c:ptCount val="1"/>
                <c:pt idx="0">
                  <c:v>2014</c:v>
                </c:pt>
              </c:strCache>
            </c:strRef>
          </c:tx>
          <c:spPr>
            <a:solidFill>
              <a:schemeClr val="accent1">
                <a:lumMod val="60000"/>
                <a:lumOff val="40000"/>
              </a:schemeClr>
            </a:solidFill>
          </c:spPr>
          <c:invertIfNegative val="0"/>
          <c:dPt>
            <c:idx val="1"/>
            <c:invertIfNegative val="0"/>
            <c:bubble3D val="0"/>
            <c:spPr>
              <a:solidFill>
                <a:schemeClr val="accent4">
                  <a:lumMod val="60000"/>
                  <a:lumOff val="40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val>
            <c:numRef>
              <c:f>'Family Structure'!$G$73:$H$73</c:f>
              <c:numCache>
                <c:formatCode>_-* #,##0_-;\-* #,##0_-;_-* "-"??_-;_-@_-</c:formatCode>
                <c:ptCount val="2"/>
                <c:pt idx="0">
                  <c:v>80</c:v>
                </c:pt>
                <c:pt idx="1">
                  <c:v>115</c:v>
                </c:pt>
              </c:numCache>
            </c:numRef>
          </c:val>
        </c:ser>
        <c:ser>
          <c:idx val="4"/>
          <c:order val="4"/>
          <c:tx>
            <c:strRef>
              <c:f>'Family Structure'!$C$74</c:f>
              <c:strCache>
                <c:ptCount val="1"/>
                <c:pt idx="0">
                  <c:v>2015</c:v>
                </c:pt>
              </c:strCache>
            </c:strRef>
          </c:tx>
          <c:spPr>
            <a:solidFill>
              <a:schemeClr val="accent1">
                <a:lumMod val="60000"/>
                <a:lumOff val="40000"/>
              </a:schemeClr>
            </a:solidFill>
          </c:spPr>
          <c:invertIfNegative val="0"/>
          <c:dPt>
            <c:idx val="1"/>
            <c:invertIfNegative val="0"/>
            <c:bubble3D val="0"/>
            <c:spPr>
              <a:solidFill>
                <a:schemeClr val="accent4">
                  <a:lumMod val="60000"/>
                  <a:lumOff val="40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val>
            <c:numRef>
              <c:f>'Family Structure'!$G$74:$H$74</c:f>
              <c:numCache>
                <c:formatCode>_-* #,##0_-;\-* #,##0_-;_-* "-"??_-;_-@_-</c:formatCode>
                <c:ptCount val="2"/>
                <c:pt idx="0">
                  <c:v>105</c:v>
                </c:pt>
                <c:pt idx="1">
                  <c:v>105</c:v>
                </c:pt>
              </c:numCache>
            </c:numRef>
          </c:val>
        </c:ser>
        <c:dLbls>
          <c:showLegendKey val="0"/>
          <c:showVal val="0"/>
          <c:showCatName val="0"/>
          <c:showSerName val="0"/>
          <c:showPercent val="0"/>
          <c:showBubbleSize val="0"/>
        </c:dLbls>
        <c:gapWidth val="150"/>
        <c:axId val="126923904"/>
        <c:axId val="126925440"/>
      </c:barChart>
      <c:catAx>
        <c:axId val="126923904"/>
        <c:scaling>
          <c:orientation val="minMax"/>
        </c:scaling>
        <c:delete val="0"/>
        <c:axPos val="b"/>
        <c:majorTickMark val="out"/>
        <c:minorTickMark val="none"/>
        <c:tickLblPos val="nextTo"/>
        <c:crossAx val="126925440"/>
        <c:crosses val="autoZero"/>
        <c:auto val="1"/>
        <c:lblAlgn val="ctr"/>
        <c:lblOffset val="100"/>
        <c:noMultiLvlLbl val="0"/>
      </c:catAx>
      <c:valAx>
        <c:axId val="126925440"/>
        <c:scaling>
          <c:orientation val="minMax"/>
        </c:scaling>
        <c:delete val="0"/>
        <c:axPos val="l"/>
        <c:majorGridlines>
          <c:spPr>
            <a:ln>
              <a:prstDash val="dash"/>
            </a:ln>
          </c:spPr>
        </c:majorGridlines>
        <c:title>
          <c:tx>
            <c:rich>
              <a:bodyPr rot="-5400000" vert="horz"/>
              <a:lstStyle/>
              <a:p>
                <a:pPr>
                  <a:defRPr/>
                </a:pPr>
                <a:r>
                  <a:rPr lang="en-US"/>
                  <a:t>N of lone parents claiming benefits</a:t>
                </a:r>
              </a:p>
            </c:rich>
          </c:tx>
          <c:layout>
            <c:manualLayout>
              <c:xMode val="edge"/>
              <c:yMode val="edge"/>
              <c:x val="2.5711662075298437E-2"/>
              <c:y val="9.0001822688830557E-2"/>
            </c:manualLayout>
          </c:layout>
          <c:overlay val="0"/>
        </c:title>
        <c:numFmt formatCode="_-* #,##0_-;\-* #,##0_-;_-* &quot;-&quot;??_-;_-@_-" sourceLinked="1"/>
        <c:majorTickMark val="out"/>
        <c:minorTickMark val="none"/>
        <c:tickLblPos val="nextTo"/>
        <c:crossAx val="126923904"/>
        <c:crosses val="autoZero"/>
        <c:crossBetween val="between"/>
      </c:valAx>
      <c:spPr>
        <a:solidFill>
          <a:sysClr val="window" lastClr="FFFFFF"/>
        </a:solidFill>
      </c:spPr>
    </c:plotArea>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39"/>
    </mc:Choice>
    <mc:Fallback>
      <c:style val="39"/>
    </mc:Fallback>
  </mc:AlternateContent>
  <c:chart>
    <c:autoTitleDeleted val="0"/>
    <c:plotArea>
      <c:layout/>
      <c:barChart>
        <c:barDir val="col"/>
        <c:grouping val="clustered"/>
        <c:varyColors val="0"/>
        <c:ser>
          <c:idx val="0"/>
          <c:order val="0"/>
          <c:tx>
            <c:strRef>
              <c:f>'Health Indicators'!$E$730</c:f>
              <c:strCache>
                <c:ptCount val="1"/>
                <c:pt idx="0">
                  <c:v>2010/11</c:v>
                </c:pt>
              </c:strCache>
            </c:strRef>
          </c:tx>
          <c:spPr>
            <a:solidFill>
              <a:schemeClr val="accent1">
                <a:lumMod val="60000"/>
                <a:lumOff val="40000"/>
              </a:schemeClr>
            </a:solidFill>
          </c:spPr>
          <c:invertIfNegative val="0"/>
          <c:dPt>
            <c:idx val="7"/>
            <c:invertIfNegative val="0"/>
            <c:bubble3D val="0"/>
            <c:spPr>
              <a:solidFill>
                <a:schemeClr val="accent3">
                  <a:lumMod val="60000"/>
                  <a:lumOff val="40000"/>
                </a:schemeClr>
              </a:solidFill>
            </c:spPr>
          </c:dPt>
          <c:dPt>
            <c:idx val="8"/>
            <c:invertIfNegative val="0"/>
            <c:bubble3D val="0"/>
            <c:spPr>
              <a:solidFill>
                <a:schemeClr val="bg1">
                  <a:lumMod val="75000"/>
                </a:schemeClr>
              </a:solidFill>
            </c:spPr>
          </c:dPt>
          <c:dPt>
            <c:idx val="9"/>
            <c:invertIfNegative val="0"/>
            <c:bubble3D val="0"/>
            <c:spPr>
              <a:solidFill>
                <a:schemeClr val="bg1">
                  <a:lumMod val="7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Indicators'!$J$731:$J$740</c:f>
                <c:numCache>
                  <c:formatCode>General</c:formatCode>
                  <c:ptCount val="10"/>
                  <c:pt idx="0">
                    <c:v>45.477228907285024</c:v>
                  </c:pt>
                  <c:pt idx="1">
                    <c:v>29.613080039071974</c:v>
                  </c:pt>
                  <c:pt idx="2">
                    <c:v>35.832092703168996</c:v>
                  </c:pt>
                  <c:pt idx="3">
                    <c:v>35.421978517725989</c:v>
                  </c:pt>
                  <c:pt idx="4">
                    <c:v>30.343830272677991</c:v>
                  </c:pt>
                  <c:pt idx="5">
                    <c:v>27.058059754831987</c:v>
                  </c:pt>
                  <c:pt idx="6">
                    <c:v>29.230815963896006</c:v>
                  </c:pt>
                  <c:pt idx="7">
                    <c:v>11.591862576186998</c:v>
                  </c:pt>
                  <c:pt idx="8">
                    <c:v>3.2483334309669942</c:v>
                  </c:pt>
                  <c:pt idx="9">
                    <c:v>1.3013335652040041</c:v>
                  </c:pt>
                </c:numCache>
              </c:numRef>
            </c:plus>
            <c:minus>
              <c:numRef>
                <c:f>'Health Indicators'!$K$731:$K$740</c:f>
                <c:numCache>
                  <c:formatCode>General</c:formatCode>
                  <c:ptCount val="10"/>
                  <c:pt idx="0">
                    <c:v>36.742160482030982</c:v>
                  </c:pt>
                  <c:pt idx="1">
                    <c:v>25.536859406304018</c:v>
                  </c:pt>
                  <c:pt idx="2">
                    <c:v>30.516134116254008</c:v>
                  </c:pt>
                  <c:pt idx="3">
                    <c:v>31.585523400481009</c:v>
                  </c:pt>
                  <c:pt idx="4">
                    <c:v>26.127814263814997</c:v>
                  </c:pt>
                  <c:pt idx="5">
                    <c:v>23.43273456864901</c:v>
                  </c:pt>
                  <c:pt idx="6">
                    <c:v>24.329923512856297</c:v>
                  </c:pt>
                  <c:pt idx="7">
                    <c:v>10.949908279629</c:v>
                  </c:pt>
                  <c:pt idx="8">
                    <c:v>3.1930092221369932</c:v>
                  </c:pt>
                  <c:pt idx="9">
                    <c:v>1.2924970263350133</c:v>
                  </c:pt>
                </c:numCache>
              </c:numRef>
            </c:minus>
          </c:errBars>
          <c:cat>
            <c:strRef>
              <c:f>'Health Indicators'!$D$731:$D$740</c:f>
              <c:strCache>
                <c:ptCount val="10"/>
                <c:pt idx="0">
                  <c:v>Adur</c:v>
                </c:pt>
                <c:pt idx="1">
                  <c:v>Arun</c:v>
                </c:pt>
                <c:pt idx="2">
                  <c:v>Chichester</c:v>
                </c:pt>
                <c:pt idx="3">
                  <c:v>Crawley</c:v>
                </c:pt>
                <c:pt idx="4">
                  <c:v>Horsham</c:v>
                </c:pt>
                <c:pt idx="5">
                  <c:v>Mid Sussex</c:v>
                </c:pt>
                <c:pt idx="6">
                  <c:v>Worthing</c:v>
                </c:pt>
                <c:pt idx="7">
                  <c:v>West Sussex</c:v>
                </c:pt>
                <c:pt idx="8">
                  <c:v>South East region</c:v>
                </c:pt>
                <c:pt idx="9">
                  <c:v>England</c:v>
                </c:pt>
              </c:strCache>
            </c:strRef>
          </c:cat>
          <c:val>
            <c:numRef>
              <c:f>'Health Indicators'!$E$731:$E$740</c:f>
              <c:numCache>
                <c:formatCode>General</c:formatCode>
                <c:ptCount val="10"/>
                <c:pt idx="0">
                  <c:v>141.21037463976899</c:v>
                </c:pt>
                <c:pt idx="1">
                  <c:v>137.67720828789501</c:v>
                </c:pt>
                <c:pt idx="2">
                  <c:v>152.48226950354601</c:v>
                </c:pt>
                <c:pt idx="3">
                  <c:v>217.082310376018</c:v>
                </c:pt>
                <c:pt idx="4">
                  <c:v>139.53488372093</c:v>
                </c:pt>
                <c:pt idx="5">
                  <c:v>129.83861181895401</c:v>
                </c:pt>
                <c:pt idx="6">
                  <c:v>107.369448511469</c:v>
                </c:pt>
                <c:pt idx="7">
                  <c:v>148.024875186126</c:v>
                </c:pt>
                <c:pt idx="8">
                  <c:v>140.97298779338399</c:v>
                </c:pt>
                <c:pt idx="9">
                  <c:v>143.298539793092</c:v>
                </c:pt>
              </c:numCache>
            </c:numRef>
          </c:val>
        </c:ser>
        <c:ser>
          <c:idx val="1"/>
          <c:order val="1"/>
          <c:tx>
            <c:strRef>
              <c:f>'Health Indicators'!$F$730</c:f>
              <c:strCache>
                <c:ptCount val="1"/>
                <c:pt idx="0">
                  <c:v>2011/12</c:v>
                </c:pt>
              </c:strCache>
            </c:strRef>
          </c:tx>
          <c:spPr>
            <a:solidFill>
              <a:schemeClr val="accent1">
                <a:lumMod val="60000"/>
                <a:lumOff val="40000"/>
              </a:schemeClr>
            </a:solidFill>
          </c:spPr>
          <c:invertIfNegative val="0"/>
          <c:dPt>
            <c:idx val="7"/>
            <c:invertIfNegative val="0"/>
            <c:bubble3D val="0"/>
            <c:spPr>
              <a:solidFill>
                <a:schemeClr val="accent3">
                  <a:lumMod val="60000"/>
                  <a:lumOff val="40000"/>
                </a:schemeClr>
              </a:solidFill>
            </c:spPr>
          </c:dPt>
          <c:dPt>
            <c:idx val="8"/>
            <c:invertIfNegative val="0"/>
            <c:bubble3D val="0"/>
            <c:spPr>
              <a:solidFill>
                <a:schemeClr val="bg1">
                  <a:lumMod val="75000"/>
                </a:schemeClr>
              </a:solidFill>
            </c:spPr>
          </c:dPt>
          <c:dPt>
            <c:idx val="9"/>
            <c:invertIfNegative val="0"/>
            <c:bubble3D val="0"/>
            <c:spPr>
              <a:solidFill>
                <a:schemeClr val="bg1">
                  <a:lumMod val="7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Indicators'!$L$731:$L$740</c:f>
                <c:numCache>
                  <c:formatCode>General</c:formatCode>
                  <c:ptCount val="10"/>
                  <c:pt idx="0">
                    <c:v>45.677965798132021</c:v>
                  </c:pt>
                  <c:pt idx="1">
                    <c:v>31.561768188016003</c:v>
                  </c:pt>
                  <c:pt idx="2">
                    <c:v>37.646153980545989</c:v>
                  </c:pt>
                  <c:pt idx="3">
                    <c:v>33.291860447423005</c:v>
                  </c:pt>
                  <c:pt idx="4">
                    <c:v>29.863886002368019</c:v>
                  </c:pt>
                  <c:pt idx="5">
                    <c:v>27.778251659713987</c:v>
                  </c:pt>
                  <c:pt idx="6">
                    <c:v>30.843198134623009</c:v>
                  </c:pt>
                  <c:pt idx="7">
                    <c:v>11.754924793216986</c:v>
                  </c:pt>
                  <c:pt idx="8">
                    <c:v>3.2681937774800076</c:v>
                  </c:pt>
                  <c:pt idx="9">
                    <c:v>1.3136186610090022</c:v>
                  </c:pt>
                </c:numCache>
              </c:numRef>
            </c:plus>
            <c:minus>
              <c:numRef>
                <c:f>'Health Indicators'!$M$731:$M$740</c:f>
                <c:numCache>
                  <c:formatCode>General</c:formatCode>
                  <c:ptCount val="10"/>
                  <c:pt idx="0">
                    <c:v>37.211422632850997</c:v>
                  </c:pt>
                  <c:pt idx="1">
                    <c:v>27.585507184783012</c:v>
                  </c:pt>
                  <c:pt idx="2">
                    <c:v>32.339877007729001</c:v>
                  </c:pt>
                  <c:pt idx="3">
                    <c:v>29.644645607842989</c:v>
                  </c:pt>
                  <c:pt idx="4">
                    <c:v>25.674832899131999</c:v>
                  </c:pt>
                  <c:pt idx="5">
                    <c:v>24.194732501246008</c:v>
                  </c:pt>
                  <c:pt idx="6">
                    <c:v>26.1112460190581</c:v>
                  </c:pt>
                  <c:pt idx="7">
                    <c:v>11.127041994471</c:v>
                  </c:pt>
                  <c:pt idx="8">
                    <c:v>3.2139899784799866</c:v>
                  </c:pt>
                  <c:pt idx="9">
                    <c:v>1.3049105354000119</c:v>
                  </c:pt>
                </c:numCache>
              </c:numRef>
            </c:minus>
          </c:errBars>
          <c:cat>
            <c:strRef>
              <c:f>'Health Indicators'!$D$731:$D$740</c:f>
              <c:strCache>
                <c:ptCount val="10"/>
                <c:pt idx="0">
                  <c:v>Adur</c:v>
                </c:pt>
                <c:pt idx="1">
                  <c:v>Arun</c:v>
                </c:pt>
                <c:pt idx="2">
                  <c:v>Chichester</c:v>
                </c:pt>
                <c:pt idx="3">
                  <c:v>Crawley</c:v>
                </c:pt>
                <c:pt idx="4">
                  <c:v>Horsham</c:v>
                </c:pt>
                <c:pt idx="5">
                  <c:v>Mid Sussex</c:v>
                </c:pt>
                <c:pt idx="6">
                  <c:v>Worthing</c:v>
                </c:pt>
                <c:pt idx="7">
                  <c:v>West Sussex</c:v>
                </c:pt>
                <c:pt idx="8">
                  <c:v>South East region</c:v>
                </c:pt>
                <c:pt idx="9">
                  <c:v>England</c:v>
                </c:pt>
              </c:strCache>
            </c:strRef>
          </c:cat>
          <c:val>
            <c:numRef>
              <c:f>'Health Indicators'!$F$731:$F$740</c:f>
              <c:numCache>
                <c:formatCode>General</c:formatCode>
                <c:ptCount val="10"/>
                <c:pt idx="0">
                  <c:v>148.29322887520999</c:v>
                </c:pt>
                <c:pt idx="1">
                  <c:v>162.68835844779301</c:v>
                </c:pt>
                <c:pt idx="2">
                  <c:v>170.212765957447</c:v>
                </c:pt>
                <c:pt idx="3">
                  <c:v>201.399975439027</c:v>
                </c:pt>
                <c:pt idx="4">
                  <c:v>135.79728405431899</c:v>
                </c:pt>
                <c:pt idx="5">
                  <c:v>139.30587246307201</c:v>
                </c:pt>
                <c:pt idx="6">
                  <c:v>126.10340479192899</c:v>
                </c:pt>
                <c:pt idx="7">
                  <c:v>155.98885793871901</c:v>
                </c:pt>
                <c:pt idx="8">
                  <c:v>145.72543693377699</c:v>
                </c:pt>
                <c:pt idx="9">
                  <c:v>148.196948640719</c:v>
                </c:pt>
              </c:numCache>
            </c:numRef>
          </c:val>
        </c:ser>
        <c:ser>
          <c:idx val="2"/>
          <c:order val="2"/>
          <c:tx>
            <c:strRef>
              <c:f>'Health Indicators'!$G$730</c:f>
              <c:strCache>
                <c:ptCount val="1"/>
                <c:pt idx="0">
                  <c:v>2012/13</c:v>
                </c:pt>
              </c:strCache>
            </c:strRef>
          </c:tx>
          <c:spPr>
            <a:solidFill>
              <a:schemeClr val="accent1">
                <a:lumMod val="60000"/>
                <a:lumOff val="40000"/>
              </a:schemeClr>
            </a:solidFill>
          </c:spPr>
          <c:invertIfNegative val="0"/>
          <c:dPt>
            <c:idx val="7"/>
            <c:invertIfNegative val="0"/>
            <c:bubble3D val="0"/>
            <c:spPr>
              <a:solidFill>
                <a:schemeClr val="accent3">
                  <a:lumMod val="60000"/>
                  <a:lumOff val="40000"/>
                </a:schemeClr>
              </a:solidFill>
            </c:spPr>
          </c:dPt>
          <c:dPt>
            <c:idx val="8"/>
            <c:invertIfNegative val="0"/>
            <c:bubble3D val="0"/>
            <c:spPr>
              <a:solidFill>
                <a:schemeClr val="bg1">
                  <a:lumMod val="75000"/>
                </a:schemeClr>
              </a:solidFill>
            </c:spPr>
          </c:dPt>
          <c:dPt>
            <c:idx val="9"/>
            <c:invertIfNegative val="0"/>
            <c:bubble3D val="0"/>
            <c:spPr>
              <a:solidFill>
                <a:schemeClr val="bg1">
                  <a:lumMod val="7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Indicators'!$N$731:$N$740</c:f>
                <c:numCache>
                  <c:formatCode>General</c:formatCode>
                  <c:ptCount val="10"/>
                  <c:pt idx="0">
                    <c:v>46.219133858939017</c:v>
                  </c:pt>
                  <c:pt idx="1">
                    <c:v>29.947839739047993</c:v>
                  </c:pt>
                  <c:pt idx="2">
                    <c:v>31.614587691294986</c:v>
                  </c:pt>
                  <c:pt idx="3">
                    <c:v>31.182056569361009</c:v>
                  </c:pt>
                  <c:pt idx="4">
                    <c:v>28.662145180308002</c:v>
                  </c:pt>
                  <c:pt idx="5">
                    <c:v>23.049740719289602</c:v>
                  </c:pt>
                  <c:pt idx="6">
                    <c:v>29.376031796468013</c:v>
                  </c:pt>
                  <c:pt idx="7">
                    <c:v>10.800881384504009</c:v>
                  </c:pt>
                  <c:pt idx="8">
                    <c:v>3.0472288196779971</c:v>
                  </c:pt>
                  <c:pt idx="9">
                    <c:v>1.24060109562501</c:v>
                  </c:pt>
                </c:numCache>
              </c:numRef>
            </c:plus>
            <c:minus>
              <c:numRef>
                <c:f>'Health Indicators'!$O$731:$O$740</c:f>
                <c:numCache>
                  <c:formatCode>General</c:formatCode>
                  <c:ptCount val="10"/>
                  <c:pt idx="0">
                    <c:v>38.061242639269992</c:v>
                  </c:pt>
                  <c:pt idx="1">
                    <c:v>26.130490704654989</c:v>
                  </c:pt>
                  <c:pt idx="2">
                    <c:v>26.4556233709</c:v>
                  </c:pt>
                  <c:pt idx="3">
                    <c:v>27.607169593389983</c:v>
                  </c:pt>
                  <c:pt idx="4">
                    <c:v>24.498847766284996</c:v>
                  </c:pt>
                  <c:pt idx="5">
                    <c:v>19.513457974426601</c:v>
                  </c:pt>
                  <c:pt idx="6">
                    <c:v>24.613598288522098</c:v>
                  </c:pt>
                  <c:pt idx="7">
                    <c:v>10.185633472196997</c:v>
                  </c:pt>
                  <c:pt idx="8">
                    <c:v>2.9939777583809928</c:v>
                  </c:pt>
                  <c:pt idx="9">
                    <c:v>1.2320582695269877</c:v>
                  </c:pt>
                </c:numCache>
              </c:numRef>
            </c:minus>
          </c:errBars>
          <c:cat>
            <c:strRef>
              <c:f>'Health Indicators'!$D$731:$D$740</c:f>
              <c:strCache>
                <c:ptCount val="10"/>
                <c:pt idx="0">
                  <c:v>Adur</c:v>
                </c:pt>
                <c:pt idx="1">
                  <c:v>Arun</c:v>
                </c:pt>
                <c:pt idx="2">
                  <c:v>Chichester</c:v>
                </c:pt>
                <c:pt idx="3">
                  <c:v>Crawley</c:v>
                </c:pt>
                <c:pt idx="4">
                  <c:v>Horsham</c:v>
                </c:pt>
                <c:pt idx="5">
                  <c:v>Mid Sussex</c:v>
                </c:pt>
                <c:pt idx="6">
                  <c:v>Worthing</c:v>
                </c:pt>
                <c:pt idx="7">
                  <c:v>West Sussex</c:v>
                </c:pt>
                <c:pt idx="8">
                  <c:v>South East region</c:v>
                </c:pt>
                <c:pt idx="9">
                  <c:v>England</c:v>
                </c:pt>
              </c:strCache>
            </c:strRef>
          </c:cat>
          <c:val>
            <c:numRef>
              <c:f>'Health Indicators'!$G$731:$G$740</c:f>
              <c:numCache>
                <c:formatCode>General</c:formatCode>
                <c:ptCount val="10"/>
                <c:pt idx="0">
                  <c:v>159.41637395298599</c:v>
                </c:pt>
                <c:pt idx="1">
                  <c:v>152.29076017404699</c:v>
                </c:pt>
                <c:pt idx="2">
                  <c:v>120.006857534716</c:v>
                </c:pt>
                <c:pt idx="3">
                  <c:v>179.129598461169</c:v>
                </c:pt>
                <c:pt idx="4">
                  <c:v>125.06948304613699</c:v>
                </c:pt>
                <c:pt idx="5">
                  <c:v>94.239604193662402</c:v>
                </c:pt>
                <c:pt idx="6">
                  <c:v>112.395124267849</c:v>
                </c:pt>
                <c:pt idx="7">
                  <c:v>133.842410002517</c:v>
                </c:pt>
                <c:pt idx="8">
                  <c:v>128.823001227758</c:v>
                </c:pt>
                <c:pt idx="9">
                  <c:v>134.69851085474099</c:v>
                </c:pt>
              </c:numCache>
            </c:numRef>
          </c:val>
        </c:ser>
        <c:ser>
          <c:idx val="3"/>
          <c:order val="3"/>
          <c:tx>
            <c:strRef>
              <c:f>'Health Indicators'!$H$730</c:f>
              <c:strCache>
                <c:ptCount val="1"/>
                <c:pt idx="0">
                  <c:v>2013/14</c:v>
                </c:pt>
              </c:strCache>
            </c:strRef>
          </c:tx>
          <c:spPr>
            <a:solidFill>
              <a:schemeClr val="accent1">
                <a:lumMod val="60000"/>
                <a:lumOff val="40000"/>
              </a:schemeClr>
            </a:solidFill>
          </c:spPr>
          <c:invertIfNegative val="0"/>
          <c:dPt>
            <c:idx val="7"/>
            <c:invertIfNegative val="0"/>
            <c:bubble3D val="0"/>
            <c:spPr>
              <a:solidFill>
                <a:schemeClr val="accent3">
                  <a:lumMod val="60000"/>
                  <a:lumOff val="40000"/>
                </a:schemeClr>
              </a:solidFill>
            </c:spPr>
          </c:dPt>
          <c:dPt>
            <c:idx val="8"/>
            <c:invertIfNegative val="0"/>
            <c:bubble3D val="0"/>
            <c:spPr>
              <a:solidFill>
                <a:schemeClr val="bg1">
                  <a:lumMod val="75000"/>
                </a:schemeClr>
              </a:solidFill>
            </c:spPr>
          </c:dPt>
          <c:dPt>
            <c:idx val="9"/>
            <c:invertIfNegative val="0"/>
            <c:bubble3D val="0"/>
            <c:spPr>
              <a:solidFill>
                <a:schemeClr val="bg1">
                  <a:lumMod val="7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Indicators'!$P$731:$P$740</c:f>
                <c:numCache>
                  <c:formatCode>General</c:formatCode>
                  <c:ptCount val="10"/>
                  <c:pt idx="0">
                    <c:v>44.164442703605999</c:v>
                  </c:pt>
                  <c:pt idx="1">
                    <c:v>28.850593061533004</c:v>
                  </c:pt>
                  <c:pt idx="2">
                    <c:v>39.52475398765398</c:v>
                  </c:pt>
                  <c:pt idx="3">
                    <c:v>29.561556397223995</c:v>
                  </c:pt>
                  <c:pt idx="4">
                    <c:v>31.590681887272979</c:v>
                  </c:pt>
                  <c:pt idx="5">
                    <c:v>25.041610531824006</c:v>
                  </c:pt>
                  <c:pt idx="6">
                    <c:v>31.433879102868005</c:v>
                  </c:pt>
                  <c:pt idx="7">
                    <c:v>11.299939188645993</c:v>
                  </c:pt>
                  <c:pt idx="8">
                    <c:v>3.1113127080460004</c:v>
                  </c:pt>
                  <c:pt idx="9">
                    <c:v>1.2643645531590266</c:v>
                  </c:pt>
                </c:numCache>
              </c:numRef>
            </c:plus>
            <c:minus>
              <c:numRef>
                <c:f>'Health Indicators'!$Q$731:$Q$740</c:f>
                <c:numCache>
                  <c:formatCode>General</c:formatCode>
                  <c:ptCount val="10"/>
                  <c:pt idx="0">
                    <c:v>36.181198672397002</c:v>
                  </c:pt>
                  <c:pt idx="1">
                    <c:v>25.113580940334998</c:v>
                  </c:pt>
                  <c:pt idx="2">
                    <c:v>34.362798787481012</c:v>
                  </c:pt>
                  <c:pt idx="3">
                    <c:v>25.998261432944986</c:v>
                  </c:pt>
                  <c:pt idx="4">
                    <c:v>27.430224508596012</c:v>
                  </c:pt>
                  <c:pt idx="5">
                    <c:v>21.545761773372888</c:v>
                  </c:pt>
                  <c:pt idx="6">
                    <c:v>26.583127690476999</c:v>
                  </c:pt>
                  <c:pt idx="7">
                    <c:v>10.687258379895013</c:v>
                  </c:pt>
                  <c:pt idx="8">
                    <c:v>3.0582438763809989</c:v>
                  </c:pt>
                  <c:pt idx="9">
                    <c:v>1.2558740410409825</c:v>
                  </c:pt>
                </c:numCache>
              </c:numRef>
            </c:minus>
          </c:errBars>
          <c:cat>
            <c:strRef>
              <c:f>'Health Indicators'!$D$731:$D$740</c:f>
              <c:strCache>
                <c:ptCount val="10"/>
                <c:pt idx="0">
                  <c:v>Adur</c:v>
                </c:pt>
                <c:pt idx="1">
                  <c:v>Arun</c:v>
                </c:pt>
                <c:pt idx="2">
                  <c:v>Chichester</c:v>
                </c:pt>
                <c:pt idx="3">
                  <c:v>Crawley</c:v>
                </c:pt>
                <c:pt idx="4">
                  <c:v>Horsham</c:v>
                </c:pt>
                <c:pt idx="5">
                  <c:v>Mid Sussex</c:v>
                </c:pt>
                <c:pt idx="6">
                  <c:v>Worthing</c:v>
                </c:pt>
                <c:pt idx="7">
                  <c:v>West Sussex</c:v>
                </c:pt>
                <c:pt idx="8">
                  <c:v>South East region</c:v>
                </c:pt>
                <c:pt idx="9">
                  <c:v>England</c:v>
                </c:pt>
              </c:strCache>
            </c:strRef>
          </c:cat>
          <c:val>
            <c:numRef>
              <c:f>'Health Indicators'!$H$731:$H$740</c:f>
              <c:numCache>
                <c:formatCode>General</c:formatCode>
                <c:ptCount val="10"/>
                <c:pt idx="0">
                  <c:v>147.91336502905401</c:v>
                </c:pt>
                <c:pt idx="1">
                  <c:v>144.00200350613599</c:v>
                </c:pt>
                <c:pt idx="2">
                  <c:v>195.40031125713301</c:v>
                </c:pt>
                <c:pt idx="3">
                  <c:v>160.344621275577</c:v>
                </c:pt>
                <c:pt idx="4">
                  <c:v>154.66072175003501</c:v>
                </c:pt>
                <c:pt idx="5">
                  <c:v>114.51273662070599</c:v>
                </c:pt>
                <c:pt idx="6">
                  <c:v>127.625201938611</c:v>
                </c:pt>
                <c:pt idx="7">
                  <c:v>147.58450571733201</c:v>
                </c:pt>
                <c:pt idx="8">
                  <c:v>134.82341639103501</c:v>
                </c:pt>
                <c:pt idx="9">
                  <c:v>140.79721627471699</c:v>
                </c:pt>
              </c:numCache>
            </c:numRef>
          </c:val>
        </c:ser>
        <c:dLbls>
          <c:showLegendKey val="0"/>
          <c:showVal val="0"/>
          <c:showCatName val="0"/>
          <c:showSerName val="0"/>
          <c:showPercent val="0"/>
          <c:showBubbleSize val="0"/>
        </c:dLbls>
        <c:gapWidth val="150"/>
        <c:axId val="128366464"/>
        <c:axId val="128368000"/>
      </c:barChart>
      <c:catAx>
        <c:axId val="128366464"/>
        <c:scaling>
          <c:orientation val="minMax"/>
        </c:scaling>
        <c:delete val="0"/>
        <c:axPos val="b"/>
        <c:majorTickMark val="out"/>
        <c:minorTickMark val="none"/>
        <c:tickLblPos val="nextTo"/>
        <c:crossAx val="128368000"/>
        <c:crosses val="autoZero"/>
        <c:auto val="1"/>
        <c:lblAlgn val="ctr"/>
        <c:lblOffset val="100"/>
        <c:noMultiLvlLbl val="0"/>
      </c:catAx>
      <c:valAx>
        <c:axId val="128368000"/>
        <c:scaling>
          <c:orientation val="minMax"/>
        </c:scaling>
        <c:delete val="0"/>
        <c:axPos val="l"/>
        <c:majorGridlines>
          <c:spPr>
            <a:ln>
              <a:solidFill>
                <a:schemeClr val="bg1">
                  <a:lumMod val="65000"/>
                </a:schemeClr>
              </a:solidFill>
            </a:ln>
          </c:spPr>
        </c:majorGridlines>
        <c:title>
          <c:tx>
            <c:rich>
              <a:bodyPr rot="-5400000" vert="horz"/>
              <a:lstStyle/>
              <a:p>
                <a:pPr>
                  <a:defRPr/>
                </a:pPr>
                <a:r>
                  <a:rPr lang="en-US" sz="1050"/>
                  <a:t>Rate of admissions of 0-4 year olds (per 10,000)</a:t>
                </a:r>
              </a:p>
            </c:rich>
          </c:tx>
          <c:layout/>
          <c:overlay val="0"/>
        </c:title>
        <c:numFmt formatCode="General" sourceLinked="1"/>
        <c:majorTickMark val="out"/>
        <c:minorTickMark val="none"/>
        <c:tickLblPos val="nextTo"/>
        <c:crossAx val="128366464"/>
        <c:crosses val="autoZero"/>
        <c:crossBetween val="between"/>
      </c:valAx>
      <c:spPr>
        <a:solidFill>
          <a:schemeClr val="bg1"/>
        </a:solidFill>
      </c:spPr>
    </c:plotArea>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38"/>
    </mc:Choice>
    <mc:Fallback>
      <c:style val="38"/>
    </mc:Fallback>
  </mc:AlternateContent>
  <c:chart>
    <c:autoTitleDeleted val="0"/>
    <c:plotArea>
      <c:layout/>
      <c:barChart>
        <c:barDir val="col"/>
        <c:grouping val="clustered"/>
        <c:varyColors val="0"/>
        <c:ser>
          <c:idx val="0"/>
          <c:order val="0"/>
          <c:tx>
            <c:strRef>
              <c:f>'Health Indicators'!$E$67</c:f>
              <c:strCache>
                <c:ptCount val="1"/>
                <c:pt idx="0">
                  <c:v>Kingston Buci</c:v>
                </c:pt>
              </c:strCache>
            </c:strRef>
          </c:tx>
          <c:spPr>
            <a:solidFill>
              <a:schemeClr val="accent1">
                <a:lumMod val="40000"/>
                <a:lumOff val="60000"/>
              </a:schemeClr>
            </a:solidFill>
          </c:spPr>
          <c:invertIfNegative val="0"/>
          <c:errBars>
            <c:errBarType val="both"/>
            <c:errValType val="cust"/>
            <c:noEndCap val="0"/>
            <c:plus>
              <c:numRef>
                <c:f>('Health Indicators'!$T$64:$T$65,'Health Indicators'!$S$64:$S$65)</c:f>
                <c:numCache>
                  <c:formatCode>General</c:formatCode>
                  <c:ptCount val="4"/>
                  <c:pt idx="0">
                    <c:v>7.3851156952820629E-2</c:v>
                  </c:pt>
                  <c:pt idx="1">
                    <c:v>8.836203768167944E-2</c:v>
                  </c:pt>
                  <c:pt idx="2">
                    <c:v>7.2000852711420427E-2</c:v>
                  </c:pt>
                  <c:pt idx="3">
                    <c:v>8.3663406288971398E-2</c:v>
                  </c:pt>
                </c:numCache>
              </c:numRef>
            </c:plus>
            <c:minus>
              <c:numRef>
                <c:f>('Health Indicators'!$R$64:$R$65,'Health Indicators'!$Q$64:$Q$65)</c:f>
                <c:numCache>
                  <c:formatCode>General</c:formatCode>
                  <c:ptCount val="4"/>
                  <c:pt idx="0">
                    <c:v>7.0210074011953949E-2</c:v>
                  </c:pt>
                  <c:pt idx="1">
                    <c:v>8.3191155835114383E-2</c:v>
                  </c:pt>
                  <c:pt idx="2">
                    <c:v>7.3700024750491588E-2</c:v>
                  </c:pt>
                  <c:pt idx="3">
                    <c:v>8.8341823197768454E-2</c:v>
                  </c:pt>
                </c:numCache>
              </c:numRef>
            </c:minus>
          </c:errBars>
          <c:cat>
            <c:multiLvlStrRef>
              <c:f>'Health Indicators'!$F$65:$I$66</c:f>
              <c:multiLvlStrCache>
                <c:ptCount val="4"/>
                <c:lvl>
                  <c:pt idx="0">
                    <c:v>2012/13</c:v>
                  </c:pt>
                  <c:pt idx="1">
                    <c:v>2014/15</c:v>
                  </c:pt>
                  <c:pt idx="2">
                    <c:v>2012/13</c:v>
                  </c:pt>
                  <c:pt idx="3">
                    <c:v>2014/15</c:v>
                  </c:pt>
                </c:lvl>
                <c:lvl>
                  <c:pt idx="0">
                    <c:v>babies exclusively breastfed</c:v>
                  </c:pt>
                  <c:pt idx="2">
                    <c:v>babies partially and exclusively breastfed</c:v>
                  </c:pt>
                </c:lvl>
              </c:multiLvlStrCache>
            </c:multiLvlStrRef>
          </c:cat>
          <c:val>
            <c:numRef>
              <c:f>'Health Indicators'!$F$67:$I$67</c:f>
              <c:numCache>
                <c:formatCode>0.0%</c:formatCode>
                <c:ptCount val="4"/>
                <c:pt idx="0">
                  <c:v>0.41477272727272729</c:v>
                </c:pt>
                <c:pt idx="1">
                  <c:v>0.42857142857142855</c:v>
                </c:pt>
                <c:pt idx="2">
                  <c:v>0.53977272727272729</c:v>
                </c:pt>
                <c:pt idx="3">
                  <c:v>0.64935064935064934</c:v>
                </c:pt>
              </c:numCache>
            </c:numRef>
          </c:val>
        </c:ser>
        <c:ser>
          <c:idx val="1"/>
          <c:order val="1"/>
          <c:tx>
            <c:strRef>
              <c:f>'Health Indicators'!$E$68</c:f>
              <c:strCache>
                <c:ptCount val="1"/>
                <c:pt idx="0">
                  <c:v>Stepping Stones</c:v>
                </c:pt>
              </c:strCache>
            </c:strRef>
          </c:tx>
          <c:spPr>
            <a:solidFill>
              <a:schemeClr val="accent4">
                <a:lumMod val="40000"/>
                <a:lumOff val="60000"/>
              </a:schemeClr>
            </a:solidFill>
          </c:spPr>
          <c:invertIfNegative val="0"/>
          <c:dPt>
            <c:idx val="0"/>
            <c:invertIfNegative val="0"/>
            <c:bubble3D val="0"/>
          </c:dPt>
          <c:errBars>
            <c:errBarType val="both"/>
            <c:errValType val="cust"/>
            <c:noEndCap val="0"/>
            <c:plus>
              <c:numRef>
                <c:f>('Health Indicators'!$T$67:$T$68,'Health Indicators'!$S$67:$S$68)</c:f>
                <c:numCache>
                  <c:formatCode>General</c:formatCode>
                  <c:ptCount val="4"/>
                  <c:pt idx="0">
                    <c:v>7.8960239644243646E-2</c:v>
                  </c:pt>
                  <c:pt idx="1">
                    <c:v>9.6713178279152934E-2</c:v>
                  </c:pt>
                  <c:pt idx="2">
                    <c:v>7.0895131834366798E-2</c:v>
                  </c:pt>
                  <c:pt idx="3">
                    <c:v>9.5255527590874189E-2</c:v>
                  </c:pt>
                </c:numCache>
              </c:numRef>
            </c:plus>
            <c:minus>
              <c:numRef>
                <c:f>('Health Indicators'!$R$67:$R$68,'Health Indicators'!$Q$67:$Q$68)</c:f>
                <c:numCache>
                  <c:formatCode>General</c:formatCode>
                  <c:ptCount val="4"/>
                  <c:pt idx="0">
                    <c:v>7.5483460883910836E-2</c:v>
                  </c:pt>
                  <c:pt idx="1">
                    <c:v>8.6749992591888481E-2</c:v>
                  </c:pt>
                  <c:pt idx="2">
                    <c:v>7.816476015142626E-2</c:v>
                  </c:pt>
                  <c:pt idx="3">
                    <c:v>9.5255527590874134E-2</c:v>
                  </c:pt>
                </c:numCache>
              </c:numRef>
            </c:minus>
          </c:errBars>
          <c:cat>
            <c:multiLvlStrRef>
              <c:f>'Health Indicators'!$F$65:$I$66</c:f>
              <c:multiLvlStrCache>
                <c:ptCount val="4"/>
                <c:lvl>
                  <c:pt idx="0">
                    <c:v>2012/13</c:v>
                  </c:pt>
                  <c:pt idx="1">
                    <c:v>2014/15</c:v>
                  </c:pt>
                  <c:pt idx="2">
                    <c:v>2012/13</c:v>
                  </c:pt>
                  <c:pt idx="3">
                    <c:v>2014/15</c:v>
                  </c:pt>
                </c:lvl>
                <c:lvl>
                  <c:pt idx="0">
                    <c:v>babies exclusively breastfed</c:v>
                  </c:pt>
                  <c:pt idx="2">
                    <c:v>babies partially and exclusively breastfed</c:v>
                  </c:pt>
                </c:lvl>
              </c:multiLvlStrCache>
            </c:multiLvlStrRef>
          </c:cat>
          <c:val>
            <c:numRef>
              <c:f>'Health Indicators'!$F$68:$I$68</c:f>
              <c:numCache>
                <c:formatCode>0.0%</c:formatCode>
                <c:ptCount val="4"/>
                <c:pt idx="0">
                  <c:v>0.41463414634146339</c:v>
                </c:pt>
                <c:pt idx="1">
                  <c:v>0.36274509803921567</c:v>
                </c:pt>
                <c:pt idx="2">
                  <c:v>0.57723577235772361</c:v>
                </c:pt>
                <c:pt idx="3">
                  <c:v>0.5</c:v>
                </c:pt>
              </c:numCache>
            </c:numRef>
          </c:val>
        </c:ser>
        <c:ser>
          <c:idx val="2"/>
          <c:order val="2"/>
          <c:tx>
            <c:strRef>
              <c:f>'Health Indicators'!$E$69</c:f>
              <c:strCache>
                <c:ptCount val="1"/>
                <c:pt idx="0">
                  <c:v>West Sussex</c:v>
                </c:pt>
              </c:strCache>
            </c:strRef>
          </c:tx>
          <c:spPr>
            <a:solidFill>
              <a:schemeClr val="accent3">
                <a:lumMod val="60000"/>
                <a:lumOff val="40000"/>
              </a:schemeClr>
            </a:solidFill>
          </c:spPr>
          <c:invertIfNegative val="0"/>
          <c:errBars>
            <c:errBarType val="both"/>
            <c:errValType val="cust"/>
            <c:noEndCap val="0"/>
            <c:plus>
              <c:numRef>
                <c:f>('Health Indicators'!$T$66,'Health Indicators'!$T$69,'Health Indicators'!$S$66,'Health Indicators'!$S$69)</c:f>
                <c:numCache>
                  <c:formatCode>General</c:formatCode>
                  <c:ptCount val="4"/>
                  <c:pt idx="0">
                    <c:v>1.0649123126649174E-2</c:v>
                  </c:pt>
                  <c:pt idx="1">
                    <c:v>1.0935801560433722E-2</c:v>
                  </c:pt>
                  <c:pt idx="2">
                    <c:v>1.0659375451263498E-2</c:v>
                  </c:pt>
                  <c:pt idx="3">
                    <c:v>1.0972433343733989E-2</c:v>
                  </c:pt>
                </c:numCache>
              </c:numRef>
            </c:plus>
            <c:minus>
              <c:numRef>
                <c:f>('Health Indicators'!$R$66,'Health Indicators'!$R$69,'Health Indicators'!$Q$66,'Health Indicators'!$Q$69)</c:f>
                <c:numCache>
                  <c:formatCode>General</c:formatCode>
                  <c:ptCount val="4"/>
                  <c:pt idx="0">
                    <c:v>1.0576061592882935E-2</c:v>
                  </c:pt>
                  <c:pt idx="1">
                    <c:v>1.0841855944892786E-2</c:v>
                  </c:pt>
                  <c:pt idx="2">
                    <c:v>1.0709624548736474E-2</c:v>
                  </c:pt>
                  <c:pt idx="3">
                    <c:v>1.1034706226567326E-2</c:v>
                  </c:pt>
                </c:numCache>
              </c:numRef>
            </c:minus>
          </c:errBars>
          <c:cat>
            <c:multiLvlStrRef>
              <c:f>'Health Indicators'!$F$65:$I$66</c:f>
              <c:multiLvlStrCache>
                <c:ptCount val="4"/>
                <c:lvl>
                  <c:pt idx="0">
                    <c:v>2012/13</c:v>
                  </c:pt>
                  <c:pt idx="1">
                    <c:v>2014/15</c:v>
                  </c:pt>
                  <c:pt idx="2">
                    <c:v>2012/13</c:v>
                  </c:pt>
                  <c:pt idx="3">
                    <c:v>2014/15</c:v>
                  </c:pt>
                </c:lvl>
                <c:lvl>
                  <c:pt idx="0">
                    <c:v>babies exclusively breastfed</c:v>
                  </c:pt>
                  <c:pt idx="2">
                    <c:v>babies partially and exclusively breastfed</c:v>
                  </c:pt>
                </c:lvl>
              </c:multiLvlStrCache>
            </c:multiLvlStrRef>
          </c:cat>
          <c:val>
            <c:numRef>
              <c:f>'Health Indicators'!$F$69:$I$69</c:f>
              <c:numCache>
                <c:formatCode>0.0%</c:formatCode>
                <c:ptCount val="4"/>
                <c:pt idx="0">
                  <c:v>0.42093862815884475</c:v>
                </c:pt>
                <c:pt idx="1">
                  <c:v>0.40456351749775671</c:v>
                </c:pt>
                <c:pt idx="2">
                  <c:v>0.55415162454873645</c:v>
                </c:pt>
                <c:pt idx="3">
                  <c:v>0.56326112036918341</c:v>
                </c:pt>
              </c:numCache>
            </c:numRef>
          </c:val>
        </c:ser>
        <c:dLbls>
          <c:showLegendKey val="0"/>
          <c:showVal val="0"/>
          <c:showCatName val="0"/>
          <c:showSerName val="0"/>
          <c:showPercent val="0"/>
          <c:showBubbleSize val="0"/>
        </c:dLbls>
        <c:gapWidth val="150"/>
        <c:axId val="108347776"/>
        <c:axId val="108349312"/>
      </c:barChart>
      <c:catAx>
        <c:axId val="108347776"/>
        <c:scaling>
          <c:orientation val="minMax"/>
        </c:scaling>
        <c:delete val="0"/>
        <c:axPos val="b"/>
        <c:numFmt formatCode="General" sourceLinked="1"/>
        <c:majorTickMark val="out"/>
        <c:minorTickMark val="none"/>
        <c:tickLblPos val="nextTo"/>
        <c:crossAx val="108349312"/>
        <c:crosses val="autoZero"/>
        <c:auto val="1"/>
        <c:lblAlgn val="ctr"/>
        <c:lblOffset val="100"/>
        <c:noMultiLvlLbl val="0"/>
      </c:catAx>
      <c:valAx>
        <c:axId val="108349312"/>
        <c:scaling>
          <c:orientation val="minMax"/>
        </c:scaling>
        <c:delete val="0"/>
        <c:axPos val="l"/>
        <c:majorGridlines>
          <c:spPr>
            <a:ln>
              <a:solidFill>
                <a:schemeClr val="bg1">
                  <a:lumMod val="75000"/>
                </a:schemeClr>
              </a:solidFill>
            </a:ln>
          </c:spPr>
        </c:majorGridlines>
        <c:title>
          <c:tx>
            <c:rich>
              <a:bodyPr rot="-5400000" vert="horz"/>
              <a:lstStyle/>
              <a:p>
                <a:pPr>
                  <a:defRPr/>
                </a:pPr>
                <a:r>
                  <a:rPr lang="en-GB"/>
                  <a:t>% checked babies breastfed</a:t>
                </a:r>
              </a:p>
            </c:rich>
          </c:tx>
          <c:layout/>
          <c:overlay val="0"/>
        </c:title>
        <c:numFmt formatCode="0%" sourceLinked="0"/>
        <c:majorTickMark val="out"/>
        <c:minorTickMark val="none"/>
        <c:tickLblPos val="nextTo"/>
        <c:crossAx val="108347776"/>
        <c:crosses val="autoZero"/>
        <c:crossBetween val="between"/>
      </c:valAx>
      <c:spPr>
        <a:solidFill>
          <a:schemeClr val="bg1"/>
        </a:solidFill>
      </c:spPr>
    </c:plotArea>
    <c:legend>
      <c:legendPos val="r"/>
      <c:layout/>
      <c:overlay val="0"/>
    </c:legend>
    <c:plotVisOnly val="1"/>
    <c:dispBlanksAs val="gap"/>
    <c:showDLblsOverMax val="0"/>
  </c:chart>
  <c:spPr>
    <a:ln>
      <a:noFill/>
    </a:ln>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38"/>
    </mc:Choice>
    <mc:Fallback>
      <c:style val="38"/>
    </mc:Fallback>
  </mc:AlternateContent>
  <c:chart>
    <c:autoTitleDeleted val="0"/>
    <c:plotArea>
      <c:layout>
        <c:manualLayout>
          <c:layoutTarget val="inner"/>
          <c:xMode val="edge"/>
          <c:yMode val="edge"/>
          <c:x val="8.2725225860274323E-2"/>
          <c:y val="4.2037519949490232E-2"/>
          <c:w val="0.89348547965744207"/>
          <c:h val="0.84955913715321629"/>
        </c:manualLayout>
      </c:layout>
      <c:barChart>
        <c:barDir val="col"/>
        <c:grouping val="clustered"/>
        <c:varyColors val="0"/>
        <c:ser>
          <c:idx val="0"/>
          <c:order val="0"/>
          <c:tx>
            <c:strRef>
              <c:f>'Health Indicators'!$C$243</c:f>
              <c:strCache>
                <c:ptCount val="1"/>
                <c:pt idx="0">
                  <c:v>2009/10</c:v>
                </c:pt>
              </c:strCache>
            </c:strRef>
          </c:tx>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40000"/>
                  <a:lumOff val="60000"/>
                </a:schemeClr>
              </a:solidFill>
            </c:spPr>
          </c:dPt>
          <c:dPt>
            <c:idx val="2"/>
            <c:invertIfNegative val="0"/>
            <c:bubble3D val="0"/>
            <c:spPr>
              <a:solidFill>
                <a:schemeClr val="accent3">
                  <a:lumMod val="40000"/>
                  <a:lumOff val="6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Indicators'!$D$245:$G$245</c:f>
                <c:numCache>
                  <c:formatCode>General</c:formatCode>
                  <c:ptCount val="4"/>
                  <c:pt idx="0">
                    <c:v>5.1622522450943217E-2</c:v>
                  </c:pt>
                  <c:pt idx="1">
                    <c:v>6.7778448033775918E-2</c:v>
                  </c:pt>
                  <c:pt idx="2">
                    <c:v>6.0000000000000053E-3</c:v>
                  </c:pt>
                  <c:pt idx="3">
                    <c:v>1.0000000000000009E-3</c:v>
                  </c:pt>
                </c:numCache>
              </c:numRef>
            </c:plus>
            <c:minus>
              <c:numRef>
                <c:f>'Health Indicators'!$D$244:$G$244</c:f>
                <c:numCache>
                  <c:formatCode>General</c:formatCode>
                  <c:ptCount val="4"/>
                  <c:pt idx="0">
                    <c:v>2.5217155828076224E-2</c:v>
                  </c:pt>
                  <c:pt idx="1">
                    <c:v>2.8608562696341055E-2</c:v>
                  </c:pt>
                  <c:pt idx="2">
                    <c:v>6.0000000000000053E-3</c:v>
                  </c:pt>
                  <c:pt idx="3">
                    <c:v>1.0000000000000009E-3</c:v>
                  </c:pt>
                </c:numCache>
              </c:numRef>
            </c:minus>
          </c:errBars>
          <c:cat>
            <c:strRef>
              <c:f>'Health Indicators'!$D$242:$G$242</c:f>
              <c:strCache>
                <c:ptCount val="4"/>
                <c:pt idx="0">
                  <c:v>Kingston Buci</c:v>
                </c:pt>
                <c:pt idx="1">
                  <c:v>Stepping Stones</c:v>
                </c:pt>
                <c:pt idx="2">
                  <c:v>West Sussex</c:v>
                </c:pt>
                <c:pt idx="3">
                  <c:v>England</c:v>
                </c:pt>
              </c:strCache>
            </c:strRef>
          </c:cat>
          <c:val>
            <c:numRef>
              <c:f>'Health Indicators'!$D$243:$G$243</c:f>
              <c:numCache>
                <c:formatCode>0.0%</c:formatCode>
                <c:ptCount val="4"/>
                <c:pt idx="0">
                  <c:v>4.6875E-2</c:v>
                </c:pt>
                <c:pt idx="1">
                  <c:v>4.7058823529411764E-2</c:v>
                </c:pt>
                <c:pt idx="2">
                  <c:v>7.8E-2</c:v>
                </c:pt>
                <c:pt idx="3">
                  <c:v>9.8000000000000004E-2</c:v>
                </c:pt>
              </c:numCache>
            </c:numRef>
          </c:val>
        </c:ser>
        <c:ser>
          <c:idx val="1"/>
          <c:order val="1"/>
          <c:tx>
            <c:strRef>
              <c:f>'Health Indicators'!$C$246</c:f>
              <c:strCache>
                <c:ptCount val="1"/>
                <c:pt idx="0">
                  <c:v>2010/11</c:v>
                </c:pt>
              </c:strCache>
            </c:strRef>
          </c:tx>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40000"/>
                  <a:lumOff val="60000"/>
                </a:schemeClr>
              </a:solidFill>
            </c:spPr>
          </c:dPt>
          <c:dPt>
            <c:idx val="2"/>
            <c:invertIfNegative val="0"/>
            <c:bubble3D val="0"/>
            <c:spPr>
              <a:solidFill>
                <a:schemeClr val="accent3">
                  <a:lumMod val="40000"/>
                  <a:lumOff val="6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Indicators'!$D$248:$G$248</c:f>
                <c:numCache>
                  <c:formatCode>General</c:formatCode>
                  <c:ptCount val="4"/>
                  <c:pt idx="0">
                    <c:v>4.8306466415456148E-2</c:v>
                  </c:pt>
                  <c:pt idx="1">
                    <c:v>5.480288536236734E-2</c:v>
                  </c:pt>
                  <c:pt idx="2">
                    <c:v>6.0000000000000053E-3</c:v>
                  </c:pt>
                  <c:pt idx="3">
                    <c:v>1.0000000000000009E-3</c:v>
                  </c:pt>
                </c:numCache>
              </c:numRef>
            </c:plus>
            <c:minus>
              <c:numRef>
                <c:f>'Health Indicators'!$D$247:$G$247</c:f>
                <c:numCache>
                  <c:formatCode>General</c:formatCode>
                  <c:ptCount val="4"/>
                  <c:pt idx="0">
                    <c:v>2.704656552851218E-2</c:v>
                  </c:pt>
                  <c:pt idx="1">
                    <c:v>2.6885635585534206E-2</c:v>
                  </c:pt>
                  <c:pt idx="2">
                    <c:v>6.0000000000000053E-3</c:v>
                  </c:pt>
                  <c:pt idx="3">
                    <c:v>1.0000000000000009E-3</c:v>
                  </c:pt>
                </c:numCache>
              </c:numRef>
            </c:minus>
          </c:errBars>
          <c:cat>
            <c:strRef>
              <c:f>'Health Indicators'!$D$242:$G$242</c:f>
              <c:strCache>
                <c:ptCount val="4"/>
                <c:pt idx="0">
                  <c:v>Kingston Buci</c:v>
                </c:pt>
                <c:pt idx="1">
                  <c:v>Stepping Stones</c:v>
                </c:pt>
                <c:pt idx="2">
                  <c:v>West Sussex</c:v>
                </c:pt>
                <c:pt idx="3">
                  <c:v>England</c:v>
                </c:pt>
              </c:strCache>
            </c:strRef>
          </c:cat>
          <c:val>
            <c:numRef>
              <c:f>'Health Indicators'!$D$246:$G$246</c:f>
              <c:numCache>
                <c:formatCode>0.0%</c:formatCode>
                <c:ptCount val="4"/>
                <c:pt idx="0">
                  <c:v>5.7692307692307696E-2</c:v>
                </c:pt>
                <c:pt idx="1">
                  <c:v>0.05</c:v>
                </c:pt>
                <c:pt idx="2">
                  <c:v>0.08</c:v>
                </c:pt>
                <c:pt idx="3">
                  <c:v>9.4E-2</c:v>
                </c:pt>
              </c:numCache>
            </c:numRef>
          </c:val>
        </c:ser>
        <c:ser>
          <c:idx val="2"/>
          <c:order val="2"/>
          <c:tx>
            <c:strRef>
              <c:f>'Health Indicators'!$C$249</c:f>
              <c:strCache>
                <c:ptCount val="1"/>
                <c:pt idx="0">
                  <c:v>2011/12</c:v>
                </c:pt>
              </c:strCache>
            </c:strRef>
          </c:tx>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40000"/>
                  <a:lumOff val="60000"/>
                </a:schemeClr>
              </a:solidFill>
            </c:spPr>
          </c:dPt>
          <c:dPt>
            <c:idx val="2"/>
            <c:invertIfNegative val="0"/>
            <c:bubble3D val="0"/>
            <c:spPr>
              <a:solidFill>
                <a:schemeClr val="accent3">
                  <a:lumMod val="40000"/>
                  <a:lumOff val="6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Indicators'!$D$251:$G$251</c:f>
                <c:numCache>
                  <c:formatCode>General</c:formatCode>
                  <c:ptCount val="4"/>
                  <c:pt idx="0">
                    <c:v>5.632224465307753E-2</c:v>
                  </c:pt>
                  <c:pt idx="1">
                    <c:v>8.5581454181943073E-2</c:v>
                  </c:pt>
                  <c:pt idx="2">
                    <c:v>6.0000000000000053E-3</c:v>
                  </c:pt>
                  <c:pt idx="3">
                    <c:v>1.0000000000000009E-3</c:v>
                  </c:pt>
                </c:numCache>
              </c:numRef>
            </c:plus>
            <c:minus>
              <c:numRef>
                <c:f>'Health Indicators'!$D$250:$G$250</c:f>
                <c:numCache>
                  <c:formatCode>General</c:formatCode>
                  <c:ptCount val="4"/>
                  <c:pt idx="0">
                    <c:v>3.1899483327006609E-2</c:v>
                  </c:pt>
                  <c:pt idx="1">
                    <c:v>5.6827414042257954E-2</c:v>
                  </c:pt>
                  <c:pt idx="2">
                    <c:v>6.0000000000000053E-3</c:v>
                  </c:pt>
                  <c:pt idx="3">
                    <c:v>1.0000000000000009E-3</c:v>
                  </c:pt>
                </c:numCache>
              </c:numRef>
            </c:minus>
          </c:errBars>
          <c:cat>
            <c:strRef>
              <c:f>'Health Indicators'!$D$242:$G$242</c:f>
              <c:strCache>
                <c:ptCount val="4"/>
                <c:pt idx="0">
                  <c:v>Kingston Buci</c:v>
                </c:pt>
                <c:pt idx="1">
                  <c:v>Stepping Stones</c:v>
                </c:pt>
                <c:pt idx="2">
                  <c:v>West Sussex</c:v>
                </c:pt>
                <c:pt idx="3">
                  <c:v>England</c:v>
                </c:pt>
              </c:strCache>
            </c:strRef>
          </c:cat>
          <c:val>
            <c:numRef>
              <c:f>'Health Indicators'!$D$249:$G$249</c:f>
              <c:numCache>
                <c:formatCode>0.0%</c:formatCode>
                <c:ptCount val="4"/>
                <c:pt idx="0">
                  <c:v>6.8181818181818177E-2</c:v>
                </c:pt>
                <c:pt idx="1">
                  <c:v>0.14130434782608695</c:v>
                </c:pt>
                <c:pt idx="2">
                  <c:v>7.9000000000000001E-2</c:v>
                </c:pt>
                <c:pt idx="3">
                  <c:v>9.5000000000000001E-2</c:v>
                </c:pt>
              </c:numCache>
            </c:numRef>
          </c:val>
        </c:ser>
        <c:ser>
          <c:idx val="3"/>
          <c:order val="3"/>
          <c:tx>
            <c:strRef>
              <c:f>'Health Indicators'!$C$252</c:f>
              <c:strCache>
                <c:ptCount val="1"/>
                <c:pt idx="0">
                  <c:v>2012/13</c:v>
                </c:pt>
              </c:strCache>
            </c:strRef>
          </c:tx>
          <c:spPr>
            <a:solidFill>
              <a:schemeClr val="accent1">
                <a:lumMod val="60000"/>
                <a:lumOff val="40000"/>
              </a:schemeClr>
            </a:solidFill>
          </c:spPr>
          <c:invertIfNegative val="0"/>
          <c:dPt>
            <c:idx val="1"/>
            <c:invertIfNegative val="0"/>
            <c:bubble3D val="0"/>
            <c:spPr>
              <a:solidFill>
                <a:schemeClr val="accent4">
                  <a:lumMod val="40000"/>
                  <a:lumOff val="60000"/>
                </a:schemeClr>
              </a:solidFill>
            </c:spPr>
          </c:dPt>
          <c:dPt>
            <c:idx val="2"/>
            <c:invertIfNegative val="0"/>
            <c:bubble3D val="0"/>
            <c:spPr>
              <a:solidFill>
                <a:schemeClr val="accent3">
                  <a:lumMod val="40000"/>
                  <a:lumOff val="6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Indicators'!$D$254:$G$254</c:f>
                <c:numCache>
                  <c:formatCode>General</c:formatCode>
                  <c:ptCount val="4"/>
                  <c:pt idx="0">
                    <c:v>5.5767108722317854E-2</c:v>
                  </c:pt>
                  <c:pt idx="1">
                    <c:v>6.8062667995254844E-2</c:v>
                  </c:pt>
                  <c:pt idx="2">
                    <c:v>6.0000000000000053E-3</c:v>
                  </c:pt>
                  <c:pt idx="3">
                    <c:v>1.0000000000000009E-3</c:v>
                  </c:pt>
                </c:numCache>
              </c:numRef>
            </c:plus>
            <c:minus>
              <c:numRef>
                <c:f>'Health Indicators'!$D$253:$G$253</c:f>
                <c:numCache>
                  <c:formatCode>General</c:formatCode>
                  <c:ptCount val="4"/>
                  <c:pt idx="0">
                    <c:v>3.7703503318481935E-2</c:v>
                  </c:pt>
                  <c:pt idx="1">
                    <c:v>4.175507902496163E-2</c:v>
                  </c:pt>
                  <c:pt idx="2">
                    <c:v>6.0000000000000053E-3</c:v>
                  </c:pt>
                  <c:pt idx="3">
                    <c:v>1.0000000000000009E-3</c:v>
                  </c:pt>
                </c:numCache>
              </c:numRef>
            </c:minus>
          </c:errBars>
          <c:cat>
            <c:strRef>
              <c:f>'Health Indicators'!$D$242:$G$242</c:f>
              <c:strCache>
                <c:ptCount val="4"/>
                <c:pt idx="0">
                  <c:v>Kingston Buci</c:v>
                </c:pt>
                <c:pt idx="1">
                  <c:v>Stepping Stones</c:v>
                </c:pt>
                <c:pt idx="2">
                  <c:v>West Sussex</c:v>
                </c:pt>
                <c:pt idx="3">
                  <c:v>England</c:v>
                </c:pt>
              </c:strCache>
            </c:strRef>
          </c:cat>
          <c:val>
            <c:numRef>
              <c:f>'Health Indicators'!$D$252:$G$252</c:f>
              <c:numCache>
                <c:formatCode>0.0%</c:formatCode>
                <c:ptCount val="4"/>
                <c:pt idx="0">
                  <c:v>0.10303030303030303</c:v>
                </c:pt>
                <c:pt idx="1">
                  <c:v>9.6491228070175433E-2</c:v>
                </c:pt>
                <c:pt idx="2">
                  <c:v>8.5000000000000006E-2</c:v>
                </c:pt>
                <c:pt idx="3">
                  <c:v>9.2999999999999999E-2</c:v>
                </c:pt>
              </c:numCache>
            </c:numRef>
          </c:val>
        </c:ser>
        <c:ser>
          <c:idx val="4"/>
          <c:order val="4"/>
          <c:tx>
            <c:strRef>
              <c:f>'Health Indicators'!$C$255</c:f>
              <c:strCache>
                <c:ptCount val="1"/>
                <c:pt idx="0">
                  <c:v>2013/14</c:v>
                </c:pt>
              </c:strCache>
            </c:strRef>
          </c:tx>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40000"/>
                  <a:lumOff val="60000"/>
                </a:schemeClr>
              </a:solidFill>
            </c:spPr>
          </c:dPt>
          <c:dPt>
            <c:idx val="2"/>
            <c:invertIfNegative val="0"/>
            <c:bubble3D val="0"/>
            <c:spPr>
              <a:solidFill>
                <a:schemeClr val="accent3">
                  <a:lumMod val="40000"/>
                  <a:lumOff val="6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Indicators'!$D$257:$G$257</c:f>
                <c:numCache>
                  <c:formatCode>General</c:formatCode>
                  <c:ptCount val="4"/>
                  <c:pt idx="0">
                    <c:v>6.9221096552370423E-2</c:v>
                  </c:pt>
                  <c:pt idx="1">
                    <c:v>8.4970929707359741E-2</c:v>
                  </c:pt>
                  <c:pt idx="2">
                    <c:v>7.6060000000000016E-3</c:v>
                  </c:pt>
                  <c:pt idx="3">
                    <c:v>7.5200000000000267E-4</c:v>
                  </c:pt>
                </c:numCache>
              </c:numRef>
            </c:plus>
            <c:minus>
              <c:numRef>
                <c:f>'Health Indicators'!$D$256:$G$256</c:f>
                <c:numCache>
                  <c:formatCode>General</c:formatCode>
                  <c:ptCount val="4"/>
                  <c:pt idx="0">
                    <c:v>4.3642791666392247E-2</c:v>
                  </c:pt>
                  <c:pt idx="1">
                    <c:v>5.0328819746777866E-2</c:v>
                  </c:pt>
                  <c:pt idx="2">
                    <c:v>7.0349999999999857E-3</c:v>
                  </c:pt>
                  <c:pt idx="3">
                    <c:v>7.4600000000001054E-4</c:v>
                  </c:pt>
                </c:numCache>
              </c:numRef>
            </c:minus>
          </c:errBars>
          <c:cat>
            <c:strRef>
              <c:f>'Health Indicators'!$D$242:$G$242</c:f>
              <c:strCache>
                <c:ptCount val="4"/>
                <c:pt idx="0">
                  <c:v>Kingston Buci</c:v>
                </c:pt>
                <c:pt idx="1">
                  <c:v>Stepping Stones</c:v>
                </c:pt>
                <c:pt idx="2">
                  <c:v>West Sussex</c:v>
                </c:pt>
                <c:pt idx="3">
                  <c:v>England</c:v>
                </c:pt>
              </c:strCache>
            </c:strRef>
          </c:cat>
          <c:val>
            <c:numRef>
              <c:f>'Health Indicators'!$D$255:$G$255</c:f>
              <c:numCache>
                <c:formatCode>0.0%</c:formatCode>
                <c:ptCount val="4"/>
                <c:pt idx="0">
                  <c:v>0.10434782608695652</c:v>
                </c:pt>
                <c:pt idx="1">
                  <c:v>0.10843373493975904</c:v>
                </c:pt>
                <c:pt idx="2">
                  <c:v>8.5063999999999987E-2</c:v>
                </c:pt>
                <c:pt idx="3">
                  <c:v>9.4788999999999998E-2</c:v>
                </c:pt>
              </c:numCache>
            </c:numRef>
          </c:val>
        </c:ser>
        <c:ser>
          <c:idx val="5"/>
          <c:order val="5"/>
          <c:tx>
            <c:strRef>
              <c:f>'Health Indicators'!$C$258</c:f>
              <c:strCache>
                <c:ptCount val="1"/>
                <c:pt idx="0">
                  <c:v>2014/15</c:v>
                </c:pt>
              </c:strCache>
            </c:strRef>
          </c:tx>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40000"/>
                  <a:lumOff val="60000"/>
                </a:schemeClr>
              </a:solidFill>
            </c:spPr>
          </c:dPt>
          <c:dPt>
            <c:idx val="2"/>
            <c:invertIfNegative val="0"/>
            <c:bubble3D val="0"/>
            <c:spPr>
              <a:solidFill>
                <a:schemeClr val="accent3">
                  <a:lumMod val="40000"/>
                  <a:lumOff val="6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Indicators'!$D$260:$G$260</c:f>
                <c:numCache>
                  <c:formatCode>General</c:formatCode>
                  <c:ptCount val="4"/>
                  <c:pt idx="0">
                    <c:v>3.5802564651336431E-2</c:v>
                  </c:pt>
                  <c:pt idx="1">
                    <c:v>5.6800365527549052E-2</c:v>
                  </c:pt>
                  <c:pt idx="2">
                    <c:v>5.8237910764310091E-3</c:v>
                  </c:pt>
                  <c:pt idx="3">
                    <c:v>7.2325406318779484E-4</c:v>
                  </c:pt>
                </c:numCache>
              </c:numRef>
            </c:plus>
            <c:minus>
              <c:numRef>
                <c:f>'Health Indicators'!$D$259:$G$259</c:f>
                <c:numCache>
                  <c:formatCode>General</c:formatCode>
                  <c:ptCount val="4"/>
                  <c:pt idx="0">
                    <c:v>1.4512404318128768E-2</c:v>
                  </c:pt>
                  <c:pt idx="1">
                    <c:v>3.0971523519280585E-2</c:v>
                  </c:pt>
                  <c:pt idx="2">
                    <c:v>5.4227296100999023E-3</c:v>
                  </c:pt>
                  <c:pt idx="3">
                    <c:v>7.1810567819981241E-4</c:v>
                  </c:pt>
                </c:numCache>
              </c:numRef>
            </c:minus>
          </c:errBars>
          <c:val>
            <c:numRef>
              <c:f>'Health Indicators'!$D$258:$G$258</c:f>
              <c:numCache>
                <c:formatCode>0.0%</c:formatCode>
                <c:ptCount val="4"/>
                <c:pt idx="0">
                  <c:v>2.3809523809523808E-2</c:v>
                </c:pt>
                <c:pt idx="1">
                  <c:v>6.3492063492063489E-2</c:v>
                </c:pt>
                <c:pt idx="2">
                  <c:v>7.25806451612903E-2</c:v>
                </c:pt>
                <c:pt idx="3">
                  <c:v>9.0805324284844002E-2</c:v>
                </c:pt>
              </c:numCache>
            </c:numRef>
          </c:val>
        </c:ser>
        <c:dLbls>
          <c:showLegendKey val="0"/>
          <c:showVal val="0"/>
          <c:showCatName val="0"/>
          <c:showSerName val="0"/>
          <c:showPercent val="0"/>
          <c:showBubbleSize val="0"/>
        </c:dLbls>
        <c:gapWidth val="150"/>
        <c:axId val="128421888"/>
        <c:axId val="128423424"/>
      </c:barChart>
      <c:catAx>
        <c:axId val="128421888"/>
        <c:scaling>
          <c:orientation val="minMax"/>
        </c:scaling>
        <c:delete val="0"/>
        <c:axPos val="b"/>
        <c:majorTickMark val="out"/>
        <c:minorTickMark val="none"/>
        <c:tickLblPos val="nextTo"/>
        <c:crossAx val="128423424"/>
        <c:crosses val="autoZero"/>
        <c:auto val="1"/>
        <c:lblAlgn val="ctr"/>
        <c:lblOffset val="100"/>
        <c:noMultiLvlLbl val="0"/>
      </c:catAx>
      <c:valAx>
        <c:axId val="128423424"/>
        <c:scaling>
          <c:orientation val="minMax"/>
        </c:scaling>
        <c:delete val="0"/>
        <c:axPos val="l"/>
        <c:majorGridlines>
          <c:spPr>
            <a:ln>
              <a:solidFill>
                <a:schemeClr val="bg1">
                  <a:lumMod val="75000"/>
                </a:schemeClr>
              </a:solidFill>
            </a:ln>
          </c:spPr>
        </c:majorGridlines>
        <c:title>
          <c:tx>
            <c:rich>
              <a:bodyPr rot="-5400000" vert="horz"/>
              <a:lstStyle/>
              <a:p>
                <a:pPr>
                  <a:defRPr/>
                </a:pPr>
                <a:r>
                  <a:rPr lang="en-US"/>
                  <a:t>% of reception age children measured as obese</a:t>
                </a:r>
              </a:p>
            </c:rich>
          </c:tx>
          <c:layout/>
          <c:overlay val="0"/>
        </c:title>
        <c:numFmt formatCode="0.0%" sourceLinked="1"/>
        <c:majorTickMark val="out"/>
        <c:minorTickMark val="none"/>
        <c:tickLblPos val="nextTo"/>
        <c:crossAx val="128421888"/>
        <c:crosses val="autoZero"/>
        <c:crossBetween val="between"/>
      </c:valAx>
      <c:spPr>
        <a:solidFill>
          <a:schemeClr val="bg1"/>
        </a:solidFill>
      </c:spPr>
    </c:plotArea>
    <c:plotVisOnly val="1"/>
    <c:dispBlanksAs val="gap"/>
    <c:showDLblsOverMax val="0"/>
  </c:chart>
  <c:spPr>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Drop" dropLines="15" dropStyle="combo" dx="16" fmlaLink="Data!$A$3" fmlaRange="Data!$A$6:$A$78" noThreeD="1" val="0"/>
</file>

<file path=xl/ctrlProps/ctrlProp10.xml><?xml version="1.0" encoding="utf-8"?>
<formControlPr xmlns="http://schemas.microsoft.com/office/spreadsheetml/2009/9/main" objectType="Drop" dropLines="15" dropStyle="combo" dx="16" fmlaLink="Data!$A$4" fmlaRange="Data!$A$6:$A$78" noThreeD="1" sel="2" val="0"/>
</file>

<file path=xl/ctrlProps/ctrlProp11.xml><?xml version="1.0" encoding="utf-8"?>
<formControlPr xmlns="http://schemas.microsoft.com/office/spreadsheetml/2009/9/main" objectType="Drop" dropLines="15" dropStyle="combo" dx="16" fmlaLink="Data!$A$3" fmlaRange="Data!$A$6:$A$78" noThreeD="1" val="0"/>
</file>

<file path=xl/ctrlProps/ctrlProp12.xml><?xml version="1.0" encoding="utf-8"?>
<formControlPr xmlns="http://schemas.microsoft.com/office/spreadsheetml/2009/9/main" objectType="Drop" dropLines="15" dropStyle="combo" dx="16" fmlaLink="Data!$A$4" fmlaRange="Data!$A$6:$A$78" noThreeD="1" sel="2" val="44"/>
</file>

<file path=xl/ctrlProps/ctrlProp13.xml><?xml version="1.0" encoding="utf-8"?>
<formControlPr xmlns="http://schemas.microsoft.com/office/spreadsheetml/2009/9/main" objectType="Drop" dropLines="15" dropStyle="combo" dx="16" fmlaLink="Data!$A$3" fmlaRange="Data!$A$6:$A$78" noThreeD="1" val="0"/>
</file>

<file path=xl/ctrlProps/ctrlProp14.xml><?xml version="1.0" encoding="utf-8"?>
<formControlPr xmlns="http://schemas.microsoft.com/office/spreadsheetml/2009/9/main" objectType="Drop" dropLines="15" dropStyle="combo" dx="16" fmlaLink="Data!$A$4" fmlaRange="Data!$A$6:$A$78" noThreeD="1" sel="2" val="0"/>
</file>

<file path=xl/ctrlProps/ctrlProp2.xml><?xml version="1.0" encoding="utf-8"?>
<formControlPr xmlns="http://schemas.microsoft.com/office/spreadsheetml/2009/9/main" objectType="Drop" dropLines="15" dropStyle="combo" dx="16" fmlaLink="Data!$A$4" fmlaRange="Data!$A$6:$A$78" noThreeD="1" sel="2" val="0"/>
</file>

<file path=xl/ctrlProps/ctrlProp3.xml><?xml version="1.0" encoding="utf-8"?>
<formControlPr xmlns="http://schemas.microsoft.com/office/spreadsheetml/2009/9/main" objectType="Drop" dropLines="15" dropStyle="combo" dx="16" fmlaLink="Data!$A$3" fmlaRange="Data!$A$6:$A$78" noThreeD="1" val="0"/>
</file>

<file path=xl/ctrlProps/ctrlProp4.xml><?xml version="1.0" encoding="utf-8"?>
<formControlPr xmlns="http://schemas.microsoft.com/office/spreadsheetml/2009/9/main" objectType="Drop" dropLines="15" dropStyle="combo" dx="16" fmlaLink="Data!$A$4" fmlaRange="Data!$A$6:$A$78" noThreeD="1" sel="2" val="58"/>
</file>

<file path=xl/ctrlProps/ctrlProp5.xml><?xml version="1.0" encoding="utf-8"?>
<formControlPr xmlns="http://schemas.microsoft.com/office/spreadsheetml/2009/9/main" objectType="Drop" dropLines="15" dropStyle="combo" dx="16" fmlaLink="Data!$A$3" fmlaRange="Data!$A$6:$A$78" noThreeD="1" val="46"/>
</file>

<file path=xl/ctrlProps/ctrlProp6.xml><?xml version="1.0" encoding="utf-8"?>
<formControlPr xmlns="http://schemas.microsoft.com/office/spreadsheetml/2009/9/main" objectType="Drop" dropLines="15" dropStyle="combo" dx="16" fmlaLink="Data!$A$4" fmlaRange="Data!$A$6:$A$78" noThreeD="1" sel="2" val="0"/>
</file>

<file path=xl/ctrlProps/ctrlProp7.xml><?xml version="1.0" encoding="utf-8"?>
<formControlPr xmlns="http://schemas.microsoft.com/office/spreadsheetml/2009/9/main" objectType="Drop" dropLines="15" dropStyle="combo" dx="16" fmlaLink="Data!$A$3" fmlaRange="Data!$A$6:$A$78" noThreeD="1" val="26"/>
</file>

<file path=xl/ctrlProps/ctrlProp8.xml><?xml version="1.0" encoding="utf-8"?>
<formControlPr xmlns="http://schemas.microsoft.com/office/spreadsheetml/2009/9/main" objectType="Drop" dropLines="15" dropStyle="combo" dx="16" fmlaLink="Data!$A$4" fmlaRange="Data!$A$6:$A$78" noThreeD="1" sel="2" val="27"/>
</file>

<file path=xl/ctrlProps/ctrlProp9.xml><?xml version="1.0" encoding="utf-8"?>
<formControlPr xmlns="http://schemas.microsoft.com/office/spreadsheetml/2009/9/main" objectType="Drop" dropLines="15" dropStyle="combo" dx="16" fmlaLink="Data!$A$3" fmlaRange="Data!$A$6:$A$78" noThreeD="1" val="0"/>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jpeg"/><Relationship Id="rId5" Type="http://schemas.openxmlformats.org/officeDocument/2006/relationships/hyperlink" Target="#Data!A1"/><Relationship Id="rId4" Type="http://schemas.microsoft.com/office/2007/relationships/hdphoto" Target="../media/hdphoto2.wdp"/></Relationships>
</file>

<file path=xl/drawings/_rels/drawing10.xml.rels><?xml version="1.0" encoding="UTF-8" standalone="yes"?>
<Relationships xmlns="http://schemas.openxmlformats.org/package/2006/relationships"><Relationship Id="rId3" Type="http://schemas.openxmlformats.org/officeDocument/2006/relationships/hyperlink" Target="#'Health Indicators'!A1"/><Relationship Id="rId2" Type="http://schemas.openxmlformats.org/officeDocument/2006/relationships/hyperlink" Target="#'Family Structure'!A1"/><Relationship Id="rId1" Type="http://schemas.openxmlformats.org/officeDocument/2006/relationships/hyperlink" Target="#Population!A1"/><Relationship Id="rId6" Type="http://schemas.openxmlformats.org/officeDocument/2006/relationships/hyperlink" Target="#Data!A1"/><Relationship Id="rId5" Type="http://schemas.openxmlformats.org/officeDocument/2006/relationships/hyperlink" Target="#EYFS!A1"/><Relationship Id="rId4" Type="http://schemas.openxmlformats.org/officeDocument/2006/relationships/hyperlink" Target="#Deprivation!A1"/></Relationships>
</file>

<file path=xl/drawings/_rels/drawing2.xml.rels><?xml version="1.0" encoding="UTF-8" standalone="yes"?>
<Relationships xmlns="http://schemas.openxmlformats.org/package/2006/relationships"><Relationship Id="rId3" Type="http://schemas.openxmlformats.org/officeDocument/2006/relationships/hyperlink" Target="#'Health Indicators'!A1"/><Relationship Id="rId2" Type="http://schemas.openxmlformats.org/officeDocument/2006/relationships/hyperlink" Target="#'Family Structure'!A1"/><Relationship Id="rId1" Type="http://schemas.openxmlformats.org/officeDocument/2006/relationships/hyperlink" Target="#Population!A1"/><Relationship Id="rId6" Type="http://schemas.openxmlformats.org/officeDocument/2006/relationships/hyperlink" Target="#Data!A1"/><Relationship Id="rId5" Type="http://schemas.openxmlformats.org/officeDocument/2006/relationships/hyperlink" Target="#EYFS!A1"/><Relationship Id="rId4" Type="http://schemas.openxmlformats.org/officeDocument/2006/relationships/hyperlink" Target="#Deprivation!A1"/></Relationships>
</file>

<file path=xl/drawings/_rels/drawing3.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Births and Early Years'!A1"/><Relationship Id="rId7" Type="http://schemas.openxmlformats.org/officeDocument/2006/relationships/chart" Target="../charts/chart1.xml"/><Relationship Id="rId2" Type="http://schemas.openxmlformats.org/officeDocument/2006/relationships/hyperlink" Target="#'Health Indicators'!A1"/><Relationship Id="rId1" Type="http://schemas.openxmlformats.org/officeDocument/2006/relationships/hyperlink" Target="#'Family Structure'!A1"/><Relationship Id="rId6" Type="http://schemas.openxmlformats.org/officeDocument/2006/relationships/hyperlink" Target="#Population!A1"/><Relationship Id="rId5" Type="http://schemas.openxmlformats.org/officeDocument/2006/relationships/hyperlink" Target="#EYFS!A1"/><Relationship Id="rId10" Type="http://schemas.openxmlformats.org/officeDocument/2006/relationships/hyperlink" Target="#Data!A1"/><Relationship Id="rId4" Type="http://schemas.openxmlformats.org/officeDocument/2006/relationships/hyperlink" Target="#Deprivation!A1"/><Relationship Id="rId9" Type="http://schemas.openxmlformats.org/officeDocument/2006/relationships/chart" Target="../charts/chart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Births and Early Years'!A1"/><Relationship Id="rId7" Type="http://schemas.openxmlformats.org/officeDocument/2006/relationships/chart" Target="../charts/chart4.xml"/><Relationship Id="rId2" Type="http://schemas.openxmlformats.org/officeDocument/2006/relationships/hyperlink" Target="#'Health Indicators'!A1"/><Relationship Id="rId1" Type="http://schemas.openxmlformats.org/officeDocument/2006/relationships/hyperlink" Target="#Population!A1"/><Relationship Id="rId6" Type="http://schemas.openxmlformats.org/officeDocument/2006/relationships/hyperlink" Target="#'Family Structure'!A1"/><Relationship Id="rId5" Type="http://schemas.openxmlformats.org/officeDocument/2006/relationships/hyperlink" Target="#EYFS!A1"/><Relationship Id="rId10" Type="http://schemas.openxmlformats.org/officeDocument/2006/relationships/hyperlink" Target="#Data!A1"/><Relationship Id="rId4" Type="http://schemas.openxmlformats.org/officeDocument/2006/relationships/hyperlink" Target="#Deprivation!A1"/><Relationship Id="rId9" Type="http://schemas.openxmlformats.org/officeDocument/2006/relationships/chart" Target="../charts/chart6.xml"/></Relationships>
</file>

<file path=xl/drawings/_rels/drawing6.xml.rels><?xml version="1.0" encoding="UTF-8" standalone="yes"?>
<Relationships xmlns="http://schemas.openxmlformats.org/package/2006/relationships"><Relationship Id="rId8" Type="http://schemas.openxmlformats.org/officeDocument/2006/relationships/hyperlink" Target="https://www.gov.uk/government/publications/commissioning-of-public-health-services-for-children" TargetMode="External"/><Relationship Id="rId13" Type="http://schemas.openxmlformats.org/officeDocument/2006/relationships/chart" Target="../charts/chart11.xml"/><Relationship Id="rId3" Type="http://schemas.openxmlformats.org/officeDocument/2006/relationships/hyperlink" Target="#'Births and Early Years'!A1"/><Relationship Id="rId7" Type="http://schemas.openxmlformats.org/officeDocument/2006/relationships/hyperlink" Target="#'Health Indicators'!A1"/><Relationship Id="rId12" Type="http://schemas.openxmlformats.org/officeDocument/2006/relationships/chart" Target="../charts/chart10.xml"/><Relationship Id="rId17" Type="http://schemas.openxmlformats.org/officeDocument/2006/relationships/chart" Target="../charts/chart12.xml"/><Relationship Id="rId2" Type="http://schemas.openxmlformats.org/officeDocument/2006/relationships/hyperlink" Target="#'Family Structure'!A1"/><Relationship Id="rId16" Type="http://schemas.openxmlformats.org/officeDocument/2006/relationships/hyperlink" Target="http://webarchive.nationalarchives.gov.uk/20130401151715/http:/www.education.gov.uk/publications/standard/publicationdetail/page1/DCSF-00632-2008" TargetMode="External"/><Relationship Id="rId1" Type="http://schemas.openxmlformats.org/officeDocument/2006/relationships/hyperlink" Target="#Population!A1"/><Relationship Id="rId6" Type="http://schemas.openxmlformats.org/officeDocument/2006/relationships/hyperlink" Target="http://www.unicef.org.uk/BabyFriendly/" TargetMode="External"/><Relationship Id="rId11" Type="http://schemas.openxmlformats.org/officeDocument/2006/relationships/chart" Target="../charts/chart9.xml"/><Relationship Id="rId5" Type="http://schemas.openxmlformats.org/officeDocument/2006/relationships/hyperlink" Target="#EYFS!A1"/><Relationship Id="rId15" Type="http://schemas.openxmlformats.org/officeDocument/2006/relationships/hyperlink" Target="#Data!A1"/><Relationship Id="rId10" Type="http://schemas.openxmlformats.org/officeDocument/2006/relationships/chart" Target="../charts/chart8.xml"/><Relationship Id="rId4" Type="http://schemas.openxmlformats.org/officeDocument/2006/relationships/hyperlink" Target="#Deprivation!A1"/><Relationship Id="rId9" Type="http://schemas.openxmlformats.org/officeDocument/2006/relationships/chart" Target="../charts/chart7.xml"/><Relationship Id="rId14" Type="http://schemas.openxmlformats.org/officeDocument/2006/relationships/hyperlink" Target="http://www.ons.gov.uk/ons/rel/child-health/unexplained-deaths-in-infancy--england-and-wales/2013/stb-unexplained-deaths--2013.html" TargetMode="External"/></Relationships>
</file>

<file path=xl/drawings/_rels/drawing7.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hyperlink" Target="#'Health Indicators'!A1"/><Relationship Id="rId7" Type="http://schemas.openxmlformats.org/officeDocument/2006/relationships/hyperlink" Target="#'Births and Early Years'!A1"/><Relationship Id="rId2" Type="http://schemas.openxmlformats.org/officeDocument/2006/relationships/hyperlink" Target="#'Family Structure'!A1"/><Relationship Id="rId1" Type="http://schemas.openxmlformats.org/officeDocument/2006/relationships/hyperlink" Target="#Population!A1"/><Relationship Id="rId6" Type="http://schemas.openxmlformats.org/officeDocument/2006/relationships/chart" Target="../charts/chart13.xml"/><Relationship Id="rId11" Type="http://schemas.openxmlformats.org/officeDocument/2006/relationships/hyperlink" Target="#Data!A1"/><Relationship Id="rId5" Type="http://schemas.openxmlformats.org/officeDocument/2006/relationships/hyperlink" Target="#EYFS!A1"/><Relationship Id="rId10" Type="http://schemas.openxmlformats.org/officeDocument/2006/relationships/chart" Target="../charts/chart16.xml"/><Relationship Id="rId4" Type="http://schemas.openxmlformats.org/officeDocument/2006/relationships/hyperlink" Target="#Deprivation!A1"/><Relationship Id="rId9"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hyperlink" Target="#'Health Indicators'!A1"/><Relationship Id="rId7" Type="http://schemas.openxmlformats.org/officeDocument/2006/relationships/hyperlink" Target="#Deprivation!A1"/><Relationship Id="rId2" Type="http://schemas.openxmlformats.org/officeDocument/2006/relationships/hyperlink" Target="#'Family Structure'!A1"/><Relationship Id="rId1" Type="http://schemas.openxmlformats.org/officeDocument/2006/relationships/hyperlink" Target="#Population!A1"/><Relationship Id="rId6" Type="http://schemas.openxmlformats.org/officeDocument/2006/relationships/hyperlink" Target="https://www.gov.uk/government/uploads/system/uploads/attachment_data/file/285389/Cm_8781_Child_Poverty_Evidence_Review_Print.pdf" TargetMode="External"/><Relationship Id="rId11" Type="http://schemas.openxmlformats.org/officeDocument/2006/relationships/hyperlink" Target="#Data!A1"/><Relationship Id="rId5" Type="http://schemas.openxmlformats.org/officeDocument/2006/relationships/hyperlink" Target="#EYFS!A1"/><Relationship Id="rId10" Type="http://schemas.openxmlformats.org/officeDocument/2006/relationships/chart" Target="../charts/chart18.xml"/><Relationship Id="rId4" Type="http://schemas.openxmlformats.org/officeDocument/2006/relationships/hyperlink" Target="#'Births and Early Years'!A1"/><Relationship Id="rId9" Type="http://schemas.openxmlformats.org/officeDocument/2006/relationships/hyperlink" Target="http://www.poverty.ac.uk/report-poverty-measurement-life-chances-children-parenting-uk-government-policy/field-review"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Data!A1"/><Relationship Id="rId3" Type="http://schemas.openxmlformats.org/officeDocument/2006/relationships/hyperlink" Target="#'Health Indicators'!A1"/><Relationship Id="rId7" Type="http://schemas.openxmlformats.org/officeDocument/2006/relationships/chart" Target="../charts/chart20.xml"/><Relationship Id="rId2" Type="http://schemas.openxmlformats.org/officeDocument/2006/relationships/hyperlink" Target="#'Family Structure'!A1"/><Relationship Id="rId1" Type="http://schemas.openxmlformats.org/officeDocument/2006/relationships/hyperlink" Target="#Population!A1"/><Relationship Id="rId6" Type="http://schemas.openxmlformats.org/officeDocument/2006/relationships/chart" Target="../charts/chart19.xml"/><Relationship Id="rId5" Type="http://schemas.openxmlformats.org/officeDocument/2006/relationships/hyperlink" Target="#Deprivation!A1"/><Relationship Id="rId4" Type="http://schemas.openxmlformats.org/officeDocument/2006/relationships/hyperlink" Target="#'Births and Early Years'!A1"/></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absolute">
    <xdr:from>
      <xdr:col>2</xdr:col>
      <xdr:colOff>19050</xdr:colOff>
      <xdr:row>0</xdr:row>
      <xdr:rowOff>0</xdr:rowOff>
    </xdr:from>
    <xdr:to>
      <xdr:col>10</xdr:col>
      <xdr:colOff>590549</xdr:colOff>
      <xdr:row>1</xdr:row>
      <xdr:rowOff>161811</xdr:rowOff>
    </xdr:to>
    <xdr:sp macro="" textlink="">
      <xdr:nvSpPr>
        <xdr:cNvPr id="2" name="Rectangle 1"/>
        <xdr:cNvSpPr/>
      </xdr:nvSpPr>
      <xdr:spPr>
        <a:xfrm>
          <a:off x="1695450" y="0"/>
          <a:ext cx="7277099" cy="342786"/>
        </a:xfrm>
        <a:prstGeom prst="rect">
          <a:avLst/>
        </a:prstGeom>
        <a:noFill/>
      </xdr:spPr>
      <xdr:txBody>
        <a:bodyPr wrap="square" lIns="91440" tIns="45720" rIns="91440" bIns="45720">
          <a:spAutoFit/>
        </a:bodyPr>
        <a:lstStyle/>
        <a:p>
          <a:pPr algn="ctr"/>
          <a:r>
            <a:rPr lang="en-US" sz="1600" b="0" cap="none" spc="0">
              <a:ln w="3175" cmpd="sng">
                <a:solidFill>
                  <a:srgbClr val="FFFFFF"/>
                </a:solidFill>
                <a:prstDash val="solid"/>
              </a:ln>
              <a:solidFill>
                <a:srgbClr val="FFFFFF"/>
              </a:solidFill>
              <a:effectLst>
                <a:outerShdw blurRad="63500" dir="3600000" algn="tl" rotWithShape="0">
                  <a:srgbClr val="000000">
                    <a:alpha val="70000"/>
                  </a:srgbClr>
                </a:outerShdw>
              </a:effectLst>
            </a:rPr>
            <a:t>West</a:t>
          </a:r>
          <a:r>
            <a:rPr lang="en-US" sz="1600" b="0" cap="none" spc="0" baseline="0">
              <a:ln w="3175" cmpd="sng">
                <a:solidFill>
                  <a:srgbClr val="FFFFFF"/>
                </a:solidFill>
                <a:prstDash val="solid"/>
              </a:ln>
              <a:solidFill>
                <a:srgbClr val="FFFFFF"/>
              </a:solidFill>
              <a:effectLst>
                <a:outerShdw blurRad="63500" dir="3600000" algn="tl" rotWithShape="0">
                  <a:srgbClr val="000000">
                    <a:alpha val="70000"/>
                  </a:srgbClr>
                </a:outerShdw>
              </a:effectLst>
            </a:rPr>
            <a:t> Sussex Children's Workforce Public Health Profiles (November 2015)</a:t>
          </a:r>
          <a:endParaRPr lang="en-US" sz="1600" b="0" cap="none" spc="0">
            <a:ln w="317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editAs="absolute">
    <xdr:from>
      <xdr:col>3</xdr:col>
      <xdr:colOff>0</xdr:colOff>
      <xdr:row>2</xdr:row>
      <xdr:rowOff>0</xdr:rowOff>
    </xdr:from>
    <xdr:to>
      <xdr:col>9</xdr:col>
      <xdr:colOff>413907</xdr:colOff>
      <xdr:row>15</xdr:row>
      <xdr:rowOff>179352</xdr:rowOff>
    </xdr:to>
    <xdr:pic>
      <xdr:nvPicPr>
        <xdr:cNvPr id="3" name="Picture 168" descr="Fotolia_2265952_M"/>
        <xdr:cNvPicPr>
          <a:picLocks noChangeAspect="1" noChangeArrowheads="1"/>
        </xdr:cNvPicPr>
      </xdr:nvPicPr>
      <xdr:blipFill>
        <a:blip xmlns:r="http://schemas.openxmlformats.org/officeDocument/2006/relationships" r:embed="rId1" cstate="print">
          <a:duotone>
            <a:schemeClr val="accent4">
              <a:shade val="45000"/>
              <a:satMod val="135000"/>
            </a:schemeClr>
            <a:prstClr val="white"/>
          </a:duotone>
          <a:extLst>
            <a:ext uri="{BEBA8EAE-BF5A-486C-A8C5-ECC9F3942E4B}">
              <a14:imgProps xmlns:a14="http://schemas.microsoft.com/office/drawing/2010/main">
                <a14:imgLayer r:embed="rId2">
                  <a14:imgEffect>
                    <a14:saturation sat="0"/>
                  </a14:imgEffect>
                </a14:imgLayer>
              </a14:imgProps>
            </a:ext>
            <a:ext uri="{28A0092B-C50C-407E-A947-70E740481C1C}">
              <a14:useLocalDpi xmlns:a14="http://schemas.microsoft.com/office/drawing/2010/main" val="0"/>
            </a:ext>
          </a:extLst>
        </a:blip>
        <a:srcRect t="12224" b="9821"/>
        <a:stretch>
          <a:fillRect/>
        </a:stretch>
      </xdr:blipFill>
      <xdr:spPr bwMode="auto">
        <a:xfrm>
          <a:off x="2514600" y="400050"/>
          <a:ext cx="5443107" cy="26558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248178</xdr:colOff>
      <xdr:row>11</xdr:row>
      <xdr:rowOff>5292</xdr:rowOff>
    </xdr:from>
    <xdr:to>
      <xdr:col>2</xdr:col>
      <xdr:colOff>342429</xdr:colOff>
      <xdr:row>15</xdr:row>
      <xdr:rowOff>21167</xdr:rowOff>
    </xdr:to>
    <xdr:pic>
      <xdr:nvPicPr>
        <xdr:cNvPr id="4" name="Picture 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rcRect r="3450"/>
        <a:stretch>
          <a:fillRect/>
        </a:stretch>
      </xdr:blipFill>
      <xdr:spPr bwMode="auto">
        <a:xfrm>
          <a:off x="248178" y="2119842"/>
          <a:ext cx="1770651" cy="777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257175</xdr:colOff>
      <xdr:row>22</xdr:row>
      <xdr:rowOff>59747</xdr:rowOff>
    </xdr:from>
    <xdr:to>
      <xdr:col>11</xdr:col>
      <xdr:colOff>594363</xdr:colOff>
      <xdr:row>37</xdr:row>
      <xdr:rowOff>77932</xdr:rowOff>
    </xdr:to>
    <xdr:grpSp>
      <xdr:nvGrpSpPr>
        <xdr:cNvPr id="5" name="Group 4"/>
        <xdr:cNvGrpSpPr/>
      </xdr:nvGrpSpPr>
      <xdr:grpSpPr>
        <a:xfrm>
          <a:off x="257175" y="4269797"/>
          <a:ext cx="10481313" cy="2780435"/>
          <a:chOff x="276225" y="3249812"/>
          <a:chExt cx="9500238" cy="2779926"/>
        </a:xfrm>
      </xdr:grpSpPr>
      <xdr:sp macro="" textlink="">
        <xdr:nvSpPr>
          <xdr:cNvPr id="6" name="TextBox 5"/>
          <xdr:cNvSpPr txBox="1"/>
        </xdr:nvSpPr>
        <xdr:spPr>
          <a:xfrm>
            <a:off x="276225" y="3249812"/>
            <a:ext cx="9500238" cy="2779926"/>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t>West</a:t>
            </a:r>
            <a:r>
              <a:rPr lang="en-GB" sz="1600" b="1" baseline="0"/>
              <a:t> Sussex Children's Workforce Public Health Profiles:</a:t>
            </a:r>
          </a:p>
          <a:p>
            <a:endParaRPr lang="en-GB" sz="1100" b="1" baseline="0"/>
          </a:p>
          <a:p>
            <a:r>
              <a:rPr lang="en-GB" sz="1200" b="1">
                <a:solidFill>
                  <a:schemeClr val="dk1"/>
                </a:solidFill>
                <a:effectLst/>
                <a:latin typeface="+mn-lt"/>
                <a:ea typeface="+mn-ea"/>
                <a:cs typeface="+mn-cs"/>
              </a:rPr>
              <a:t>Background:</a:t>
            </a:r>
            <a:r>
              <a:rPr lang="en-GB" sz="1200" b="1" baseline="0">
                <a:solidFill>
                  <a:schemeClr val="dk1"/>
                </a:solidFill>
                <a:effectLst/>
                <a:latin typeface="+mn-lt"/>
                <a:ea typeface="+mn-ea"/>
                <a:cs typeface="+mn-cs"/>
              </a:rPr>
              <a:t> </a:t>
            </a:r>
            <a:r>
              <a:rPr lang="en-GB" sz="1200">
                <a:solidFill>
                  <a:schemeClr val="dk1"/>
                </a:solidFill>
                <a:effectLst/>
                <a:latin typeface="+mn-lt"/>
                <a:ea typeface="+mn-ea"/>
                <a:cs typeface="+mn-cs"/>
              </a:rPr>
              <a:t>This data profile provides information on progress on health and other performance indicators.  It has been developed to support the performance management of the West Sussex Health4Families Programme</a:t>
            </a:r>
            <a:r>
              <a:rPr lang="en-GB" sz="1200" baseline="0">
                <a:solidFill>
                  <a:schemeClr val="dk1"/>
                </a:solidFill>
                <a:effectLst/>
                <a:latin typeface="+mn-lt"/>
                <a:ea typeface="+mn-ea"/>
                <a:cs typeface="+mn-cs"/>
              </a:rPr>
              <a:t> (H4FP)</a:t>
            </a:r>
            <a:r>
              <a:rPr lang="en-GB" sz="1200">
                <a:solidFill>
                  <a:schemeClr val="dk1"/>
                </a:solidFill>
                <a:effectLst/>
                <a:latin typeface="+mn-lt"/>
                <a:ea typeface="+mn-ea"/>
                <a:cs typeface="+mn-cs"/>
              </a:rPr>
              <a:t>, and Ofsted inspection requirements.   </a:t>
            </a:r>
          </a:p>
          <a:p>
            <a:endParaRPr lang="en-GB" sz="1200">
              <a:solidFill>
                <a:schemeClr val="dk1"/>
              </a:solidFill>
              <a:effectLst/>
              <a:latin typeface="+mn-lt"/>
              <a:ea typeface="+mn-ea"/>
              <a:cs typeface="+mn-cs"/>
            </a:endParaRPr>
          </a:p>
          <a:p>
            <a:endParaRPr lang="en-GB" sz="1200">
              <a:solidFill>
                <a:schemeClr val="dk1"/>
              </a:solidFill>
              <a:effectLst/>
              <a:latin typeface="+mn-lt"/>
              <a:ea typeface="+mn-ea"/>
              <a:cs typeface="+mn-cs"/>
            </a:endParaRPr>
          </a:p>
          <a:p>
            <a:endParaRPr lang="en-GB" sz="1200">
              <a:solidFill>
                <a:schemeClr val="dk1"/>
              </a:solidFill>
              <a:effectLst/>
              <a:latin typeface="+mn-lt"/>
              <a:ea typeface="+mn-ea"/>
              <a:cs typeface="+mn-cs"/>
            </a:endParaRPr>
          </a:p>
          <a:p>
            <a:endParaRPr lang="en-GB" sz="1200">
              <a:solidFill>
                <a:schemeClr val="dk1"/>
              </a:solidFill>
              <a:effectLst/>
              <a:latin typeface="+mn-lt"/>
              <a:ea typeface="+mn-ea"/>
              <a:cs typeface="+mn-cs"/>
            </a:endParaRPr>
          </a:p>
          <a:p>
            <a:endParaRPr lang="en-GB" sz="1200">
              <a:solidFill>
                <a:schemeClr val="dk1"/>
              </a:solidFill>
              <a:effectLst/>
              <a:latin typeface="+mn-lt"/>
              <a:ea typeface="+mn-ea"/>
              <a:cs typeface="+mn-cs"/>
            </a:endParaRPr>
          </a:p>
          <a:p>
            <a:r>
              <a:rPr lang="en-GB" sz="1200">
                <a:effectLst/>
              </a:rPr>
              <a:t>The data has been collated by the West Sussex Research Unit working with colleagues in the NHS and West Sussex County Council. It will be updated annually. The inclusion of further indicators, some outlined in this profile, will be considered at the next refresh.</a:t>
            </a:r>
          </a:p>
          <a:p>
            <a:endParaRPr lang="en-GB" sz="600">
              <a:effectLst/>
            </a:endParaRPr>
          </a:p>
          <a:p>
            <a:r>
              <a:rPr lang="en-GB" sz="1200">
                <a:effectLst/>
              </a:rPr>
              <a:t>Should you need further</a:t>
            </a:r>
            <a:r>
              <a:rPr lang="en-GB" sz="1200" baseline="0">
                <a:effectLst/>
              </a:rPr>
              <a:t> information please email:  jsna@westsussex.gov.uk</a:t>
            </a:r>
          </a:p>
          <a:p>
            <a:pPr marL="0" marR="0" indent="0" defTabSz="914400" eaLnBrk="1" fontAlgn="auto" latinLnBrk="0" hangingPunct="1">
              <a:lnSpc>
                <a:spcPct val="100000"/>
              </a:lnSpc>
              <a:spcBef>
                <a:spcPts val="0"/>
              </a:spcBef>
              <a:spcAft>
                <a:spcPts val="0"/>
              </a:spcAft>
              <a:buClrTx/>
              <a:buSzTx/>
              <a:buFontTx/>
              <a:buNone/>
              <a:tabLst/>
              <a:defRPr/>
            </a:pPr>
            <a:endParaRPr lang="en-GB" sz="600" b="1">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200" b="1">
                <a:solidFill>
                  <a:schemeClr val="dk1"/>
                </a:solidFill>
                <a:effectLst/>
                <a:latin typeface="+mn-lt"/>
                <a:ea typeface="+mn-ea"/>
                <a:cs typeface="+mn-cs"/>
              </a:rPr>
              <a:t>Next release:</a:t>
            </a:r>
            <a:r>
              <a:rPr lang="en-GB" sz="1200" b="1" baseline="0">
                <a:solidFill>
                  <a:schemeClr val="dk1"/>
                </a:solidFill>
                <a:effectLst/>
                <a:latin typeface="+mn-lt"/>
                <a:ea typeface="+mn-ea"/>
                <a:cs typeface="+mn-cs"/>
              </a:rPr>
              <a:t>  November 2016</a:t>
            </a:r>
            <a:endParaRPr lang="en-GB" sz="1200">
              <a:effectLst/>
            </a:endParaRPr>
          </a:p>
          <a:p>
            <a:endParaRPr lang="en-GB" sz="1100">
              <a:effectLst/>
            </a:endParaRPr>
          </a:p>
          <a:p>
            <a:endParaRPr lang="en-GB" sz="1600" b="1"/>
          </a:p>
        </xdr:txBody>
      </xdr:sp>
      <xdr:grpSp>
        <xdr:nvGrpSpPr>
          <xdr:cNvPr id="7" name="Group 6"/>
          <xdr:cNvGrpSpPr/>
        </xdr:nvGrpSpPr>
        <xdr:grpSpPr>
          <a:xfrm>
            <a:off x="352425" y="3600450"/>
            <a:ext cx="9424038" cy="1280164"/>
            <a:chOff x="352425" y="3600450"/>
            <a:chExt cx="9424038" cy="1280164"/>
          </a:xfrm>
        </xdr:grpSpPr>
        <xdr:sp macro="" textlink="">
          <xdr:nvSpPr>
            <xdr:cNvPr id="8" name="TextBox 7"/>
            <xdr:cNvSpPr txBox="1"/>
          </xdr:nvSpPr>
          <xdr:spPr>
            <a:xfrm>
              <a:off x="352425" y="4204339"/>
              <a:ext cx="9424038" cy="676275"/>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ctr" anchorCtr="0">
              <a:scene3d>
                <a:camera prst="orthographicFront"/>
                <a:lightRig rig="threePt" dir="t"/>
              </a:scene3d>
              <a:sp3d extrusionH="57150">
                <a:bevelT w="38100" h="38100"/>
              </a:sp3d>
            </a:bodyPr>
            <a:lstStyle/>
            <a:p>
              <a:pPr algn="ctr"/>
              <a:r>
                <a:rPr lang="en-GB" sz="1400" b="1" cap="none" spc="0">
                  <a:ln>
                    <a:noFill/>
                  </a:ln>
                  <a:solidFill>
                    <a:schemeClr val="accent4"/>
                  </a:solidFill>
                  <a:effectLst/>
                  <a:latin typeface="+mn-lt"/>
                  <a:ea typeface="+mn-ea"/>
                  <a:cs typeface="+mn-cs"/>
                </a:rPr>
                <a:t>The profile enables you to look at individual children and family centres, or groups of centres, and to compare the performance of two different centres/groups at a time. </a:t>
              </a:r>
              <a:r>
                <a:rPr lang="en-GB" sz="1400" b="1" u="sng" cap="none" spc="0">
                  <a:ln>
                    <a:noFill/>
                  </a:ln>
                  <a:solidFill>
                    <a:schemeClr val="accent4"/>
                  </a:solidFill>
                  <a:effectLst/>
                  <a:latin typeface="+mn-lt"/>
                  <a:ea typeface="+mn-ea"/>
                  <a:cs typeface="+mn-cs"/>
                </a:rPr>
                <a:t>Note: not all data are available at all geographies</a:t>
              </a:r>
              <a:endParaRPr lang="en-GB" sz="1400" b="1" u="sng" cap="none" spc="0">
                <a:ln>
                  <a:noFill/>
                </a:ln>
                <a:solidFill>
                  <a:schemeClr val="accent4"/>
                </a:solidFill>
                <a:effectLst/>
              </a:endParaRPr>
            </a:p>
          </xdr:txBody>
        </xdr:sp>
        <xdr:cxnSp macro="">
          <xdr:nvCxnSpPr>
            <xdr:cNvPr id="9" name="Straight Connector 8"/>
            <xdr:cNvCxnSpPr/>
          </xdr:nvCxnSpPr>
          <xdr:spPr>
            <a:xfrm>
              <a:off x="352425" y="3600450"/>
              <a:ext cx="4404554" cy="8649"/>
            </a:xfrm>
            <a:prstGeom prst="line">
              <a:avLst/>
            </a:prstGeom>
            <a:ln/>
          </xdr:spPr>
          <xdr:style>
            <a:lnRef idx="2">
              <a:schemeClr val="accent4"/>
            </a:lnRef>
            <a:fillRef idx="0">
              <a:schemeClr val="accent4"/>
            </a:fillRef>
            <a:effectRef idx="1">
              <a:schemeClr val="accent4"/>
            </a:effectRef>
            <a:fontRef idx="minor">
              <a:schemeClr val="tx1"/>
            </a:fontRef>
          </xdr:style>
        </xdr:cxnSp>
      </xdr:grpSp>
    </xdr:grpSp>
    <xdr:clientData/>
  </xdr:twoCellAnchor>
  <xdr:twoCellAnchor editAs="absolute">
    <xdr:from>
      <xdr:col>0</xdr:col>
      <xdr:colOff>2380</xdr:colOff>
      <xdr:row>53</xdr:row>
      <xdr:rowOff>161924</xdr:rowOff>
    </xdr:from>
    <xdr:to>
      <xdr:col>12</xdr:col>
      <xdr:colOff>55</xdr:colOff>
      <xdr:row>55</xdr:row>
      <xdr:rowOff>114299</xdr:rowOff>
    </xdr:to>
    <xdr:grpSp>
      <xdr:nvGrpSpPr>
        <xdr:cNvPr id="10" name="Group 9"/>
        <xdr:cNvGrpSpPr/>
      </xdr:nvGrpSpPr>
      <xdr:grpSpPr>
        <a:xfrm>
          <a:off x="2380" y="10029824"/>
          <a:ext cx="10980000" cy="314325"/>
          <a:chOff x="9524" y="6115049"/>
          <a:chExt cx="10963277" cy="314325"/>
        </a:xfrm>
      </xdr:grpSpPr>
      <xdr:sp macro="" textlink="">
        <xdr:nvSpPr>
          <xdr:cNvPr id="12" name="Round Same Side Corner Rectangle 11"/>
          <xdr:cNvSpPr/>
        </xdr:nvSpPr>
        <xdr:spPr>
          <a:xfrm flipV="1">
            <a:off x="9524" y="6124573"/>
            <a:ext cx="10958850" cy="238125"/>
          </a:xfrm>
          <a:prstGeom prst="round2SameRect">
            <a:avLst/>
          </a:prstGeom>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GB" sz="1100"/>
          </a:p>
        </xdr:txBody>
      </xdr:sp>
      <xdr:sp macro="" textlink="$K$26">
        <xdr:nvSpPr>
          <xdr:cNvPr id="11" name="TextBox 10"/>
          <xdr:cNvSpPr txBox="1"/>
        </xdr:nvSpPr>
        <xdr:spPr>
          <a:xfrm>
            <a:off x="7441831" y="6115049"/>
            <a:ext cx="353097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3B1BCF6-4FA2-4300-A41F-12861E9D32B9}" type="TxLink">
              <a:rPr lang="en-US" sz="1200" b="0" i="0" u="none" strike="noStrike">
                <a:solidFill>
                  <a:schemeClr val="bg1"/>
                </a:solidFill>
                <a:latin typeface="Calibri"/>
                <a:cs typeface="Calibri"/>
              </a:rPr>
              <a:pPr algn="r"/>
              <a:t>12:39PM Friday 18 December 2015</a:t>
            </a:fld>
            <a:endParaRPr lang="en-GB" sz="1200" b="0">
              <a:solidFill>
                <a:schemeClr val="bg1"/>
              </a:solidFill>
            </a:endParaRPr>
          </a:p>
        </xdr:txBody>
      </xdr:sp>
    </xdr:grpSp>
    <xdr:clientData/>
  </xdr:twoCellAnchor>
  <xdr:twoCellAnchor editAs="absolute">
    <xdr:from>
      <xdr:col>0</xdr:col>
      <xdr:colOff>0</xdr:colOff>
      <xdr:row>20</xdr:row>
      <xdr:rowOff>171450</xdr:rowOff>
    </xdr:from>
    <xdr:to>
      <xdr:col>11</xdr:col>
      <xdr:colOff>835875</xdr:colOff>
      <xdr:row>22</xdr:row>
      <xdr:rowOff>28575</xdr:rowOff>
    </xdr:to>
    <xdr:sp macro="" textlink="">
      <xdr:nvSpPr>
        <xdr:cNvPr id="13" name="Round Same Side Corner Rectangle 12"/>
        <xdr:cNvSpPr/>
      </xdr:nvSpPr>
      <xdr:spPr>
        <a:xfrm>
          <a:off x="0" y="4000500"/>
          <a:ext cx="10980000" cy="238125"/>
        </a:xfrm>
        <a:prstGeom prst="round2SameRect">
          <a:avLst/>
        </a:prstGeom>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0</xdr:colOff>
      <xdr:row>1</xdr:row>
      <xdr:rowOff>209551</xdr:rowOff>
    </xdr:from>
    <xdr:to>
      <xdr:col>12</xdr:col>
      <xdr:colOff>0</xdr:colOff>
      <xdr:row>2</xdr:row>
      <xdr:rowOff>0</xdr:rowOff>
    </xdr:to>
    <xdr:cxnSp macro="">
      <xdr:nvCxnSpPr>
        <xdr:cNvPr id="16" name="Straight Connector 15"/>
        <xdr:cNvCxnSpPr/>
      </xdr:nvCxnSpPr>
      <xdr:spPr>
        <a:xfrm>
          <a:off x="0" y="390526"/>
          <a:ext cx="10982325" cy="9524"/>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editAs="absolute">
    <xdr:from>
      <xdr:col>0</xdr:col>
      <xdr:colOff>342900</xdr:colOff>
      <xdr:row>38</xdr:row>
      <xdr:rowOff>85723</xdr:rowOff>
    </xdr:from>
    <xdr:to>
      <xdr:col>11</xdr:col>
      <xdr:colOff>595575</xdr:colOff>
      <xdr:row>52</xdr:row>
      <xdr:rowOff>104774</xdr:rowOff>
    </xdr:to>
    <xdr:sp macro="" textlink="">
      <xdr:nvSpPr>
        <xdr:cNvPr id="14" name="TextBox 13"/>
        <xdr:cNvSpPr txBox="1"/>
      </xdr:nvSpPr>
      <xdr:spPr>
        <a:xfrm>
          <a:off x="342900" y="7238998"/>
          <a:ext cx="10396800" cy="2552701"/>
        </a:xfrm>
        <a:prstGeom prst="rect">
          <a:avLst/>
        </a:prstGeom>
        <a:solidFill>
          <a:schemeClr val="accent4">
            <a:lumMod val="20000"/>
            <a:lumOff val="80000"/>
          </a:schemeClr>
        </a:solidFill>
        <a:ln/>
      </xdr:spPr>
      <xdr:style>
        <a:lnRef idx="1">
          <a:schemeClr val="accent4"/>
        </a:lnRef>
        <a:fillRef idx="2">
          <a:schemeClr val="accent4"/>
        </a:fillRef>
        <a:effectRef idx="1">
          <a:schemeClr val="accent4"/>
        </a:effectRef>
        <a:fontRef idx="minor">
          <a:schemeClr val="dk1"/>
        </a:fontRef>
      </xdr:style>
      <xdr:txBody>
        <a:bodyPr vertOverflow="clip" horzOverflow="clip" wrap="square" lIns="144000" tIns="144000" rIns="144000" bIns="144000" rtlCol="0" anchor="t"/>
        <a:lstStyle/>
        <a:p>
          <a:r>
            <a:rPr lang="en-GB" sz="1400" b="1"/>
            <a:t>Information in this profile:</a:t>
          </a:r>
        </a:p>
        <a:p>
          <a:endParaRPr lang="en-GB" sz="600" b="1"/>
        </a:p>
        <a:p>
          <a:r>
            <a:rPr lang="en-GB" sz="1100" b="0"/>
            <a:t>Where possible data are provided for each individual centre. Where the information is not available, or where numbers are very small, data is shown for groups of centres or for a larger geographical area. Regional and national figures are included where available.</a:t>
          </a:r>
        </a:p>
        <a:p>
          <a:endParaRPr lang="en-GB" sz="600" b="0"/>
        </a:p>
        <a:p>
          <a:r>
            <a:rPr lang="en-GB" sz="1100" b="0">
              <a:solidFill>
                <a:schemeClr val="dk1"/>
              </a:solidFill>
              <a:effectLst/>
              <a:latin typeface="+mn-lt"/>
              <a:ea typeface="+mn-ea"/>
              <a:cs typeface="+mn-cs"/>
            </a:rPr>
            <a:t>Brief notes concerning any statistical issues are</a:t>
          </a:r>
          <a:r>
            <a:rPr lang="en-GB" sz="1100" b="0" baseline="0">
              <a:solidFill>
                <a:schemeClr val="dk1"/>
              </a:solidFill>
              <a:effectLst/>
              <a:latin typeface="+mn-lt"/>
              <a:ea typeface="+mn-ea"/>
              <a:cs typeface="+mn-cs"/>
            </a:rPr>
            <a:t> provided for each section.</a:t>
          </a:r>
        </a:p>
        <a:p>
          <a:endParaRPr lang="en-GB" sz="600">
            <a:effectLst/>
          </a:endParaRPr>
        </a:p>
        <a:p>
          <a:pPr marL="0" marR="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dk1"/>
              </a:solidFill>
              <a:effectLst/>
              <a:latin typeface="+mn-lt"/>
              <a:ea typeface="+mn-ea"/>
              <a:cs typeface="+mn-cs"/>
            </a:rPr>
            <a:t>NOTE: An error was identified in the 2014 Children and Family Centre Profile concerning  "Household Composition", where the total number of households with a child aged 0-4 (and couple and non-couple households) were miscalcuated. This has been corrected in the 2015 Children's Workforce Public Health Profile. In addition, small changes to the way breastfeeding data is calculated has been backdated for consistency so small differences may exist between the 2014 and 2015 profile. </a:t>
          </a:r>
        </a:p>
        <a:p>
          <a:pPr marL="0" marR="0" indent="0" defTabSz="914400" eaLnBrk="1" fontAlgn="auto" latinLnBrk="0" hangingPunct="1">
            <a:lnSpc>
              <a:spcPct val="100000"/>
            </a:lnSpc>
            <a:spcBef>
              <a:spcPts val="0"/>
            </a:spcBef>
            <a:spcAft>
              <a:spcPts val="0"/>
            </a:spcAft>
            <a:buClrTx/>
            <a:buSzTx/>
            <a:buFontTx/>
            <a:buNone/>
            <a:tabLst/>
            <a:defRPr/>
          </a:pPr>
          <a:endParaRPr lang="en-GB" sz="600" b="0"/>
        </a:p>
        <a:p>
          <a:r>
            <a:rPr lang="en-GB" sz="1400" b="1"/>
            <a:t>Interpretation</a:t>
          </a:r>
          <a:r>
            <a:rPr lang="en-GB" sz="1400" b="1" baseline="0"/>
            <a:t> using </a:t>
          </a:r>
          <a:r>
            <a:rPr lang="en-GB" sz="1400" b="1" u="sng" baseline="0"/>
            <a:t>CONFIDENCE LEVELS</a:t>
          </a:r>
          <a:r>
            <a:rPr lang="en-GB" sz="1400" b="1" baseline="0"/>
            <a:t>:</a:t>
          </a:r>
          <a:endParaRPr lang="en-GB" sz="1400" b="1"/>
        </a:p>
        <a:p>
          <a:endParaRPr lang="en-GB" sz="600" b="0"/>
        </a:p>
        <a:p>
          <a:r>
            <a:rPr lang="en-GB" sz="1100" b="0"/>
            <a:t>95% confidence intervals are shown and should be used when making comparisons. Where confidence intervals overlap, it is not possible to say that a difference is statistically significant. For the majority of this profile, significance relates to whether an area is significantly different in comparison to </a:t>
          </a:r>
          <a:r>
            <a:rPr lang="en-GB" sz="1100" b="0" u="sng"/>
            <a:t>England averages</a:t>
          </a:r>
          <a:r>
            <a:rPr lang="en-GB" sz="1100" b="0"/>
            <a:t>.</a:t>
          </a:r>
        </a:p>
        <a:p>
          <a:endParaRPr lang="en-GB" sz="600" b="0"/>
        </a:p>
      </xdr:txBody>
    </xdr:sp>
    <xdr:clientData/>
  </xdr:twoCellAnchor>
  <xdr:twoCellAnchor editAs="absolute">
    <xdr:from>
      <xdr:col>0</xdr:col>
      <xdr:colOff>0</xdr:colOff>
      <xdr:row>16</xdr:row>
      <xdr:rowOff>1</xdr:rowOff>
    </xdr:from>
    <xdr:to>
      <xdr:col>12</xdr:col>
      <xdr:colOff>0</xdr:colOff>
      <xdr:row>16</xdr:row>
      <xdr:rowOff>9525</xdr:rowOff>
    </xdr:to>
    <xdr:cxnSp macro="">
      <xdr:nvCxnSpPr>
        <xdr:cNvPr id="33" name="Straight Connector 32"/>
        <xdr:cNvCxnSpPr/>
      </xdr:nvCxnSpPr>
      <xdr:spPr>
        <a:xfrm>
          <a:off x="0" y="3067051"/>
          <a:ext cx="10982325" cy="9524"/>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absolute">
        <xdr:from>
          <xdr:col>4</xdr:col>
          <xdr:colOff>447675</xdr:colOff>
          <xdr:row>16</xdr:row>
          <xdr:rowOff>123825</xdr:rowOff>
        </xdr:from>
        <xdr:to>
          <xdr:col>8</xdr:col>
          <xdr:colOff>266700</xdr:colOff>
          <xdr:row>18</xdr:row>
          <xdr:rowOff>9525</xdr:rowOff>
        </xdr:to>
        <xdr:sp macro="" textlink="">
          <xdr:nvSpPr>
            <xdr:cNvPr id="2050" name="Drop Down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twoCellAnchor editAs="absolute">
    <xdr:from>
      <xdr:col>8</xdr:col>
      <xdr:colOff>409575</xdr:colOff>
      <xdr:row>16</xdr:row>
      <xdr:rowOff>95250</xdr:rowOff>
    </xdr:from>
    <xdr:to>
      <xdr:col>9</xdr:col>
      <xdr:colOff>123825</xdr:colOff>
      <xdr:row>18</xdr:row>
      <xdr:rowOff>28575</xdr:rowOff>
    </xdr:to>
    <xdr:sp macro="" textlink="">
      <xdr:nvSpPr>
        <xdr:cNvPr id="15" name="Left Arrow 14"/>
        <xdr:cNvSpPr/>
      </xdr:nvSpPr>
      <xdr:spPr>
        <a:xfrm>
          <a:off x="7115175" y="3162300"/>
          <a:ext cx="552450" cy="314325"/>
        </a:xfrm>
        <a:prstGeom prst="lef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twoCellAnchor editAs="absolute">
    <xdr:from>
      <xdr:col>9</xdr:col>
      <xdr:colOff>133350</xdr:colOff>
      <xdr:row>16</xdr:row>
      <xdr:rowOff>123825</xdr:rowOff>
    </xdr:from>
    <xdr:to>
      <xdr:col>10</xdr:col>
      <xdr:colOff>1171575</xdr:colOff>
      <xdr:row>18</xdr:row>
      <xdr:rowOff>0</xdr:rowOff>
    </xdr:to>
    <xdr:sp macro="" textlink="">
      <xdr:nvSpPr>
        <xdr:cNvPr id="17" name="TextBox 16"/>
        <xdr:cNvSpPr txBox="1"/>
      </xdr:nvSpPr>
      <xdr:spPr>
        <a:xfrm>
          <a:off x="7677150" y="3190875"/>
          <a:ext cx="18764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Please select an</a:t>
          </a:r>
          <a:r>
            <a:rPr lang="en-GB" sz="1100" baseline="0"/>
            <a:t> area</a:t>
          </a:r>
          <a:endParaRPr lang="en-GB" sz="1100"/>
        </a:p>
      </xdr:txBody>
    </xdr:sp>
    <xdr:clientData/>
  </xdr:twoCellAnchor>
  <mc:AlternateContent xmlns:mc="http://schemas.openxmlformats.org/markup-compatibility/2006">
    <mc:Choice xmlns:a14="http://schemas.microsoft.com/office/drawing/2010/main" Requires="a14">
      <xdr:twoCellAnchor editAs="absolute">
        <xdr:from>
          <xdr:col>4</xdr:col>
          <xdr:colOff>447675</xdr:colOff>
          <xdr:row>18</xdr:row>
          <xdr:rowOff>161925</xdr:rowOff>
        </xdr:from>
        <xdr:to>
          <xdr:col>8</xdr:col>
          <xdr:colOff>266700</xdr:colOff>
          <xdr:row>20</xdr:row>
          <xdr:rowOff>47625</xdr:rowOff>
        </xdr:to>
        <xdr:sp macro="" textlink="">
          <xdr:nvSpPr>
            <xdr:cNvPr id="2051" name="Drop Down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xdr:twoCellAnchor editAs="absolute">
    <xdr:from>
      <xdr:col>8</xdr:col>
      <xdr:colOff>400050</xdr:colOff>
      <xdr:row>18</xdr:row>
      <xdr:rowOff>142875</xdr:rowOff>
    </xdr:from>
    <xdr:to>
      <xdr:col>9</xdr:col>
      <xdr:colOff>114300</xdr:colOff>
      <xdr:row>20</xdr:row>
      <xdr:rowOff>76200</xdr:rowOff>
    </xdr:to>
    <xdr:sp macro="" textlink="">
      <xdr:nvSpPr>
        <xdr:cNvPr id="22" name="Left Arrow 21"/>
        <xdr:cNvSpPr/>
      </xdr:nvSpPr>
      <xdr:spPr>
        <a:xfrm>
          <a:off x="7105650" y="3590925"/>
          <a:ext cx="552450" cy="314325"/>
        </a:xfrm>
        <a:prstGeom prst="lef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twoCellAnchor editAs="absolute">
    <xdr:from>
      <xdr:col>9</xdr:col>
      <xdr:colOff>123825</xdr:colOff>
      <xdr:row>19</xdr:row>
      <xdr:rowOff>0</xdr:rowOff>
    </xdr:from>
    <xdr:to>
      <xdr:col>10</xdr:col>
      <xdr:colOff>1162050</xdr:colOff>
      <xdr:row>20</xdr:row>
      <xdr:rowOff>66675</xdr:rowOff>
    </xdr:to>
    <xdr:sp macro="" textlink="">
      <xdr:nvSpPr>
        <xdr:cNvPr id="23" name="TextBox 22"/>
        <xdr:cNvSpPr txBox="1"/>
      </xdr:nvSpPr>
      <xdr:spPr>
        <a:xfrm>
          <a:off x="7667625" y="3638550"/>
          <a:ext cx="18764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Please select an</a:t>
          </a:r>
          <a:r>
            <a:rPr lang="en-GB" sz="1100" baseline="0"/>
            <a:t> area</a:t>
          </a:r>
          <a:endParaRPr lang="en-GB" sz="1100"/>
        </a:p>
      </xdr:txBody>
    </xdr:sp>
    <xdr:clientData/>
  </xdr:twoCellAnchor>
  <xdr:twoCellAnchor editAs="absolute">
    <xdr:from>
      <xdr:col>10</xdr:col>
      <xdr:colOff>476250</xdr:colOff>
      <xdr:row>35</xdr:row>
      <xdr:rowOff>123825</xdr:rowOff>
    </xdr:from>
    <xdr:to>
      <xdr:col>11</xdr:col>
      <xdr:colOff>571500</xdr:colOff>
      <xdr:row>37</xdr:row>
      <xdr:rowOff>9525</xdr:rowOff>
    </xdr:to>
    <xdr:sp macro="" textlink="">
      <xdr:nvSpPr>
        <xdr:cNvPr id="18" name="Rectangle 17">
          <a:hlinkClick xmlns:r="http://schemas.openxmlformats.org/officeDocument/2006/relationships" r:id="rId5"/>
        </xdr:cNvPr>
        <xdr:cNvSpPr/>
      </xdr:nvSpPr>
      <xdr:spPr>
        <a:xfrm>
          <a:off x="8858250" y="6734175"/>
          <a:ext cx="1857375" cy="24765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en-GB" sz="1100"/>
            <a:t>Go</a:t>
          </a:r>
          <a:r>
            <a:rPr lang="en-GB" sz="1100" baseline="0"/>
            <a:t> to the data</a:t>
          </a:r>
          <a:endParaRPr lang="en-GB"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0</xdr:row>
      <xdr:rowOff>104775</xdr:rowOff>
    </xdr:from>
    <xdr:to>
      <xdr:col>19</xdr:col>
      <xdr:colOff>122475</xdr:colOff>
      <xdr:row>4</xdr:row>
      <xdr:rowOff>57150</xdr:rowOff>
    </xdr:to>
    <xdr:grpSp>
      <xdr:nvGrpSpPr>
        <xdr:cNvPr id="12" name="Group 11"/>
        <xdr:cNvGrpSpPr/>
      </xdr:nvGrpSpPr>
      <xdr:grpSpPr>
        <a:xfrm>
          <a:off x="85725" y="104775"/>
          <a:ext cx="10800000" cy="676275"/>
          <a:chOff x="85725" y="104775"/>
          <a:chExt cx="10800000" cy="676275"/>
        </a:xfrm>
      </xdr:grpSpPr>
      <xdr:sp macro="" textlink="">
        <xdr:nvSpPr>
          <xdr:cNvPr id="3" name="Round Same Side Corner Rectangle 2"/>
          <xdr:cNvSpPr/>
        </xdr:nvSpPr>
        <xdr:spPr>
          <a:xfrm>
            <a:off x="85725" y="104775"/>
            <a:ext cx="10796776" cy="676275"/>
          </a:xfrm>
          <a:prstGeom prst="round2SameRect">
            <a:avLst>
              <a:gd name="adj1" fmla="val 50000"/>
              <a:gd name="adj2" fmla="val 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000"/>
          </a:p>
        </xdr:txBody>
      </xdr:sp>
      <xdr:sp macro="" textlink="">
        <xdr:nvSpPr>
          <xdr:cNvPr id="4" name="Snip Single Corner Rectangle 3">
            <a:hlinkClick xmlns:r="http://schemas.openxmlformats.org/officeDocument/2006/relationships" r:id="rId1"/>
          </xdr:cNvPr>
          <xdr:cNvSpPr/>
        </xdr:nvSpPr>
        <xdr:spPr>
          <a:xfrm>
            <a:off x="95246" y="500879"/>
            <a:ext cx="1763473" cy="251187"/>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b="0"/>
              <a:t>Population</a:t>
            </a:r>
          </a:p>
        </xdr:txBody>
      </xdr:sp>
      <xdr:sp macro="" textlink="">
        <xdr:nvSpPr>
          <xdr:cNvPr id="5" name="Snip Single Corner Rectangle 4">
            <a:hlinkClick xmlns:r="http://schemas.openxmlformats.org/officeDocument/2006/relationships" r:id="rId2"/>
          </xdr:cNvPr>
          <xdr:cNvSpPr/>
        </xdr:nvSpPr>
        <xdr:spPr>
          <a:xfrm>
            <a:off x="1900647" y="500879"/>
            <a:ext cx="1763473" cy="251187"/>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Family Structure</a:t>
            </a:r>
          </a:p>
        </xdr:txBody>
      </xdr:sp>
      <xdr:sp macro="" textlink="">
        <xdr:nvSpPr>
          <xdr:cNvPr id="6" name="Snip Single Corner Rectangle 5">
            <a:hlinkClick xmlns:r="http://schemas.openxmlformats.org/officeDocument/2006/relationships" r:id="rId3"/>
          </xdr:cNvPr>
          <xdr:cNvSpPr/>
        </xdr:nvSpPr>
        <xdr:spPr>
          <a:xfrm>
            <a:off x="3706048" y="500879"/>
            <a:ext cx="1763473" cy="251187"/>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Health Indicators</a:t>
            </a:r>
          </a:p>
        </xdr:txBody>
      </xdr:sp>
      <xdr:sp macro="" textlink="">
        <xdr:nvSpPr>
          <xdr:cNvPr id="7" name="Snip Single Corner Rectangle 6">
            <a:hlinkClick xmlns:r="http://schemas.openxmlformats.org/officeDocument/2006/relationships" r:id="rId4"/>
          </xdr:cNvPr>
          <xdr:cNvSpPr/>
        </xdr:nvSpPr>
        <xdr:spPr>
          <a:xfrm>
            <a:off x="7316850" y="500879"/>
            <a:ext cx="1763473" cy="251187"/>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Deprivation</a:t>
            </a:r>
          </a:p>
        </xdr:txBody>
      </xdr:sp>
      <xdr:sp macro="" textlink="">
        <xdr:nvSpPr>
          <xdr:cNvPr id="8" name="Snip Single Corner Rectangle 7">
            <a:hlinkClick xmlns:r="http://schemas.openxmlformats.org/officeDocument/2006/relationships" r:id="rId5"/>
          </xdr:cNvPr>
          <xdr:cNvSpPr/>
        </xdr:nvSpPr>
        <xdr:spPr>
          <a:xfrm>
            <a:off x="9122252" y="500879"/>
            <a:ext cx="1763473" cy="251187"/>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EYFS</a:t>
            </a:r>
          </a:p>
        </xdr:txBody>
      </xdr:sp>
      <xdr:cxnSp macro="">
        <xdr:nvCxnSpPr>
          <xdr:cNvPr id="9" name="Straight Connector 8"/>
          <xdr:cNvCxnSpPr/>
        </xdr:nvCxnSpPr>
        <xdr:spPr>
          <a:xfrm>
            <a:off x="85725" y="771389"/>
            <a:ext cx="10796776" cy="1"/>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10" name="Snip Single Corner Rectangle 9">
            <a:hlinkClick xmlns:r="http://schemas.openxmlformats.org/officeDocument/2006/relationships" r:id="rId4"/>
          </xdr:cNvPr>
          <xdr:cNvSpPr/>
        </xdr:nvSpPr>
        <xdr:spPr>
          <a:xfrm>
            <a:off x="5505450" y="504825"/>
            <a:ext cx="1763473" cy="251187"/>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Birth and Early</a:t>
            </a:r>
            <a:r>
              <a:rPr lang="en-GB" sz="1000" baseline="0"/>
              <a:t> Years</a:t>
            </a:r>
            <a:endParaRPr lang="en-GB" sz="1000"/>
          </a:p>
        </xdr:txBody>
      </xdr:sp>
    </xdr:grpSp>
    <xdr:clientData/>
  </xdr:twoCellAnchor>
  <xdr:twoCellAnchor editAs="absolute">
    <xdr:from>
      <xdr:col>2</xdr:col>
      <xdr:colOff>161925</xdr:colOff>
      <xdr:row>0</xdr:row>
      <xdr:rowOff>152400</xdr:rowOff>
    </xdr:from>
    <xdr:to>
      <xdr:col>11</xdr:col>
      <xdr:colOff>342900</xdr:colOff>
      <xdr:row>2</xdr:row>
      <xdr:rowOff>118926</xdr:rowOff>
    </xdr:to>
    <xdr:sp macro="" textlink="">
      <xdr:nvSpPr>
        <xdr:cNvPr id="13" name="TextBox 12"/>
        <xdr:cNvSpPr txBox="1"/>
      </xdr:nvSpPr>
      <xdr:spPr>
        <a:xfrm>
          <a:off x="361950" y="152400"/>
          <a:ext cx="5924550" cy="328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Children's Workforce Public Health Profiles: </a:t>
          </a:r>
          <a:r>
            <a:rPr lang="en-GB" sz="1400" b="0"/>
            <a:t>References and Resources</a:t>
          </a:r>
        </a:p>
      </xdr:txBody>
    </xdr:sp>
    <xdr:clientData/>
  </xdr:twoCellAnchor>
  <xdr:twoCellAnchor editAs="absolute">
    <xdr:from>
      <xdr:col>0</xdr:col>
      <xdr:colOff>76200</xdr:colOff>
      <xdr:row>39</xdr:row>
      <xdr:rowOff>171450</xdr:rowOff>
    </xdr:from>
    <xdr:to>
      <xdr:col>19</xdr:col>
      <xdr:colOff>132000</xdr:colOff>
      <xdr:row>41</xdr:row>
      <xdr:rowOff>113240</xdr:rowOff>
    </xdr:to>
    <xdr:grpSp>
      <xdr:nvGrpSpPr>
        <xdr:cNvPr id="14" name="Group 13"/>
        <xdr:cNvGrpSpPr/>
      </xdr:nvGrpSpPr>
      <xdr:grpSpPr>
        <a:xfrm>
          <a:off x="76200" y="8886825"/>
          <a:ext cx="10819050" cy="313265"/>
          <a:chOff x="9524" y="6115049"/>
          <a:chExt cx="10963276" cy="314325"/>
        </a:xfrm>
      </xdr:grpSpPr>
      <xdr:sp macro="" textlink="">
        <xdr:nvSpPr>
          <xdr:cNvPr id="15" name="Round Same Side Corner Rectangle 14"/>
          <xdr:cNvSpPr/>
        </xdr:nvSpPr>
        <xdr:spPr>
          <a:xfrm flipV="1">
            <a:off x="9524" y="6124573"/>
            <a:ext cx="10958850" cy="238125"/>
          </a:xfrm>
          <a:prstGeom prst="round2SameRect">
            <a:avLst/>
          </a:prstGeom>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GB" sz="1100"/>
          </a:p>
        </xdr:txBody>
      </xdr:sp>
      <xdr:sp macro="" textlink="$R$1">
        <xdr:nvSpPr>
          <xdr:cNvPr id="16" name="TextBox 15"/>
          <xdr:cNvSpPr txBox="1"/>
        </xdr:nvSpPr>
        <xdr:spPr>
          <a:xfrm>
            <a:off x="8829675" y="6115049"/>
            <a:ext cx="21431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B1BCF6-4FA2-4300-A41F-12861E9D32B9}" type="TxLink">
              <a:rPr lang="en-US" sz="1200" b="0" i="0" u="none" strike="noStrike">
                <a:solidFill>
                  <a:schemeClr val="bg1"/>
                </a:solidFill>
                <a:latin typeface="Calibri"/>
                <a:ea typeface="Verdana"/>
                <a:cs typeface="Calibri"/>
              </a:rPr>
              <a:pPr/>
              <a:t> </a:t>
            </a:fld>
            <a:endParaRPr lang="en-GB" sz="1200" b="0">
              <a:solidFill>
                <a:schemeClr val="bg1"/>
              </a:solidFill>
            </a:endParaRPr>
          </a:p>
        </xdr:txBody>
      </xdr:sp>
    </xdr:grpSp>
    <xdr:clientData/>
  </xdr:twoCellAnchor>
  <xdr:twoCellAnchor editAs="absolute">
    <xdr:from>
      <xdr:col>15</xdr:col>
      <xdr:colOff>295275</xdr:colOff>
      <xdr:row>1</xdr:row>
      <xdr:rowOff>19050</xdr:rowOff>
    </xdr:from>
    <xdr:to>
      <xdr:col>18</xdr:col>
      <xdr:colOff>238125</xdr:colOff>
      <xdr:row>2</xdr:row>
      <xdr:rowOff>85725</xdr:rowOff>
    </xdr:to>
    <xdr:sp macro="" textlink="">
      <xdr:nvSpPr>
        <xdr:cNvPr id="17" name="Rectangle 16">
          <a:hlinkClick xmlns:r="http://schemas.openxmlformats.org/officeDocument/2006/relationships" r:id="rId6"/>
        </xdr:cNvPr>
        <xdr:cNvSpPr/>
      </xdr:nvSpPr>
      <xdr:spPr>
        <a:xfrm>
          <a:off x="8791575" y="200025"/>
          <a:ext cx="1857375" cy="24765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en-GB" sz="1100"/>
            <a:t>Go</a:t>
          </a:r>
          <a:r>
            <a:rPr lang="en-GB" sz="1100" baseline="0"/>
            <a:t> to the data</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193</xdr:row>
      <xdr:rowOff>24797</xdr:rowOff>
    </xdr:from>
    <xdr:to>
      <xdr:col>20</xdr:col>
      <xdr:colOff>103426</xdr:colOff>
      <xdr:row>194</xdr:row>
      <xdr:rowOff>158147</xdr:rowOff>
    </xdr:to>
    <xdr:grpSp>
      <xdr:nvGrpSpPr>
        <xdr:cNvPr id="2" name="Group 1"/>
        <xdr:cNvGrpSpPr/>
      </xdr:nvGrpSpPr>
      <xdr:grpSpPr>
        <a:xfrm>
          <a:off x="95251" y="36257897"/>
          <a:ext cx="10800000" cy="314325"/>
          <a:chOff x="9524" y="6115049"/>
          <a:chExt cx="10963276" cy="314325"/>
        </a:xfrm>
      </xdr:grpSpPr>
      <xdr:sp macro="" textlink="">
        <xdr:nvSpPr>
          <xdr:cNvPr id="3" name="Round Same Side Corner Rectangle 2"/>
          <xdr:cNvSpPr/>
        </xdr:nvSpPr>
        <xdr:spPr>
          <a:xfrm flipV="1">
            <a:off x="9524" y="6124573"/>
            <a:ext cx="10958850" cy="238125"/>
          </a:xfrm>
          <a:prstGeom prst="round2SameRect">
            <a:avLst/>
          </a:prstGeom>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GB" sz="1100"/>
          </a:p>
        </xdr:txBody>
      </xdr:sp>
      <xdr:sp macro="" textlink="$X$1">
        <xdr:nvSpPr>
          <xdr:cNvPr id="4" name="TextBox 3"/>
          <xdr:cNvSpPr txBox="1"/>
        </xdr:nvSpPr>
        <xdr:spPr>
          <a:xfrm>
            <a:off x="8829675" y="6115049"/>
            <a:ext cx="21431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B1BCF6-4FA2-4300-A41F-12861E9D32B9}" type="TxLink">
              <a:rPr lang="en-US" sz="1200" b="0" i="0" u="none" strike="noStrike">
                <a:solidFill>
                  <a:schemeClr val="bg1"/>
                </a:solidFill>
                <a:latin typeface="Calibri"/>
                <a:ea typeface="Verdana"/>
                <a:cs typeface="Calibri"/>
              </a:rPr>
              <a:pPr/>
              <a:t>12:39PM Friday 18 December 2015</a:t>
            </a:fld>
            <a:endParaRPr lang="en-GB" sz="1200" b="0">
              <a:solidFill>
                <a:schemeClr val="bg1"/>
              </a:solidFill>
            </a:endParaRPr>
          </a:p>
        </xdr:txBody>
      </xdr:sp>
    </xdr:grpSp>
    <xdr:clientData/>
  </xdr:twoCellAnchor>
  <xdr:twoCellAnchor editAs="oneCell">
    <xdr:from>
      <xdr:col>1</xdr:col>
      <xdr:colOff>0</xdr:colOff>
      <xdr:row>0</xdr:row>
      <xdr:rowOff>123825</xdr:rowOff>
    </xdr:from>
    <xdr:to>
      <xdr:col>20</xdr:col>
      <xdr:colOff>100201</xdr:colOff>
      <xdr:row>4</xdr:row>
      <xdr:rowOff>9525</xdr:rowOff>
    </xdr:to>
    <xdr:sp macro="" textlink="">
      <xdr:nvSpPr>
        <xdr:cNvPr id="6" name="Round Same Side Corner Rectangle 5"/>
        <xdr:cNvSpPr/>
      </xdr:nvSpPr>
      <xdr:spPr>
        <a:xfrm>
          <a:off x="95250" y="123825"/>
          <a:ext cx="10796776" cy="676275"/>
        </a:xfrm>
        <a:prstGeom prst="round2SameRect">
          <a:avLst>
            <a:gd name="adj1" fmla="val 50000"/>
            <a:gd name="adj2" fmla="val 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000"/>
        </a:p>
      </xdr:txBody>
    </xdr:sp>
    <xdr:clientData/>
  </xdr:twoCellAnchor>
  <xdr:twoCellAnchor editAs="oneCell">
    <xdr:from>
      <xdr:col>1</xdr:col>
      <xdr:colOff>9521</xdr:colOff>
      <xdr:row>2</xdr:row>
      <xdr:rowOff>110354</xdr:rowOff>
    </xdr:from>
    <xdr:to>
      <xdr:col>4</xdr:col>
      <xdr:colOff>506169</xdr:colOff>
      <xdr:row>3</xdr:row>
      <xdr:rowOff>171041</xdr:rowOff>
    </xdr:to>
    <xdr:sp macro="" textlink="">
      <xdr:nvSpPr>
        <xdr:cNvPr id="7" name="Snip Single Corner Rectangle 6">
          <a:hlinkClick xmlns:r="http://schemas.openxmlformats.org/officeDocument/2006/relationships" r:id="rId1"/>
        </xdr:cNvPr>
        <xdr:cNvSpPr/>
      </xdr:nvSpPr>
      <xdr:spPr>
        <a:xfrm>
          <a:off x="104771" y="519929"/>
          <a:ext cx="1763473" cy="251187"/>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b="0"/>
            <a:t>Population</a:t>
          </a:r>
        </a:p>
      </xdr:txBody>
    </xdr:sp>
    <xdr:clientData/>
  </xdr:twoCellAnchor>
  <xdr:twoCellAnchor editAs="oneCell">
    <xdr:from>
      <xdr:col>5</xdr:col>
      <xdr:colOff>5172</xdr:colOff>
      <xdr:row>2</xdr:row>
      <xdr:rowOff>110354</xdr:rowOff>
    </xdr:from>
    <xdr:to>
      <xdr:col>7</xdr:col>
      <xdr:colOff>492295</xdr:colOff>
      <xdr:row>3</xdr:row>
      <xdr:rowOff>171041</xdr:rowOff>
    </xdr:to>
    <xdr:sp macro="" textlink="">
      <xdr:nvSpPr>
        <xdr:cNvPr id="8" name="Snip Single Corner Rectangle 7">
          <a:hlinkClick xmlns:r="http://schemas.openxmlformats.org/officeDocument/2006/relationships" r:id="rId2"/>
        </xdr:cNvPr>
        <xdr:cNvSpPr/>
      </xdr:nvSpPr>
      <xdr:spPr>
        <a:xfrm>
          <a:off x="1910172" y="519929"/>
          <a:ext cx="1763473" cy="251187"/>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Family Structure</a:t>
          </a:r>
        </a:p>
      </xdr:txBody>
    </xdr:sp>
    <xdr:clientData/>
  </xdr:twoCellAnchor>
  <xdr:twoCellAnchor editAs="oneCell">
    <xdr:from>
      <xdr:col>7</xdr:col>
      <xdr:colOff>534223</xdr:colOff>
      <xdr:row>2</xdr:row>
      <xdr:rowOff>110354</xdr:rowOff>
    </xdr:from>
    <xdr:to>
      <xdr:col>10</xdr:col>
      <xdr:colOff>383171</xdr:colOff>
      <xdr:row>3</xdr:row>
      <xdr:rowOff>171041</xdr:rowOff>
    </xdr:to>
    <xdr:sp macro="" textlink="">
      <xdr:nvSpPr>
        <xdr:cNvPr id="9" name="Snip Single Corner Rectangle 8">
          <a:hlinkClick xmlns:r="http://schemas.openxmlformats.org/officeDocument/2006/relationships" r:id="rId3"/>
        </xdr:cNvPr>
        <xdr:cNvSpPr/>
      </xdr:nvSpPr>
      <xdr:spPr>
        <a:xfrm>
          <a:off x="3715573" y="519929"/>
          <a:ext cx="1763473" cy="251187"/>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Health Indicators</a:t>
          </a:r>
        </a:p>
      </xdr:txBody>
    </xdr:sp>
    <xdr:clientData/>
  </xdr:twoCellAnchor>
  <xdr:twoCellAnchor editAs="oneCell">
    <xdr:from>
      <xdr:col>13</xdr:col>
      <xdr:colOff>315975</xdr:colOff>
      <xdr:row>2</xdr:row>
      <xdr:rowOff>110354</xdr:rowOff>
    </xdr:from>
    <xdr:to>
      <xdr:col>16</xdr:col>
      <xdr:colOff>164923</xdr:colOff>
      <xdr:row>3</xdr:row>
      <xdr:rowOff>171041</xdr:rowOff>
    </xdr:to>
    <xdr:sp macro="" textlink="">
      <xdr:nvSpPr>
        <xdr:cNvPr id="11" name="Snip Single Corner Rectangle 10">
          <a:hlinkClick xmlns:r="http://schemas.openxmlformats.org/officeDocument/2006/relationships" r:id="rId4"/>
        </xdr:cNvPr>
        <xdr:cNvSpPr/>
      </xdr:nvSpPr>
      <xdr:spPr>
        <a:xfrm>
          <a:off x="7326375" y="519929"/>
          <a:ext cx="1763473" cy="251187"/>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Deprivation</a:t>
          </a:r>
        </a:p>
      </xdr:txBody>
    </xdr:sp>
    <xdr:clientData/>
  </xdr:twoCellAnchor>
  <xdr:twoCellAnchor editAs="oneCell">
    <xdr:from>
      <xdr:col>16</xdr:col>
      <xdr:colOff>206852</xdr:colOff>
      <xdr:row>2</xdr:row>
      <xdr:rowOff>110354</xdr:rowOff>
    </xdr:from>
    <xdr:to>
      <xdr:col>20</xdr:col>
      <xdr:colOff>103425</xdr:colOff>
      <xdr:row>3</xdr:row>
      <xdr:rowOff>171041</xdr:rowOff>
    </xdr:to>
    <xdr:sp macro="" textlink="">
      <xdr:nvSpPr>
        <xdr:cNvPr id="12" name="Snip Single Corner Rectangle 11">
          <a:hlinkClick xmlns:r="http://schemas.openxmlformats.org/officeDocument/2006/relationships" r:id="rId5"/>
        </xdr:cNvPr>
        <xdr:cNvSpPr/>
      </xdr:nvSpPr>
      <xdr:spPr>
        <a:xfrm>
          <a:off x="9131777" y="519929"/>
          <a:ext cx="1763473" cy="251187"/>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EYFS</a:t>
          </a:r>
        </a:p>
      </xdr:txBody>
    </xdr:sp>
    <xdr:clientData/>
  </xdr:twoCellAnchor>
  <xdr:twoCellAnchor editAs="oneCell">
    <xdr:from>
      <xdr:col>1</xdr:col>
      <xdr:colOff>0</xdr:colOff>
      <xdr:row>3</xdr:row>
      <xdr:rowOff>190364</xdr:rowOff>
    </xdr:from>
    <xdr:to>
      <xdr:col>20</xdr:col>
      <xdr:colOff>100201</xdr:colOff>
      <xdr:row>3</xdr:row>
      <xdr:rowOff>190365</xdr:rowOff>
    </xdr:to>
    <xdr:cxnSp macro="">
      <xdr:nvCxnSpPr>
        <xdr:cNvPr id="13" name="Straight Connector 12"/>
        <xdr:cNvCxnSpPr/>
      </xdr:nvCxnSpPr>
      <xdr:spPr>
        <a:xfrm>
          <a:off x="95250" y="790439"/>
          <a:ext cx="10796776" cy="1"/>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editAs="oneCell">
    <xdr:from>
      <xdr:col>2</xdr:col>
      <xdr:colOff>161844</xdr:colOff>
      <xdr:row>0</xdr:row>
      <xdr:rowOff>152808</xdr:rowOff>
    </xdr:from>
    <xdr:to>
      <xdr:col>10</xdr:col>
      <xdr:colOff>152399</xdr:colOff>
      <xdr:row>2</xdr:row>
      <xdr:rowOff>71709</xdr:rowOff>
    </xdr:to>
    <xdr:sp macro="" textlink="">
      <xdr:nvSpPr>
        <xdr:cNvPr id="14" name="TextBox 13"/>
        <xdr:cNvSpPr txBox="1"/>
      </xdr:nvSpPr>
      <xdr:spPr>
        <a:xfrm>
          <a:off x="361869" y="152808"/>
          <a:ext cx="4886405" cy="328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Children's Workforce Public Health Profiles : </a:t>
          </a:r>
          <a:r>
            <a:rPr lang="en-GB" sz="1400" b="0"/>
            <a:t>Contents</a:t>
          </a:r>
        </a:p>
      </xdr:txBody>
    </xdr:sp>
    <xdr:clientData/>
  </xdr:twoCellAnchor>
  <xdr:twoCellAnchor editAs="oneCell">
    <xdr:from>
      <xdr:col>10</xdr:col>
      <xdr:colOff>419100</xdr:colOff>
      <xdr:row>2</xdr:row>
      <xdr:rowOff>114300</xdr:rowOff>
    </xdr:from>
    <xdr:to>
      <xdr:col>13</xdr:col>
      <xdr:colOff>268048</xdr:colOff>
      <xdr:row>3</xdr:row>
      <xdr:rowOff>174987</xdr:rowOff>
    </xdr:to>
    <xdr:sp macro="" textlink="">
      <xdr:nvSpPr>
        <xdr:cNvPr id="48" name="Snip Single Corner Rectangle 47">
          <a:hlinkClick xmlns:r="http://schemas.openxmlformats.org/officeDocument/2006/relationships" r:id="rId4"/>
        </xdr:cNvPr>
        <xdr:cNvSpPr/>
      </xdr:nvSpPr>
      <xdr:spPr>
        <a:xfrm>
          <a:off x="5514975" y="523875"/>
          <a:ext cx="1763473" cy="251187"/>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Birth and Early</a:t>
          </a:r>
          <a:r>
            <a:rPr lang="en-GB" sz="1000" baseline="0"/>
            <a:t> Years</a:t>
          </a:r>
          <a:endParaRPr lang="en-GB" sz="1000"/>
        </a:p>
      </xdr:txBody>
    </xdr:sp>
    <xdr:clientData/>
  </xdr:twoCellAnchor>
  <xdr:twoCellAnchor editAs="oneCell">
    <xdr:from>
      <xdr:col>1</xdr:col>
      <xdr:colOff>0</xdr:colOff>
      <xdr:row>59</xdr:row>
      <xdr:rowOff>141805</xdr:rowOff>
    </xdr:from>
    <xdr:to>
      <xdr:col>21</xdr:col>
      <xdr:colOff>0</xdr:colOff>
      <xdr:row>61</xdr:row>
      <xdr:rowOff>94180</xdr:rowOff>
    </xdr:to>
    <xdr:grpSp>
      <xdr:nvGrpSpPr>
        <xdr:cNvPr id="49" name="Group 48"/>
        <xdr:cNvGrpSpPr/>
      </xdr:nvGrpSpPr>
      <xdr:grpSpPr>
        <a:xfrm>
          <a:off x="95250" y="12124255"/>
          <a:ext cx="10810875" cy="314325"/>
          <a:chOff x="9524" y="6115049"/>
          <a:chExt cx="10963277" cy="314325"/>
        </a:xfrm>
      </xdr:grpSpPr>
      <xdr:sp macro="" textlink="">
        <xdr:nvSpPr>
          <xdr:cNvPr id="50" name="Round Same Side Corner Rectangle 49"/>
          <xdr:cNvSpPr/>
        </xdr:nvSpPr>
        <xdr:spPr>
          <a:xfrm flipV="1">
            <a:off x="9524" y="6124573"/>
            <a:ext cx="10958850" cy="238125"/>
          </a:xfrm>
          <a:prstGeom prst="round2SameRect">
            <a:avLst/>
          </a:prstGeom>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GB" sz="1100"/>
          </a:p>
        </xdr:txBody>
      </xdr:sp>
      <xdr:sp macro="" textlink="$X$1">
        <xdr:nvSpPr>
          <xdr:cNvPr id="51" name="TextBox 50"/>
          <xdr:cNvSpPr txBox="1"/>
        </xdr:nvSpPr>
        <xdr:spPr>
          <a:xfrm>
            <a:off x="7918767" y="6115049"/>
            <a:ext cx="305403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3B1BCF6-4FA2-4300-A41F-12861E9D32B9}" type="TxLink">
              <a:rPr lang="en-US" sz="1200" b="0" i="0" u="none" strike="noStrike">
                <a:solidFill>
                  <a:schemeClr val="bg1"/>
                </a:solidFill>
                <a:latin typeface="Calibri"/>
                <a:ea typeface="Verdana"/>
                <a:cs typeface="Calibri"/>
              </a:rPr>
              <a:pPr algn="r"/>
              <a:t>12:39PM Friday 18 December 2015</a:t>
            </a:fld>
            <a:endParaRPr lang="en-GB" sz="1200" b="0">
              <a:solidFill>
                <a:schemeClr val="bg1"/>
              </a:solidFill>
            </a:endParaRPr>
          </a:p>
        </xdr:txBody>
      </xdr:sp>
    </xdr:grpSp>
    <xdr:clientData/>
  </xdr:twoCellAnchor>
  <xdr:twoCellAnchor editAs="oneCell">
    <xdr:from>
      <xdr:col>2</xdr:col>
      <xdr:colOff>0</xdr:colOff>
      <xdr:row>4</xdr:row>
      <xdr:rowOff>180975</xdr:rowOff>
    </xdr:from>
    <xdr:to>
      <xdr:col>4</xdr:col>
      <xdr:colOff>485775</xdr:colOff>
      <xdr:row>21</xdr:row>
      <xdr:rowOff>0</xdr:rowOff>
    </xdr:to>
    <xdr:sp macro="" textlink="">
      <xdr:nvSpPr>
        <xdr:cNvPr id="15" name="Rectangle 14"/>
        <xdr:cNvSpPr/>
      </xdr:nvSpPr>
      <xdr:spPr>
        <a:xfrm>
          <a:off x="200025" y="971550"/>
          <a:ext cx="1647825" cy="2828925"/>
        </a:xfrm>
        <a:prstGeom prst="rect">
          <a:avLst/>
        </a:prstGeom>
        <a:solidFill>
          <a:schemeClr val="bg1">
            <a:lumMod val="95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GB" sz="1050" b="0" i="0" u="none" strike="noStrike">
              <a:solidFill>
                <a:schemeClr val="dk1"/>
              </a:solidFill>
              <a:effectLst/>
              <a:latin typeface="+mn-lt"/>
              <a:ea typeface="+mn-ea"/>
              <a:cs typeface="+mn-cs"/>
            </a:rPr>
            <a:t>1. Geographies</a:t>
          </a:r>
        </a:p>
        <a:p>
          <a:pPr algn="l"/>
          <a:endParaRPr lang="en-GB" sz="500" b="0" i="0" u="none" strike="noStrike">
            <a:solidFill>
              <a:schemeClr val="dk1"/>
            </a:solidFill>
            <a:effectLst/>
            <a:latin typeface="+mn-lt"/>
            <a:ea typeface="+mn-ea"/>
            <a:cs typeface="+mn-cs"/>
          </a:endParaRPr>
        </a:p>
        <a:p>
          <a:pPr algn="l"/>
          <a:r>
            <a:rPr lang="en-GB" sz="1050" b="0" i="0" u="none" strike="noStrike">
              <a:solidFill>
                <a:schemeClr val="dk1"/>
              </a:solidFill>
              <a:effectLst/>
              <a:latin typeface="+mn-lt"/>
              <a:ea typeface="+mn-ea"/>
              <a:cs typeface="+mn-cs"/>
            </a:rPr>
            <a:t>2. Overall</a:t>
          </a:r>
          <a:r>
            <a:rPr lang="en-GB" sz="1050" b="0" i="0" u="none" strike="noStrike" baseline="0">
              <a:solidFill>
                <a:schemeClr val="dk1"/>
              </a:solidFill>
              <a:effectLst/>
              <a:latin typeface="+mn-lt"/>
              <a:ea typeface="+mn-ea"/>
              <a:cs typeface="+mn-cs"/>
            </a:rPr>
            <a:t> p</a:t>
          </a:r>
          <a:r>
            <a:rPr lang="en-GB" sz="1050" b="0" i="0" u="none" strike="noStrike">
              <a:solidFill>
                <a:schemeClr val="dk1"/>
              </a:solidFill>
              <a:effectLst/>
              <a:latin typeface="+mn-lt"/>
              <a:ea typeface="+mn-ea"/>
              <a:cs typeface="+mn-cs"/>
            </a:rPr>
            <a:t>opulation</a:t>
          </a:r>
          <a:r>
            <a:rPr lang="en-GB" sz="1050"/>
            <a:t> </a:t>
          </a:r>
          <a:r>
            <a:rPr lang="en-GB" sz="1050" b="0" i="0" u="none" strike="noStrike">
              <a:solidFill>
                <a:schemeClr val="dk1"/>
              </a:solidFill>
              <a:effectLst/>
              <a:latin typeface="+mn-lt"/>
              <a:ea typeface="+mn-ea"/>
              <a:cs typeface="+mn-cs"/>
            </a:rPr>
            <a:t> </a:t>
          </a:r>
        </a:p>
        <a:p>
          <a:pPr algn="l"/>
          <a:r>
            <a:rPr lang="en-GB" sz="500"/>
            <a:t> </a:t>
          </a:r>
        </a:p>
        <a:p>
          <a:pPr algn="l"/>
          <a:r>
            <a:rPr lang="en-GB" sz="1050" b="0" i="0" u="none" strike="noStrike">
              <a:solidFill>
                <a:schemeClr val="dk1"/>
              </a:solidFill>
              <a:effectLst/>
              <a:latin typeface="+mn-lt"/>
              <a:ea typeface="+mn-ea"/>
              <a:cs typeface="+mn-cs"/>
            </a:rPr>
            <a:t>3. Population of 0-4 year olds</a:t>
          </a:r>
          <a:r>
            <a:rPr lang="en-GB" sz="1050"/>
            <a:t> </a:t>
          </a:r>
          <a:r>
            <a:rPr lang="en-GB" sz="1050" b="0" i="0" u="none" strike="noStrike">
              <a:solidFill>
                <a:schemeClr val="dk1"/>
              </a:solidFill>
              <a:effectLst/>
              <a:latin typeface="+mn-lt"/>
              <a:ea typeface="+mn-ea"/>
              <a:cs typeface="+mn-cs"/>
            </a:rPr>
            <a:t> </a:t>
          </a:r>
        </a:p>
        <a:p>
          <a:pPr algn="l"/>
          <a:endParaRPr lang="en-GB" sz="500" b="0" i="0" u="none" strike="noStrike">
            <a:solidFill>
              <a:schemeClr val="dk1"/>
            </a:solidFill>
            <a:effectLst/>
            <a:latin typeface="+mn-lt"/>
            <a:ea typeface="+mn-ea"/>
            <a:cs typeface="+mn-cs"/>
          </a:endParaRPr>
        </a:p>
        <a:p>
          <a:pPr algn="l"/>
          <a:r>
            <a:rPr lang="en-GB" sz="1050" b="0" i="0" u="none" strike="noStrike">
              <a:solidFill>
                <a:schemeClr val="dk1"/>
              </a:solidFill>
              <a:effectLst/>
              <a:latin typeface="+mn-lt"/>
              <a:ea typeface="+mn-ea"/>
              <a:cs typeface="+mn-cs"/>
            </a:rPr>
            <a:t>4. Ethnicity - 0-4 year olds</a:t>
          </a:r>
          <a:r>
            <a:rPr lang="en-GB" sz="1050"/>
            <a:t> </a:t>
          </a:r>
          <a:r>
            <a:rPr lang="en-GB" sz="1050" b="0" i="0" u="none" strike="noStrike">
              <a:solidFill>
                <a:schemeClr val="dk1"/>
              </a:solidFill>
              <a:effectLst/>
              <a:latin typeface="+mn-lt"/>
              <a:ea typeface="+mn-ea"/>
              <a:cs typeface="+mn-cs"/>
            </a:rPr>
            <a:t> </a:t>
          </a:r>
          <a:r>
            <a:rPr lang="en-GB" sz="1050"/>
            <a:t> </a:t>
          </a:r>
        </a:p>
        <a:p>
          <a:pPr algn="l"/>
          <a:endParaRPr lang="en-GB" sz="500" b="0" i="0" u="none" strike="noStrike">
            <a:solidFill>
              <a:schemeClr val="dk1"/>
            </a:solidFill>
            <a:effectLst/>
            <a:latin typeface="+mn-lt"/>
            <a:ea typeface="+mn-ea"/>
            <a:cs typeface="+mn-cs"/>
          </a:endParaRPr>
        </a:p>
        <a:p>
          <a:pPr algn="l"/>
          <a:r>
            <a:rPr lang="en-GB" sz="1050" b="0" i="0" u="none" strike="noStrike">
              <a:solidFill>
                <a:schemeClr val="dk1"/>
              </a:solidFill>
              <a:effectLst/>
              <a:latin typeface="+mn-lt"/>
              <a:ea typeface="+mn-ea"/>
              <a:cs typeface="+mn-cs"/>
            </a:rPr>
            <a:t>5. Proficiency in English (relates to 3-15yr olds)</a:t>
          </a:r>
          <a:r>
            <a:rPr lang="en-GB" sz="1050"/>
            <a:t> </a:t>
          </a:r>
          <a:r>
            <a:rPr lang="en-GB" sz="1050" b="1" i="0" u="none" strike="noStrike">
              <a:solidFill>
                <a:schemeClr val="dk1"/>
              </a:solidFill>
              <a:effectLst/>
              <a:latin typeface="+mn-lt"/>
              <a:ea typeface="+mn-ea"/>
              <a:cs typeface="+mn-cs"/>
            </a:rPr>
            <a:t> </a:t>
          </a:r>
          <a:r>
            <a:rPr lang="en-GB" sz="1050"/>
            <a:t> </a:t>
          </a:r>
        </a:p>
        <a:p>
          <a:pPr algn="l"/>
          <a:endParaRPr lang="en-GB" sz="500" b="0" i="0" u="none" strike="noStrike">
            <a:solidFill>
              <a:schemeClr val="dk1"/>
            </a:solidFill>
            <a:effectLst/>
            <a:latin typeface="+mn-lt"/>
            <a:ea typeface="+mn-ea"/>
            <a:cs typeface="+mn-cs"/>
          </a:endParaRPr>
        </a:p>
        <a:p>
          <a:pPr algn="l"/>
          <a:r>
            <a:rPr lang="en-GB" sz="1050" b="0" i="0" u="none" strike="noStrike">
              <a:solidFill>
                <a:schemeClr val="dk1"/>
              </a:solidFill>
              <a:effectLst/>
              <a:latin typeface="+mn-lt"/>
              <a:ea typeface="+mn-ea"/>
              <a:cs typeface="+mn-cs"/>
            </a:rPr>
            <a:t>6. Tenure (relates to 0-9 yr olds)</a:t>
          </a:r>
          <a:r>
            <a:rPr lang="en-GB" sz="1050"/>
            <a:t> </a:t>
          </a:r>
        </a:p>
      </xdr:txBody>
    </xdr:sp>
    <xdr:clientData/>
  </xdr:twoCellAnchor>
  <xdr:twoCellAnchor editAs="oneCell">
    <xdr:from>
      <xdr:col>5</xdr:col>
      <xdr:colOff>81915</xdr:colOff>
      <xdr:row>4</xdr:row>
      <xdr:rowOff>180975</xdr:rowOff>
    </xdr:from>
    <xdr:to>
      <xdr:col>7</xdr:col>
      <xdr:colOff>453390</xdr:colOff>
      <xdr:row>21</xdr:row>
      <xdr:rowOff>0</xdr:rowOff>
    </xdr:to>
    <xdr:sp macro="" textlink="">
      <xdr:nvSpPr>
        <xdr:cNvPr id="53" name="Rectangle 52"/>
        <xdr:cNvSpPr/>
      </xdr:nvSpPr>
      <xdr:spPr>
        <a:xfrm>
          <a:off x="1986915" y="971550"/>
          <a:ext cx="1647825" cy="282892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GB" sz="1050"/>
            <a:t>1. Family</a:t>
          </a:r>
          <a:r>
            <a:rPr lang="en-GB" sz="1050" baseline="0"/>
            <a:t> Size (families with a 0-4 year </a:t>
          </a:r>
        </a:p>
        <a:p>
          <a:pPr algn="l"/>
          <a:endParaRPr lang="en-GB" sz="500" baseline="0"/>
        </a:p>
        <a:p>
          <a:pPr algn="l"/>
          <a:r>
            <a:rPr lang="en-GB" sz="1050" baseline="0"/>
            <a:t>2. </a:t>
          </a:r>
          <a:r>
            <a:rPr lang="en-GB" sz="1050" b="0" i="0" u="none" strike="noStrike">
              <a:solidFill>
                <a:schemeClr val="dk1"/>
              </a:solidFill>
              <a:effectLst/>
              <a:latin typeface="+mn-lt"/>
              <a:ea typeface="+mn-ea"/>
              <a:cs typeface="+mn-cs"/>
            </a:rPr>
            <a:t>Couple/non-couple households (with 0-4yrs)</a:t>
          </a:r>
          <a:r>
            <a:rPr lang="en-GB" sz="1050"/>
            <a:t> </a:t>
          </a:r>
        </a:p>
        <a:p>
          <a:pPr algn="l"/>
          <a:r>
            <a:rPr lang="en-GB" sz="500" b="0" i="0" u="none" strike="noStrike">
              <a:solidFill>
                <a:schemeClr val="dk1"/>
              </a:solidFill>
              <a:effectLst/>
              <a:latin typeface="+mn-lt"/>
              <a:ea typeface="+mn-ea"/>
              <a:cs typeface="+mn-cs"/>
            </a:rPr>
            <a:t> </a:t>
          </a:r>
        </a:p>
        <a:p>
          <a:pPr algn="l"/>
          <a:r>
            <a:rPr lang="en-GB" sz="1050" b="0" i="0" u="none" strike="noStrike">
              <a:solidFill>
                <a:schemeClr val="dk1"/>
              </a:solidFill>
              <a:effectLst/>
              <a:latin typeface="+mn-lt"/>
              <a:ea typeface="+mn-ea"/>
              <a:cs typeface="+mn-cs"/>
            </a:rPr>
            <a:t>3. Census 2011 data - lone parents</a:t>
          </a:r>
          <a:r>
            <a:rPr lang="en-GB" sz="1050"/>
            <a:t> </a:t>
          </a:r>
          <a:r>
            <a:rPr lang="en-GB" sz="1050" b="0" i="0" u="none" strike="noStrike">
              <a:solidFill>
                <a:schemeClr val="dk1"/>
              </a:solidFill>
              <a:effectLst/>
              <a:latin typeface="+mn-lt"/>
              <a:ea typeface="+mn-ea"/>
              <a:cs typeface="+mn-cs"/>
            </a:rPr>
            <a:t> </a:t>
          </a:r>
          <a:r>
            <a:rPr lang="en-GB" sz="1050"/>
            <a:t> </a:t>
          </a:r>
        </a:p>
        <a:p>
          <a:pPr algn="l"/>
          <a:endParaRPr lang="en-GB" sz="500"/>
        </a:p>
        <a:p>
          <a:pPr algn="l"/>
          <a:r>
            <a:rPr lang="en-GB" sz="1050" b="0" i="0" u="none" strike="noStrike">
              <a:solidFill>
                <a:schemeClr val="dk1"/>
              </a:solidFill>
              <a:effectLst/>
              <a:latin typeface="+mn-lt"/>
              <a:ea typeface="+mn-ea"/>
              <a:cs typeface="+mn-cs"/>
            </a:rPr>
            <a:t>4. Lone parent families on low income</a:t>
          </a:r>
          <a:r>
            <a:rPr lang="en-GB" sz="1050"/>
            <a:t> </a:t>
          </a:r>
        </a:p>
      </xdr:txBody>
    </xdr:sp>
    <xdr:clientData/>
  </xdr:twoCellAnchor>
  <xdr:twoCellAnchor editAs="oneCell">
    <xdr:from>
      <xdr:col>7</xdr:col>
      <xdr:colOff>592455</xdr:colOff>
      <xdr:row>4</xdr:row>
      <xdr:rowOff>180975</xdr:rowOff>
    </xdr:from>
    <xdr:to>
      <xdr:col>10</xdr:col>
      <xdr:colOff>325755</xdr:colOff>
      <xdr:row>21</xdr:row>
      <xdr:rowOff>1</xdr:rowOff>
    </xdr:to>
    <xdr:sp macro="" textlink="">
      <xdr:nvSpPr>
        <xdr:cNvPr id="54" name="Rectangle 53"/>
        <xdr:cNvSpPr/>
      </xdr:nvSpPr>
      <xdr:spPr>
        <a:xfrm>
          <a:off x="3773805" y="971550"/>
          <a:ext cx="1647825" cy="2828926"/>
        </a:xfrm>
        <a:prstGeom prst="rect">
          <a:avLst/>
        </a:prstGeom>
        <a:solidFill>
          <a:schemeClr val="bg1">
            <a:lumMod val="95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GB" sz="1050"/>
            <a:t>1. Breastfeeding (CFC  level</a:t>
          </a:r>
          <a:r>
            <a:rPr lang="en-GB" sz="1050" baseline="0"/>
            <a:t> data </a:t>
          </a:r>
          <a:r>
            <a:rPr lang="en-GB" sz="1050"/>
            <a:t>and CCG data)</a:t>
          </a:r>
        </a:p>
        <a:p>
          <a:pPr algn="l"/>
          <a:endParaRPr lang="en-GB" sz="500"/>
        </a:p>
        <a:p>
          <a:pPr algn="l"/>
          <a:r>
            <a:rPr lang="en-GB" sz="1050"/>
            <a:t>2. Childhood</a:t>
          </a:r>
          <a:r>
            <a:rPr lang="en-GB" sz="1050" baseline="0"/>
            <a:t> Obesity</a:t>
          </a:r>
        </a:p>
        <a:p>
          <a:pPr algn="l"/>
          <a:endParaRPr lang="en-GB" sz="500" baseline="0"/>
        </a:p>
        <a:p>
          <a:pPr algn="l"/>
          <a:r>
            <a:rPr lang="en-GB" sz="1050" baseline="0"/>
            <a:t>3.Oral Health</a:t>
          </a:r>
        </a:p>
        <a:p>
          <a:pPr algn="l"/>
          <a:endParaRPr lang="en-GB" sz="500" baseline="0"/>
        </a:p>
        <a:p>
          <a:pPr algn="l"/>
          <a:r>
            <a:rPr lang="en-GB" sz="1050" baseline="0"/>
            <a:t>4. Mental Health incl. Post-Natal Depression</a:t>
          </a:r>
        </a:p>
        <a:p>
          <a:pPr algn="l"/>
          <a:endParaRPr lang="en-GB" sz="500" baseline="0"/>
        </a:p>
        <a:p>
          <a:pPr algn="l"/>
          <a:r>
            <a:rPr lang="en-GB" sz="1050" baseline="0"/>
            <a:t>5. Smoking in Pregnancy</a:t>
          </a:r>
        </a:p>
        <a:p>
          <a:pPr algn="l"/>
          <a:endParaRPr lang="en-GB" sz="500" baseline="0"/>
        </a:p>
        <a:p>
          <a:pPr algn="l"/>
          <a:r>
            <a:rPr lang="en-GB" sz="1050" baseline="0"/>
            <a:t>6. Immunisations</a:t>
          </a:r>
        </a:p>
        <a:p>
          <a:pPr algn="l"/>
          <a:endParaRPr lang="en-GB" sz="500" baseline="0"/>
        </a:p>
        <a:p>
          <a:pPr algn="l"/>
          <a:r>
            <a:rPr lang="en-GB" sz="1050" baseline="0"/>
            <a:t>7. Emergency Admissions (0-4 year olds)</a:t>
          </a:r>
        </a:p>
        <a:p>
          <a:pPr algn="l"/>
          <a:endParaRPr lang="en-GB" sz="500"/>
        </a:p>
        <a:p>
          <a:pPr algn="l"/>
          <a:r>
            <a:rPr lang="en-GB" sz="1050"/>
            <a:t>8. Sudden Infant Death</a:t>
          </a:r>
          <a:r>
            <a:rPr lang="en-GB" sz="1050" baseline="0"/>
            <a:t> Syndrome (pooled 2004-2013)</a:t>
          </a:r>
          <a:endParaRPr lang="en-GB" sz="1050"/>
        </a:p>
        <a:p>
          <a:pPr algn="l"/>
          <a:r>
            <a:rPr lang="en-GB" sz="1100"/>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endParaRPr lang="en-GB" sz="1100"/>
        </a:p>
      </xdr:txBody>
    </xdr:sp>
    <xdr:clientData/>
  </xdr:twoCellAnchor>
  <xdr:twoCellAnchor editAs="oneCell">
    <xdr:from>
      <xdr:col>10</xdr:col>
      <xdr:colOff>464820</xdr:colOff>
      <xdr:row>4</xdr:row>
      <xdr:rowOff>180974</xdr:rowOff>
    </xdr:from>
    <xdr:to>
      <xdr:col>13</xdr:col>
      <xdr:colOff>198120</xdr:colOff>
      <xdr:row>21</xdr:row>
      <xdr:rowOff>1058</xdr:rowOff>
    </xdr:to>
    <xdr:sp macro="" textlink="">
      <xdr:nvSpPr>
        <xdr:cNvPr id="55" name="Rectangle 54"/>
        <xdr:cNvSpPr/>
      </xdr:nvSpPr>
      <xdr:spPr>
        <a:xfrm>
          <a:off x="5560695" y="971549"/>
          <a:ext cx="1647825" cy="282892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GB" sz="1050"/>
            <a:t>1. Births</a:t>
          </a:r>
        </a:p>
        <a:p>
          <a:pPr algn="l"/>
          <a:endParaRPr lang="en-GB" sz="500"/>
        </a:p>
        <a:p>
          <a:pPr algn="l"/>
          <a:r>
            <a:rPr lang="en-GB" sz="1050"/>
            <a:t>2. Births to women under</a:t>
          </a:r>
          <a:r>
            <a:rPr lang="en-GB" sz="1050" baseline="0"/>
            <a:t> the age of </a:t>
          </a:r>
          <a:r>
            <a:rPr lang="en-GB" sz="1050"/>
            <a:t>20</a:t>
          </a:r>
        </a:p>
        <a:p>
          <a:pPr algn="l"/>
          <a:endParaRPr lang="en-GB" sz="500"/>
        </a:p>
        <a:p>
          <a:pPr algn="l"/>
          <a:r>
            <a:rPr lang="en-GB" sz="1050"/>
            <a:t>3. Estimated number</a:t>
          </a:r>
          <a:r>
            <a:rPr lang="en-GB" sz="1050" baseline="0"/>
            <a:t> of teenage mothers (CFCs)</a:t>
          </a:r>
        </a:p>
        <a:p>
          <a:pPr algn="l"/>
          <a:endParaRPr lang="en-GB" sz="500" baseline="0"/>
        </a:p>
        <a:p>
          <a:pPr algn="l"/>
          <a:r>
            <a:rPr lang="en-GB" sz="1050" baseline="0"/>
            <a:t>4. Teenage conceptions (district and county level)</a:t>
          </a:r>
        </a:p>
        <a:p>
          <a:pPr algn="l"/>
          <a:endParaRPr lang="en-GB" sz="500" baseline="0"/>
        </a:p>
        <a:p>
          <a:pPr algn="l"/>
          <a:r>
            <a:rPr lang="en-GB" sz="1050" baseline="0"/>
            <a:t>5.Low birth weight</a:t>
          </a:r>
        </a:p>
        <a:p>
          <a:pPr algn="l"/>
          <a:endParaRPr lang="en-GB" sz="500" baseline="0"/>
        </a:p>
        <a:p>
          <a:pPr algn="l"/>
          <a:r>
            <a:rPr lang="en-GB" sz="1050" baseline="0"/>
            <a:t>6. 0-4 year olds with day-to-day activities limited</a:t>
          </a:r>
          <a:endParaRPr lang="en-GB" sz="1050"/>
        </a:p>
      </xdr:txBody>
    </xdr:sp>
    <xdr:clientData/>
  </xdr:twoCellAnchor>
  <xdr:twoCellAnchor editAs="oneCell">
    <xdr:from>
      <xdr:col>13</xdr:col>
      <xdr:colOff>337185</xdr:colOff>
      <xdr:row>4</xdr:row>
      <xdr:rowOff>180974</xdr:rowOff>
    </xdr:from>
    <xdr:to>
      <xdr:col>16</xdr:col>
      <xdr:colOff>70485</xdr:colOff>
      <xdr:row>21</xdr:row>
      <xdr:rowOff>1058</xdr:rowOff>
    </xdr:to>
    <xdr:sp macro="" textlink="">
      <xdr:nvSpPr>
        <xdr:cNvPr id="56" name="Rectangle 55"/>
        <xdr:cNvSpPr/>
      </xdr:nvSpPr>
      <xdr:spPr>
        <a:xfrm>
          <a:off x="7347585" y="971549"/>
          <a:ext cx="1647825" cy="2828925"/>
        </a:xfrm>
        <a:prstGeom prst="rect">
          <a:avLst/>
        </a:prstGeom>
        <a:solidFill>
          <a:schemeClr val="bg1">
            <a:lumMod val="95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GB" sz="1050"/>
            <a:t>1. Index of Deprivation</a:t>
          </a:r>
          <a:r>
            <a:rPr lang="en-GB" sz="1050" baseline="0"/>
            <a:t> decile (CFCs)</a:t>
          </a:r>
        </a:p>
        <a:p>
          <a:pPr algn="l"/>
          <a:endParaRPr lang="en-GB" sz="500" baseline="0"/>
        </a:p>
        <a:p>
          <a:pPr algn="l"/>
          <a:r>
            <a:rPr lang="en-GB" sz="1050" baseline="0"/>
            <a:t>2. % of households deprived in 3 or more measures (2011 Census)</a:t>
          </a:r>
        </a:p>
        <a:p>
          <a:pPr algn="l"/>
          <a:endParaRPr lang="en-GB" sz="500" baseline="0"/>
        </a:p>
        <a:p>
          <a:pPr algn="l"/>
          <a:r>
            <a:rPr lang="en-GB" sz="1050" baseline="0"/>
            <a:t>3. 0-4 year olds in workless households</a:t>
          </a:r>
        </a:p>
        <a:p>
          <a:pPr algn="l"/>
          <a:endParaRPr lang="en-GB" sz="500" baseline="0"/>
        </a:p>
        <a:p>
          <a:pPr algn="l"/>
          <a:r>
            <a:rPr lang="en-GB" sz="1050" baseline="0"/>
            <a:t>4. Child Poverty</a:t>
          </a:r>
        </a:p>
        <a:p>
          <a:pPr algn="l"/>
          <a:endParaRPr lang="en-GB" sz="1100"/>
        </a:p>
      </xdr:txBody>
    </xdr:sp>
    <xdr:clientData/>
  </xdr:twoCellAnchor>
  <xdr:twoCellAnchor editAs="oneCell">
    <xdr:from>
      <xdr:col>16</xdr:col>
      <xdr:colOff>209550</xdr:colOff>
      <xdr:row>4</xdr:row>
      <xdr:rowOff>180974</xdr:rowOff>
    </xdr:from>
    <xdr:to>
      <xdr:col>19</xdr:col>
      <xdr:colOff>133350</xdr:colOff>
      <xdr:row>21</xdr:row>
      <xdr:rowOff>1058</xdr:rowOff>
    </xdr:to>
    <xdr:sp macro="" textlink="">
      <xdr:nvSpPr>
        <xdr:cNvPr id="57" name="Rectangle 56"/>
        <xdr:cNvSpPr/>
      </xdr:nvSpPr>
      <xdr:spPr>
        <a:xfrm>
          <a:off x="9134475" y="971549"/>
          <a:ext cx="1647825" cy="282892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GB" sz="1050"/>
            <a:t>1. % of children "good level of development"</a:t>
          </a:r>
        </a:p>
        <a:p>
          <a:pPr algn="l"/>
          <a:endParaRPr lang="en-GB" sz="500"/>
        </a:p>
        <a:p>
          <a:pPr algn="l"/>
          <a:r>
            <a:rPr lang="en-GB" sz="1050"/>
            <a:t>2. Performance gap</a:t>
          </a:r>
          <a:r>
            <a:rPr lang="en-GB" sz="1050" baseline="0"/>
            <a:t> between lowest scores and median score</a:t>
          </a:r>
          <a:endParaRPr lang="en-GB" sz="1050"/>
        </a:p>
      </xdr:txBody>
    </xdr:sp>
    <xdr:clientData/>
  </xdr:twoCellAnchor>
  <xdr:twoCellAnchor editAs="oneCell">
    <xdr:from>
      <xdr:col>2</xdr:col>
      <xdr:colOff>0</xdr:colOff>
      <xdr:row>22</xdr:row>
      <xdr:rowOff>171450</xdr:rowOff>
    </xdr:from>
    <xdr:to>
      <xdr:col>19</xdr:col>
      <xdr:colOff>135074</xdr:colOff>
      <xdr:row>24</xdr:row>
      <xdr:rowOff>95250</xdr:rowOff>
    </xdr:to>
    <xdr:sp macro="" textlink="">
      <xdr:nvSpPr>
        <xdr:cNvPr id="58" name="Rectangle 57"/>
        <xdr:cNvSpPr/>
      </xdr:nvSpPr>
      <xdr:spPr>
        <a:xfrm>
          <a:off x="200025" y="3705225"/>
          <a:ext cx="10583999"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l"/>
          <a:r>
            <a:rPr lang="en-GB" sz="1100" b="1"/>
            <a:t>West</a:t>
          </a:r>
          <a:r>
            <a:rPr lang="en-GB" sz="1100" b="1" baseline="0"/>
            <a:t> Sussex Health4Families Programme</a:t>
          </a:r>
          <a:endParaRPr lang="en-GB" sz="1100" b="1"/>
        </a:p>
      </xdr:txBody>
    </xdr:sp>
    <xdr:clientData/>
  </xdr:twoCellAnchor>
  <xdr:twoCellAnchor editAs="oneCell">
    <xdr:from>
      <xdr:col>2</xdr:col>
      <xdr:colOff>0</xdr:colOff>
      <xdr:row>43</xdr:row>
      <xdr:rowOff>129117</xdr:rowOff>
    </xdr:from>
    <xdr:to>
      <xdr:col>19</xdr:col>
      <xdr:colOff>136132</xdr:colOff>
      <xdr:row>45</xdr:row>
      <xdr:rowOff>52917</xdr:rowOff>
    </xdr:to>
    <xdr:sp macro="" textlink="">
      <xdr:nvSpPr>
        <xdr:cNvPr id="60" name="Rectangle 59"/>
        <xdr:cNvSpPr/>
      </xdr:nvSpPr>
      <xdr:spPr>
        <a:xfrm>
          <a:off x="201083" y="8627534"/>
          <a:ext cx="10539549" cy="283633"/>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l"/>
          <a:r>
            <a:rPr lang="en-GB" sz="1100" b="1"/>
            <a:t>Key</a:t>
          </a:r>
          <a:r>
            <a:rPr lang="en-GB" sz="1100" b="1" baseline="0"/>
            <a:t> Performance Indicators (OFSTED)</a:t>
          </a:r>
          <a:endParaRPr lang="en-GB" sz="1100" b="1"/>
        </a:p>
      </xdr:txBody>
    </xdr:sp>
    <xdr:clientData/>
  </xdr:twoCellAnchor>
  <xdr:twoCellAnchor editAs="oneCell">
    <xdr:from>
      <xdr:col>15</xdr:col>
      <xdr:colOff>504825</xdr:colOff>
      <xdr:row>1</xdr:row>
      <xdr:rowOff>19050</xdr:rowOff>
    </xdr:from>
    <xdr:to>
      <xdr:col>19</xdr:col>
      <xdr:colOff>0</xdr:colOff>
      <xdr:row>2</xdr:row>
      <xdr:rowOff>47625</xdr:rowOff>
    </xdr:to>
    <xdr:sp macro="" textlink="">
      <xdr:nvSpPr>
        <xdr:cNvPr id="32" name="Rectangle 31">
          <a:hlinkClick xmlns:r="http://schemas.openxmlformats.org/officeDocument/2006/relationships" r:id="rId6"/>
        </xdr:cNvPr>
        <xdr:cNvSpPr/>
      </xdr:nvSpPr>
      <xdr:spPr>
        <a:xfrm>
          <a:off x="8791575" y="209550"/>
          <a:ext cx="1857375" cy="24765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en-GB" sz="1100"/>
            <a:t>Go</a:t>
          </a:r>
          <a:r>
            <a:rPr lang="en-GB" sz="1100" baseline="0"/>
            <a:t> to the data</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118</xdr:row>
      <xdr:rowOff>145257</xdr:rowOff>
    </xdr:from>
    <xdr:to>
      <xdr:col>14</xdr:col>
      <xdr:colOff>103425</xdr:colOff>
      <xdr:row>120</xdr:row>
      <xdr:rowOff>97632</xdr:rowOff>
    </xdr:to>
    <xdr:grpSp>
      <xdr:nvGrpSpPr>
        <xdr:cNvPr id="2" name="Group 1"/>
        <xdr:cNvGrpSpPr/>
      </xdr:nvGrpSpPr>
      <xdr:grpSpPr>
        <a:xfrm>
          <a:off x="95250" y="24272082"/>
          <a:ext cx="10800000" cy="314325"/>
          <a:chOff x="9524" y="6115049"/>
          <a:chExt cx="10963276" cy="314325"/>
        </a:xfrm>
      </xdr:grpSpPr>
      <xdr:sp macro="" textlink="">
        <xdr:nvSpPr>
          <xdr:cNvPr id="3" name="Round Same Side Corner Rectangle 2"/>
          <xdr:cNvSpPr/>
        </xdr:nvSpPr>
        <xdr:spPr>
          <a:xfrm flipV="1">
            <a:off x="9524" y="6124573"/>
            <a:ext cx="10958850" cy="238125"/>
          </a:xfrm>
          <a:prstGeom prst="round2SameRect">
            <a:avLst/>
          </a:prstGeom>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GB" sz="1100"/>
          </a:p>
        </xdr:txBody>
      </xdr:sp>
      <xdr:sp macro="" textlink="$R$1">
        <xdr:nvSpPr>
          <xdr:cNvPr id="4" name="TextBox 3"/>
          <xdr:cNvSpPr txBox="1"/>
        </xdr:nvSpPr>
        <xdr:spPr>
          <a:xfrm>
            <a:off x="7677041" y="6115049"/>
            <a:ext cx="329575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3B1BCF6-4FA2-4300-A41F-12861E9D32B9}" type="TxLink">
              <a:rPr lang="en-US" sz="1200" b="0" i="0" u="none" strike="noStrike">
                <a:solidFill>
                  <a:schemeClr val="bg1"/>
                </a:solidFill>
                <a:latin typeface="Calibri"/>
                <a:ea typeface="Verdana"/>
                <a:cs typeface="Calibri"/>
              </a:rPr>
              <a:pPr algn="r"/>
              <a:t>12:39PM Friday 18 December 2015</a:t>
            </a:fld>
            <a:endParaRPr lang="en-GB" sz="1200" b="0">
              <a:solidFill>
                <a:schemeClr val="bg1"/>
              </a:solidFill>
            </a:endParaRPr>
          </a:p>
        </xdr:txBody>
      </xdr:sp>
    </xdr:grpSp>
    <xdr:clientData/>
  </xdr:twoCellAnchor>
  <xdr:twoCellAnchor editAs="absolute">
    <xdr:from>
      <xdr:col>1</xdr:col>
      <xdr:colOff>0</xdr:colOff>
      <xdr:row>0</xdr:row>
      <xdr:rowOff>123825</xdr:rowOff>
    </xdr:from>
    <xdr:to>
      <xdr:col>14</xdr:col>
      <xdr:colOff>103425</xdr:colOff>
      <xdr:row>4</xdr:row>
      <xdr:rowOff>9525</xdr:rowOff>
    </xdr:to>
    <xdr:grpSp>
      <xdr:nvGrpSpPr>
        <xdr:cNvPr id="5" name="Group 4"/>
        <xdr:cNvGrpSpPr/>
      </xdr:nvGrpSpPr>
      <xdr:grpSpPr>
        <a:xfrm>
          <a:off x="95250" y="123825"/>
          <a:ext cx="10800000" cy="676275"/>
          <a:chOff x="95250" y="123825"/>
          <a:chExt cx="10803225" cy="666750"/>
        </a:xfrm>
      </xdr:grpSpPr>
      <xdr:sp macro="" textlink="">
        <xdr:nvSpPr>
          <xdr:cNvPr id="6" name="Round Same Side Corner Rectangle 5"/>
          <xdr:cNvSpPr/>
        </xdr:nvSpPr>
        <xdr:spPr>
          <a:xfrm>
            <a:off x="95250" y="123825"/>
            <a:ext cx="10800000" cy="666750"/>
          </a:xfrm>
          <a:prstGeom prst="round2SameRect">
            <a:avLst>
              <a:gd name="adj1" fmla="val 50000"/>
              <a:gd name="adj2" fmla="val 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000"/>
          </a:p>
        </xdr:txBody>
      </xdr:sp>
      <xdr:sp macro="" textlink="">
        <xdr:nvSpPr>
          <xdr:cNvPr id="7" name="Snip Single Corner Rectangle 6"/>
          <xdr:cNvSpPr/>
        </xdr:nvSpPr>
        <xdr:spPr>
          <a:xfrm>
            <a:off x="104774" y="514350"/>
            <a:ext cx="1764000" cy="247649"/>
          </a:xfrm>
          <a:prstGeom prst="snip1Rect">
            <a:avLst>
              <a:gd name="adj" fmla="val 50000"/>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b"/>
          <a:lstStyle/>
          <a:p>
            <a:pPr algn="ctr"/>
            <a:r>
              <a:rPr lang="en-GB" sz="1100" b="1"/>
              <a:t>Population</a:t>
            </a:r>
          </a:p>
        </xdr:txBody>
      </xdr:sp>
      <xdr:sp macro="" textlink="">
        <xdr:nvSpPr>
          <xdr:cNvPr id="8" name="Snip Single Corner Rectangle 7">
            <a:hlinkClick xmlns:r="http://schemas.openxmlformats.org/officeDocument/2006/relationships" r:id="rId1"/>
          </xdr:cNvPr>
          <xdr:cNvSpPr/>
        </xdr:nvSpPr>
        <xdr:spPr>
          <a:xfrm>
            <a:off x="191071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Family Structure</a:t>
            </a:r>
          </a:p>
        </xdr:txBody>
      </xdr:sp>
      <xdr:sp macro="" textlink="">
        <xdr:nvSpPr>
          <xdr:cNvPr id="9" name="Snip Single Corner Rectangle 8">
            <a:hlinkClick xmlns:r="http://schemas.openxmlformats.org/officeDocument/2006/relationships" r:id="rId2"/>
          </xdr:cNvPr>
          <xdr:cNvSpPr/>
        </xdr:nvSpPr>
        <xdr:spPr>
          <a:xfrm>
            <a:off x="371665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Health Indicators</a:t>
            </a:r>
          </a:p>
        </xdr:txBody>
      </xdr:sp>
      <xdr:sp macro="" textlink="">
        <xdr:nvSpPr>
          <xdr:cNvPr id="10" name="Snip Single Corner Rectangle 9">
            <a:hlinkClick xmlns:r="http://schemas.openxmlformats.org/officeDocument/2006/relationships" r:id="rId3"/>
          </xdr:cNvPr>
          <xdr:cNvSpPr/>
        </xdr:nvSpPr>
        <xdr:spPr>
          <a:xfrm>
            <a:off x="552259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Births and Early Years</a:t>
            </a:r>
          </a:p>
        </xdr:txBody>
      </xdr:sp>
      <xdr:sp macro="" textlink="">
        <xdr:nvSpPr>
          <xdr:cNvPr id="11" name="Snip Single Corner Rectangle 10">
            <a:hlinkClick xmlns:r="http://schemas.openxmlformats.org/officeDocument/2006/relationships" r:id="rId4"/>
          </xdr:cNvPr>
          <xdr:cNvSpPr/>
        </xdr:nvSpPr>
        <xdr:spPr>
          <a:xfrm>
            <a:off x="732853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Deprivation</a:t>
            </a:r>
          </a:p>
        </xdr:txBody>
      </xdr:sp>
      <xdr:sp macro="" textlink="">
        <xdr:nvSpPr>
          <xdr:cNvPr id="12" name="Snip Single Corner Rectangle 11">
            <a:hlinkClick xmlns:r="http://schemas.openxmlformats.org/officeDocument/2006/relationships" r:id="rId5"/>
          </xdr:cNvPr>
          <xdr:cNvSpPr/>
        </xdr:nvSpPr>
        <xdr:spPr>
          <a:xfrm>
            <a:off x="9134475"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EYFS</a:t>
            </a:r>
          </a:p>
        </xdr:txBody>
      </xdr:sp>
      <xdr:cxnSp macro="">
        <xdr:nvCxnSpPr>
          <xdr:cNvPr id="13" name="Straight Connector 12"/>
          <xdr:cNvCxnSpPr/>
        </xdr:nvCxnSpPr>
        <xdr:spPr>
          <a:xfrm>
            <a:off x="95250" y="781050"/>
            <a:ext cx="10800000" cy="1"/>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14" name="TextBox 13"/>
          <xdr:cNvSpPr txBox="1"/>
        </xdr:nvSpPr>
        <xdr:spPr>
          <a:xfrm>
            <a:off x="361950" y="152400"/>
            <a:ext cx="4916448"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Children's Workforce Public Health Profiles : </a:t>
            </a:r>
            <a:r>
              <a:rPr lang="en-GB" sz="1400" b="0"/>
              <a:t>Population</a:t>
            </a:r>
          </a:p>
        </xdr:txBody>
      </xdr:sp>
    </xdr:grpSp>
    <xdr:clientData/>
  </xdr:twoCellAnchor>
  <xdr:twoCellAnchor editAs="absolute">
    <xdr:from>
      <xdr:col>1</xdr:col>
      <xdr:colOff>114299</xdr:colOff>
      <xdr:row>9</xdr:row>
      <xdr:rowOff>9525</xdr:rowOff>
    </xdr:from>
    <xdr:to>
      <xdr:col>14</xdr:col>
      <xdr:colOff>1724</xdr:colOff>
      <xdr:row>15</xdr:row>
      <xdr:rowOff>123825</xdr:rowOff>
    </xdr:to>
    <xdr:grpSp>
      <xdr:nvGrpSpPr>
        <xdr:cNvPr id="15" name="Group 14"/>
        <xdr:cNvGrpSpPr/>
      </xdr:nvGrpSpPr>
      <xdr:grpSpPr>
        <a:xfrm>
          <a:off x="209549" y="1752600"/>
          <a:ext cx="10584000" cy="1257300"/>
          <a:chOff x="95249" y="904875"/>
          <a:chExt cx="10800001" cy="1257300"/>
        </a:xfrm>
      </xdr:grpSpPr>
      <xdr:sp macro="" textlink="">
        <xdr:nvSpPr>
          <xdr:cNvPr id="16" name="TextBox 15"/>
          <xdr:cNvSpPr txBox="1"/>
        </xdr:nvSpPr>
        <xdr:spPr>
          <a:xfrm>
            <a:off x="95250" y="1190625"/>
            <a:ext cx="10800000" cy="971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400"/>
          </a:p>
          <a:p>
            <a:r>
              <a:rPr lang="en-GB" sz="1100"/>
              <a:t>This section provides information</a:t>
            </a:r>
            <a:r>
              <a:rPr lang="en-GB" sz="1100" baseline="0"/>
              <a:t> on each children and family centre and the population it serves.</a:t>
            </a:r>
          </a:p>
          <a:p>
            <a:endParaRPr lang="en-GB" sz="400" baseline="0"/>
          </a:p>
          <a:p>
            <a:pPr lvl="1"/>
            <a:r>
              <a:rPr lang="en-GB" sz="1100"/>
              <a:t>- </a:t>
            </a:r>
            <a:r>
              <a:rPr lang="en-GB" sz="1100" b="1"/>
              <a:t>CFCs - </a:t>
            </a:r>
            <a:r>
              <a:rPr lang="en-GB" sz="1100" b="0"/>
              <a:t>There</a:t>
            </a:r>
            <a:r>
              <a:rPr lang="en-GB" sz="1100" b="0" baseline="0"/>
              <a:t> are currently 43 children and family centres (CFCs) in West Sussex</a:t>
            </a:r>
            <a:endParaRPr lang="en-GB" sz="1100"/>
          </a:p>
          <a:p>
            <a:pPr lvl="1"/>
            <a:r>
              <a:rPr lang="en-GB" sz="1100" b="1"/>
              <a:t>- CFC Groups</a:t>
            </a:r>
            <a:r>
              <a:rPr lang="en-GB" sz="1100"/>
              <a:t> -</a:t>
            </a:r>
            <a:r>
              <a:rPr lang="en-GB" sz="1100" baseline="0"/>
              <a:t> The CFCs in West Sussex are aggregated into 12 groups</a:t>
            </a:r>
          </a:p>
          <a:p>
            <a:pPr lvl="1"/>
            <a:r>
              <a:rPr lang="en-GB" sz="1100" baseline="0"/>
              <a:t>- </a:t>
            </a:r>
            <a:r>
              <a:rPr lang="en-GB" sz="1100" b="1" baseline="0"/>
              <a:t>Education Partnership </a:t>
            </a:r>
            <a:r>
              <a:rPr lang="en-GB" sz="1100" baseline="0"/>
              <a:t>- There are 5 education partnership areas in West Sussex</a:t>
            </a:r>
          </a:p>
        </xdr:txBody>
      </xdr:sp>
      <xdr:sp macro="" textlink="">
        <xdr:nvSpPr>
          <xdr:cNvPr id="17" name="Rectangle 16"/>
          <xdr:cNvSpPr/>
        </xdr:nvSpPr>
        <xdr:spPr>
          <a:xfrm>
            <a:off x="95249" y="904875"/>
            <a:ext cx="10800000"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Geographies</a:t>
            </a:r>
          </a:p>
        </xdr:txBody>
      </xdr:sp>
    </xdr:grpSp>
    <xdr:clientData/>
  </xdr:twoCellAnchor>
  <xdr:twoCellAnchor editAs="absolute">
    <xdr:from>
      <xdr:col>2</xdr:col>
      <xdr:colOff>0</xdr:colOff>
      <xdr:row>29</xdr:row>
      <xdr:rowOff>0</xdr:rowOff>
    </xdr:from>
    <xdr:to>
      <xdr:col>14</xdr:col>
      <xdr:colOff>1725</xdr:colOff>
      <xdr:row>32</xdr:row>
      <xdr:rowOff>47625</xdr:rowOff>
    </xdr:to>
    <xdr:grpSp>
      <xdr:nvGrpSpPr>
        <xdr:cNvPr id="19" name="Group 18"/>
        <xdr:cNvGrpSpPr/>
      </xdr:nvGrpSpPr>
      <xdr:grpSpPr>
        <a:xfrm>
          <a:off x="209550" y="6124575"/>
          <a:ext cx="10584000" cy="619125"/>
          <a:chOff x="95249" y="904875"/>
          <a:chExt cx="10800001" cy="619125"/>
        </a:xfrm>
      </xdr:grpSpPr>
      <xdr:sp macro="" textlink="">
        <xdr:nvSpPr>
          <xdr:cNvPr id="20" name="TextBox 19"/>
          <xdr:cNvSpPr txBox="1"/>
        </xdr:nvSpPr>
        <xdr:spPr>
          <a:xfrm>
            <a:off x="95250" y="1190625"/>
            <a:ext cx="1080000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400" baseline="0"/>
          </a:p>
          <a:p>
            <a:r>
              <a:rPr lang="en-GB" sz="1050" b="1" baseline="0"/>
              <a:t>Source:</a:t>
            </a:r>
            <a:r>
              <a:rPr lang="en-GB" sz="1050" baseline="0"/>
              <a:t> ONS Mid Year Estimates (2014)</a:t>
            </a:r>
          </a:p>
        </xdr:txBody>
      </xdr:sp>
      <xdr:sp macro="" textlink="">
        <xdr:nvSpPr>
          <xdr:cNvPr id="21" name="Rectangle 20"/>
          <xdr:cNvSpPr/>
        </xdr:nvSpPr>
        <xdr:spPr>
          <a:xfrm>
            <a:off x="95249" y="904875"/>
            <a:ext cx="10800000"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Population</a:t>
            </a:r>
          </a:p>
        </xdr:txBody>
      </xdr:sp>
    </xdr:grpSp>
    <xdr:clientData/>
  </xdr:twoCellAnchor>
  <xdr:twoCellAnchor editAs="absolute">
    <xdr:from>
      <xdr:col>11</xdr:col>
      <xdr:colOff>152400</xdr:colOff>
      <xdr:row>29</xdr:row>
      <xdr:rowOff>9525</xdr:rowOff>
    </xdr:from>
    <xdr:to>
      <xdr:col>14</xdr:col>
      <xdr:colOff>9525</xdr:colOff>
      <xdr:row>30</xdr:row>
      <xdr:rowOff>104775</xdr:rowOff>
    </xdr:to>
    <xdr:sp macro="" textlink="">
      <xdr:nvSpPr>
        <xdr:cNvPr id="18" name="TextBox 17">
          <a:hlinkClick xmlns:r="http://schemas.openxmlformats.org/officeDocument/2006/relationships" r:id="rId6"/>
        </xdr:cNvPr>
        <xdr:cNvSpPr txBox="1"/>
      </xdr:nvSpPr>
      <xdr:spPr>
        <a:xfrm>
          <a:off x="9477375" y="4800600"/>
          <a:ext cx="13239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clientData/>
  </xdr:twoCellAnchor>
  <xdr:twoCellAnchor editAs="absolute">
    <xdr:from>
      <xdr:col>2</xdr:col>
      <xdr:colOff>0</xdr:colOff>
      <xdr:row>36</xdr:row>
      <xdr:rowOff>133350</xdr:rowOff>
    </xdr:from>
    <xdr:to>
      <xdr:col>14</xdr:col>
      <xdr:colOff>1724</xdr:colOff>
      <xdr:row>38</xdr:row>
      <xdr:rowOff>38100</xdr:rowOff>
    </xdr:to>
    <xdr:sp macro="" textlink="">
      <xdr:nvSpPr>
        <xdr:cNvPr id="23" name="Rectangle 22"/>
        <xdr:cNvSpPr/>
      </xdr:nvSpPr>
      <xdr:spPr>
        <a:xfrm>
          <a:off x="209550" y="6438900"/>
          <a:ext cx="10583999"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Population of children</a:t>
          </a:r>
          <a:r>
            <a:rPr lang="en-GB" sz="1100" b="1" baseline="0"/>
            <a:t> under the age of 5</a:t>
          </a:r>
          <a:endParaRPr lang="en-GB" sz="1100" b="1"/>
        </a:p>
      </xdr:txBody>
    </xdr:sp>
    <xdr:clientData/>
  </xdr:twoCellAnchor>
  <xdr:twoCellAnchor editAs="absolute">
    <xdr:from>
      <xdr:col>11</xdr:col>
      <xdr:colOff>152400</xdr:colOff>
      <xdr:row>36</xdr:row>
      <xdr:rowOff>133350</xdr:rowOff>
    </xdr:from>
    <xdr:to>
      <xdr:col>14</xdr:col>
      <xdr:colOff>9525</xdr:colOff>
      <xdr:row>38</xdr:row>
      <xdr:rowOff>38100</xdr:rowOff>
    </xdr:to>
    <xdr:sp macro="" textlink="">
      <xdr:nvSpPr>
        <xdr:cNvPr id="24" name="TextBox 23">
          <a:hlinkClick xmlns:r="http://schemas.openxmlformats.org/officeDocument/2006/relationships" r:id="rId6"/>
        </xdr:cNvPr>
        <xdr:cNvSpPr txBox="1"/>
      </xdr:nvSpPr>
      <xdr:spPr>
        <a:xfrm>
          <a:off x="9477375" y="6438900"/>
          <a:ext cx="13239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clientData/>
  </xdr:twoCellAnchor>
  <xdr:twoCellAnchor editAs="absolute">
    <xdr:from>
      <xdr:col>7</xdr:col>
      <xdr:colOff>447675</xdr:colOff>
      <xdr:row>38</xdr:row>
      <xdr:rowOff>123825</xdr:rowOff>
    </xdr:from>
    <xdr:to>
      <xdr:col>13</xdr:col>
      <xdr:colOff>57150</xdr:colOff>
      <xdr:row>51</xdr:row>
      <xdr:rowOff>123825</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2</xdr:col>
      <xdr:colOff>0</xdr:colOff>
      <xdr:row>54</xdr:row>
      <xdr:rowOff>19050</xdr:rowOff>
    </xdr:from>
    <xdr:to>
      <xdr:col>14</xdr:col>
      <xdr:colOff>1725</xdr:colOff>
      <xdr:row>57</xdr:row>
      <xdr:rowOff>95250</xdr:rowOff>
    </xdr:to>
    <xdr:grpSp>
      <xdr:nvGrpSpPr>
        <xdr:cNvPr id="26" name="Group 25"/>
        <xdr:cNvGrpSpPr/>
      </xdr:nvGrpSpPr>
      <xdr:grpSpPr>
        <a:xfrm>
          <a:off x="209550" y="11334750"/>
          <a:ext cx="10584000" cy="619125"/>
          <a:chOff x="95249" y="904875"/>
          <a:chExt cx="10800001" cy="619125"/>
        </a:xfrm>
      </xdr:grpSpPr>
      <xdr:sp macro="" textlink="">
        <xdr:nvSpPr>
          <xdr:cNvPr id="27" name="TextBox 26"/>
          <xdr:cNvSpPr txBox="1"/>
        </xdr:nvSpPr>
        <xdr:spPr>
          <a:xfrm>
            <a:off x="95250" y="1190626"/>
            <a:ext cx="10800000" cy="3333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400" baseline="0"/>
          </a:p>
          <a:p>
            <a:r>
              <a:rPr lang="en-GB" sz="1100" b="1" baseline="0"/>
              <a:t>Source:</a:t>
            </a:r>
            <a:r>
              <a:rPr lang="en-GB" sz="1100" baseline="0"/>
              <a:t> This data is for children aged 0 - 4 and is taken from the 2011 Census.</a:t>
            </a:r>
          </a:p>
          <a:p>
            <a:endParaRPr lang="en-GB" sz="1050" baseline="0"/>
          </a:p>
        </xdr:txBody>
      </xdr:sp>
      <xdr:sp macro="" textlink="">
        <xdr:nvSpPr>
          <xdr:cNvPr id="28" name="Rectangle 27"/>
          <xdr:cNvSpPr/>
        </xdr:nvSpPr>
        <xdr:spPr>
          <a:xfrm>
            <a:off x="95249" y="904875"/>
            <a:ext cx="10800000"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Ethnic Composition</a:t>
            </a:r>
          </a:p>
        </xdr:txBody>
      </xdr:sp>
    </xdr:grpSp>
    <xdr:clientData/>
  </xdr:twoCellAnchor>
  <xdr:twoCellAnchor editAs="absolute">
    <xdr:from>
      <xdr:col>11</xdr:col>
      <xdr:colOff>152400</xdr:colOff>
      <xdr:row>54</xdr:row>
      <xdr:rowOff>19050</xdr:rowOff>
    </xdr:from>
    <xdr:to>
      <xdr:col>14</xdr:col>
      <xdr:colOff>9525</xdr:colOff>
      <xdr:row>55</xdr:row>
      <xdr:rowOff>123825</xdr:rowOff>
    </xdr:to>
    <xdr:sp macro="" textlink="">
      <xdr:nvSpPr>
        <xdr:cNvPr id="29" name="TextBox 28">
          <a:hlinkClick xmlns:r="http://schemas.openxmlformats.org/officeDocument/2006/relationships" r:id="rId6"/>
        </xdr:cNvPr>
        <xdr:cNvSpPr txBox="1"/>
      </xdr:nvSpPr>
      <xdr:spPr>
        <a:xfrm>
          <a:off x="9477375" y="10001250"/>
          <a:ext cx="13239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clientData/>
  </xdr:twoCellAnchor>
  <xdr:twoCellAnchor editAs="absolute">
    <xdr:from>
      <xdr:col>8</xdr:col>
      <xdr:colOff>19050</xdr:colOff>
      <xdr:row>56</xdr:row>
      <xdr:rowOff>76200</xdr:rowOff>
    </xdr:from>
    <xdr:to>
      <xdr:col>13</xdr:col>
      <xdr:colOff>104775</xdr:colOff>
      <xdr:row>70</xdr:row>
      <xdr:rowOff>171450</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2</xdr:col>
      <xdr:colOff>0</xdr:colOff>
      <xdr:row>73</xdr:row>
      <xdr:rowOff>0</xdr:rowOff>
    </xdr:from>
    <xdr:to>
      <xdr:col>14</xdr:col>
      <xdr:colOff>1725</xdr:colOff>
      <xdr:row>76</xdr:row>
      <xdr:rowOff>76200</xdr:rowOff>
    </xdr:to>
    <xdr:grpSp>
      <xdr:nvGrpSpPr>
        <xdr:cNvPr id="33" name="Group 32"/>
        <xdr:cNvGrpSpPr/>
      </xdr:nvGrpSpPr>
      <xdr:grpSpPr>
        <a:xfrm>
          <a:off x="209550" y="15001875"/>
          <a:ext cx="10584000" cy="619125"/>
          <a:chOff x="95249" y="904875"/>
          <a:chExt cx="10800001" cy="619125"/>
        </a:xfrm>
      </xdr:grpSpPr>
      <xdr:sp macro="" textlink="">
        <xdr:nvSpPr>
          <xdr:cNvPr id="34" name="TextBox 33"/>
          <xdr:cNvSpPr txBox="1"/>
        </xdr:nvSpPr>
        <xdr:spPr>
          <a:xfrm>
            <a:off x="95250" y="1190626"/>
            <a:ext cx="10800000" cy="3333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400" baseline="0"/>
          </a:p>
          <a:p>
            <a:r>
              <a:rPr lang="en-GB" sz="1100" b="1" baseline="0"/>
              <a:t>Source:</a:t>
            </a:r>
            <a:r>
              <a:rPr lang="en-GB" sz="1100" baseline="0"/>
              <a:t> This data is for children aged 3 - 15 and is taken from the 2011 Census.</a:t>
            </a:r>
          </a:p>
          <a:p>
            <a:endParaRPr lang="en-GB" sz="1050" baseline="0"/>
          </a:p>
        </xdr:txBody>
      </xdr:sp>
      <xdr:sp macro="" textlink="">
        <xdr:nvSpPr>
          <xdr:cNvPr id="35" name="Rectangle 34"/>
          <xdr:cNvSpPr/>
        </xdr:nvSpPr>
        <xdr:spPr>
          <a:xfrm>
            <a:off x="95249" y="904875"/>
            <a:ext cx="10800000"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Profiency</a:t>
            </a:r>
            <a:r>
              <a:rPr lang="en-GB" sz="1100" b="1" baseline="0"/>
              <a:t> in English (Children aged 3 to 15 years) </a:t>
            </a:r>
            <a:endParaRPr lang="en-GB" sz="1100" b="1"/>
          </a:p>
        </xdr:txBody>
      </xdr:sp>
    </xdr:grpSp>
    <xdr:clientData/>
  </xdr:twoCellAnchor>
  <xdr:twoCellAnchor editAs="absolute">
    <xdr:from>
      <xdr:col>2</xdr:col>
      <xdr:colOff>0</xdr:colOff>
      <xdr:row>88</xdr:row>
      <xdr:rowOff>0</xdr:rowOff>
    </xdr:from>
    <xdr:to>
      <xdr:col>14</xdr:col>
      <xdr:colOff>1725</xdr:colOff>
      <xdr:row>91</xdr:row>
      <xdr:rowOff>76200</xdr:rowOff>
    </xdr:to>
    <xdr:grpSp>
      <xdr:nvGrpSpPr>
        <xdr:cNvPr id="36" name="Group 35"/>
        <xdr:cNvGrpSpPr/>
      </xdr:nvGrpSpPr>
      <xdr:grpSpPr>
        <a:xfrm>
          <a:off x="209550" y="18545175"/>
          <a:ext cx="10584000" cy="619125"/>
          <a:chOff x="95249" y="904875"/>
          <a:chExt cx="10800001" cy="619125"/>
        </a:xfrm>
      </xdr:grpSpPr>
      <xdr:sp macro="" textlink="">
        <xdr:nvSpPr>
          <xdr:cNvPr id="37" name="TextBox 36"/>
          <xdr:cNvSpPr txBox="1"/>
        </xdr:nvSpPr>
        <xdr:spPr>
          <a:xfrm>
            <a:off x="95250" y="1190626"/>
            <a:ext cx="10800000" cy="3333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400" baseline="0"/>
          </a:p>
          <a:p>
            <a:r>
              <a:rPr lang="en-GB" sz="1100" b="1" baseline="0"/>
              <a:t>Source:</a:t>
            </a:r>
            <a:r>
              <a:rPr lang="en-GB" sz="1100" baseline="0"/>
              <a:t> This data is for households with a child aged 0 - 9 years and is taken from the 2011 Census.</a:t>
            </a:r>
          </a:p>
          <a:p>
            <a:endParaRPr lang="en-GB" sz="1050" baseline="0"/>
          </a:p>
        </xdr:txBody>
      </xdr:sp>
      <xdr:sp macro="" textlink="">
        <xdr:nvSpPr>
          <xdr:cNvPr id="38" name="Rectangle 37"/>
          <xdr:cNvSpPr/>
        </xdr:nvSpPr>
        <xdr:spPr>
          <a:xfrm>
            <a:off x="95249" y="904875"/>
            <a:ext cx="10800000"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Tenure (Households with a</a:t>
            </a:r>
            <a:r>
              <a:rPr lang="en-GB" sz="1100" b="1" baseline="0"/>
              <a:t> child aged 0-9)</a:t>
            </a:r>
            <a:endParaRPr lang="en-GB" sz="1100" b="1"/>
          </a:p>
        </xdr:txBody>
      </xdr:sp>
    </xdr:grpSp>
    <xdr:clientData/>
  </xdr:twoCellAnchor>
  <xdr:twoCellAnchor editAs="absolute">
    <xdr:from>
      <xdr:col>11</xdr:col>
      <xdr:colOff>152400</xdr:colOff>
      <xdr:row>73</xdr:row>
      <xdr:rowOff>0</xdr:rowOff>
    </xdr:from>
    <xdr:to>
      <xdr:col>14</xdr:col>
      <xdr:colOff>9525</xdr:colOff>
      <xdr:row>74</xdr:row>
      <xdr:rowOff>104775</xdr:rowOff>
    </xdr:to>
    <xdr:sp macro="" textlink="">
      <xdr:nvSpPr>
        <xdr:cNvPr id="39" name="TextBox 38">
          <a:hlinkClick xmlns:r="http://schemas.openxmlformats.org/officeDocument/2006/relationships" r:id="rId6"/>
        </xdr:cNvPr>
        <xdr:cNvSpPr txBox="1"/>
      </xdr:nvSpPr>
      <xdr:spPr>
        <a:xfrm>
          <a:off x="9477375" y="13668375"/>
          <a:ext cx="13239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clientData/>
  </xdr:twoCellAnchor>
  <xdr:twoCellAnchor editAs="absolute">
    <xdr:from>
      <xdr:col>11</xdr:col>
      <xdr:colOff>152400</xdr:colOff>
      <xdr:row>88</xdr:row>
      <xdr:rowOff>0</xdr:rowOff>
    </xdr:from>
    <xdr:to>
      <xdr:col>14</xdr:col>
      <xdr:colOff>9525</xdr:colOff>
      <xdr:row>89</xdr:row>
      <xdr:rowOff>104775</xdr:rowOff>
    </xdr:to>
    <xdr:sp macro="" textlink="">
      <xdr:nvSpPr>
        <xdr:cNvPr id="40" name="TextBox 39">
          <a:hlinkClick xmlns:r="http://schemas.openxmlformats.org/officeDocument/2006/relationships" r:id="rId6"/>
        </xdr:cNvPr>
        <xdr:cNvSpPr txBox="1"/>
      </xdr:nvSpPr>
      <xdr:spPr>
        <a:xfrm>
          <a:off x="9477375" y="16859250"/>
          <a:ext cx="13239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clientData/>
  </xdr:twoCellAnchor>
  <xdr:twoCellAnchor editAs="absolute">
    <xdr:from>
      <xdr:col>3</xdr:col>
      <xdr:colOff>533400</xdr:colOff>
      <xdr:row>100</xdr:row>
      <xdr:rowOff>57149</xdr:rowOff>
    </xdr:from>
    <xdr:to>
      <xdr:col>10</xdr:col>
      <xdr:colOff>733425</xdr:colOff>
      <xdr:row>116</xdr:row>
      <xdr:rowOff>161924</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9</xdr:col>
      <xdr:colOff>247651</xdr:colOff>
      <xdr:row>101</xdr:row>
      <xdr:rowOff>114300</xdr:rowOff>
    </xdr:from>
    <xdr:to>
      <xdr:col>11</xdr:col>
      <xdr:colOff>647700</xdr:colOff>
      <xdr:row>114</xdr:row>
      <xdr:rowOff>9525</xdr:rowOff>
    </xdr:to>
    <xdr:sp macro="" textlink="">
      <xdr:nvSpPr>
        <xdr:cNvPr id="41" name="TextBox 40"/>
        <xdr:cNvSpPr txBox="1"/>
      </xdr:nvSpPr>
      <xdr:spPr>
        <a:xfrm>
          <a:off x="7505701" y="19288125"/>
          <a:ext cx="2466974" cy="2247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 Owned</a:t>
          </a:r>
        </a:p>
        <a:p>
          <a:endParaRPr lang="en-GB" sz="1050"/>
        </a:p>
        <a:p>
          <a:endParaRPr lang="en-GB" sz="300"/>
        </a:p>
        <a:p>
          <a:endParaRPr lang="en-GB" sz="1050"/>
        </a:p>
        <a:p>
          <a:r>
            <a:rPr lang="en-GB" sz="1050"/>
            <a:t>%</a:t>
          </a:r>
          <a:r>
            <a:rPr lang="en-GB" sz="1050" baseline="0"/>
            <a:t> Socially rented</a:t>
          </a:r>
        </a:p>
        <a:p>
          <a:endParaRPr lang="en-GB" sz="1050" baseline="0"/>
        </a:p>
        <a:p>
          <a:endParaRPr lang="en-GB" sz="1600" baseline="0"/>
        </a:p>
        <a:p>
          <a:endParaRPr lang="en-GB" sz="1050" baseline="0"/>
        </a:p>
        <a:p>
          <a:endParaRPr lang="en-GB" sz="1050" baseline="0"/>
        </a:p>
        <a:p>
          <a:r>
            <a:rPr lang="en-GB" sz="1050" baseline="0"/>
            <a:t>% Privately rented or living rent free</a:t>
          </a:r>
          <a:endParaRPr lang="en-GB" sz="1050"/>
        </a:p>
      </xdr:txBody>
    </xdr:sp>
    <xdr:clientData/>
  </xdr:twoCellAnchor>
  <xdr:twoCellAnchor editAs="absolute">
    <xdr:from>
      <xdr:col>8</xdr:col>
      <xdr:colOff>1038225</xdr:colOff>
      <xdr:row>107</xdr:row>
      <xdr:rowOff>76200</xdr:rowOff>
    </xdr:from>
    <xdr:to>
      <xdr:col>9</xdr:col>
      <xdr:colOff>228600</xdr:colOff>
      <xdr:row>113</xdr:row>
      <xdr:rowOff>133350</xdr:rowOff>
    </xdr:to>
    <xdr:sp macro="" textlink="">
      <xdr:nvSpPr>
        <xdr:cNvPr id="44" name="Right Brace 43"/>
        <xdr:cNvSpPr/>
      </xdr:nvSpPr>
      <xdr:spPr>
        <a:xfrm>
          <a:off x="7210425" y="22212300"/>
          <a:ext cx="276225" cy="1143000"/>
        </a:xfrm>
        <a:prstGeom prst="rightBrace">
          <a:avLst>
            <a:gd name="adj1" fmla="val 66954"/>
            <a:gd name="adj2" fmla="val 50000"/>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editAs="absolute">
    <xdr:from>
      <xdr:col>8</xdr:col>
      <xdr:colOff>1047750</xdr:colOff>
      <xdr:row>101</xdr:row>
      <xdr:rowOff>9525</xdr:rowOff>
    </xdr:from>
    <xdr:to>
      <xdr:col>9</xdr:col>
      <xdr:colOff>238125</xdr:colOff>
      <xdr:row>103</xdr:row>
      <xdr:rowOff>142875</xdr:rowOff>
    </xdr:to>
    <xdr:sp macro="" textlink="">
      <xdr:nvSpPr>
        <xdr:cNvPr id="46" name="Right Brace 45"/>
        <xdr:cNvSpPr/>
      </xdr:nvSpPr>
      <xdr:spPr>
        <a:xfrm>
          <a:off x="7219950" y="21059775"/>
          <a:ext cx="276225" cy="495300"/>
        </a:xfrm>
        <a:prstGeom prst="rightBrace">
          <a:avLst>
            <a:gd name="adj1" fmla="val 66954"/>
            <a:gd name="adj2" fmla="val 50000"/>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mc:AlternateContent xmlns:mc="http://schemas.openxmlformats.org/markup-compatibility/2006">
    <mc:Choice xmlns:a14="http://schemas.microsoft.com/office/drawing/2010/main" Requires="a14">
      <xdr:twoCellAnchor editAs="absolute">
        <xdr:from>
          <xdr:col>4</xdr:col>
          <xdr:colOff>914400</xdr:colOff>
          <xdr:row>4</xdr:row>
          <xdr:rowOff>180975</xdr:rowOff>
        </xdr:from>
        <xdr:to>
          <xdr:col>7</xdr:col>
          <xdr:colOff>828675</xdr:colOff>
          <xdr:row>6</xdr:row>
          <xdr:rowOff>66675</xdr:rowOff>
        </xdr:to>
        <xdr:sp macro="" textlink="">
          <xdr:nvSpPr>
            <xdr:cNvPr id="3075" name="Drop Down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923925</xdr:colOff>
          <xdr:row>6</xdr:row>
          <xdr:rowOff>161925</xdr:rowOff>
        </xdr:from>
        <xdr:to>
          <xdr:col>7</xdr:col>
          <xdr:colOff>838200</xdr:colOff>
          <xdr:row>8</xdr:row>
          <xdr:rowOff>47625</xdr:rowOff>
        </xdr:to>
        <xdr:sp macro="" textlink="">
          <xdr:nvSpPr>
            <xdr:cNvPr id="3076" name="Drop Down 4" hidden="1">
              <a:extLst>
                <a:ext uri="{63B3BB69-23CF-44E3-9099-C40C66FF867C}">
                  <a14:compatExt spid="_x0000_s3076"/>
                </a:ext>
              </a:extLst>
            </xdr:cNvPr>
            <xdr:cNvSpPr/>
          </xdr:nvSpPr>
          <xdr:spPr>
            <a:xfrm>
              <a:off x="0" y="0"/>
              <a:ext cx="0" cy="0"/>
            </a:xfrm>
            <a:prstGeom prst="rect">
              <a:avLst/>
            </a:prstGeom>
          </xdr:spPr>
        </xdr:sp>
        <xdr:clientData/>
      </xdr:twoCellAnchor>
    </mc:Choice>
    <mc:Fallback/>
  </mc:AlternateContent>
  <xdr:twoCellAnchor editAs="absolute">
    <xdr:from>
      <xdr:col>8</xdr:col>
      <xdr:colOff>166683</xdr:colOff>
      <xdr:row>4</xdr:row>
      <xdr:rowOff>178594</xdr:rowOff>
    </xdr:from>
    <xdr:to>
      <xdr:col>8</xdr:col>
      <xdr:colOff>714371</xdr:colOff>
      <xdr:row>6</xdr:row>
      <xdr:rowOff>111919</xdr:rowOff>
    </xdr:to>
    <xdr:sp macro="" textlink="">
      <xdr:nvSpPr>
        <xdr:cNvPr id="48" name="Left Arrow 47"/>
        <xdr:cNvSpPr/>
      </xdr:nvSpPr>
      <xdr:spPr>
        <a:xfrm>
          <a:off x="6334121" y="964407"/>
          <a:ext cx="547688" cy="314325"/>
        </a:xfrm>
        <a:prstGeom prst="leftArrow">
          <a:avLst/>
        </a:prstGeom>
        <a:solidFill>
          <a:schemeClr val="accent1">
            <a:lumMod val="40000"/>
            <a:lumOff val="6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twoCellAnchor editAs="absolute">
    <xdr:from>
      <xdr:col>8</xdr:col>
      <xdr:colOff>723895</xdr:colOff>
      <xdr:row>5</xdr:row>
      <xdr:rowOff>16670</xdr:rowOff>
    </xdr:from>
    <xdr:to>
      <xdr:col>13</xdr:col>
      <xdr:colOff>83338</xdr:colOff>
      <xdr:row>6</xdr:row>
      <xdr:rowOff>83344</xdr:rowOff>
    </xdr:to>
    <xdr:sp macro="" textlink="">
      <xdr:nvSpPr>
        <xdr:cNvPr id="49" name="TextBox 48"/>
        <xdr:cNvSpPr txBox="1"/>
      </xdr:nvSpPr>
      <xdr:spPr>
        <a:xfrm>
          <a:off x="6891333" y="992983"/>
          <a:ext cx="38480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Please select an</a:t>
          </a:r>
          <a:r>
            <a:rPr lang="en-GB" sz="1100" b="1" baseline="0">
              <a:solidFill>
                <a:schemeClr val="bg1"/>
              </a:solidFill>
            </a:rPr>
            <a:t> area </a:t>
          </a:r>
          <a:endParaRPr lang="en-GB" sz="1100" b="1">
            <a:solidFill>
              <a:schemeClr val="bg1"/>
            </a:solidFill>
          </a:endParaRPr>
        </a:p>
      </xdr:txBody>
    </xdr:sp>
    <xdr:clientData/>
  </xdr:twoCellAnchor>
  <xdr:twoCellAnchor editAs="absolute">
    <xdr:from>
      <xdr:col>8</xdr:col>
      <xdr:colOff>164302</xdr:colOff>
      <xdr:row>6</xdr:row>
      <xdr:rowOff>116681</xdr:rowOff>
    </xdr:from>
    <xdr:to>
      <xdr:col>8</xdr:col>
      <xdr:colOff>711990</xdr:colOff>
      <xdr:row>8</xdr:row>
      <xdr:rowOff>50006</xdr:rowOff>
    </xdr:to>
    <xdr:sp macro="" textlink="">
      <xdr:nvSpPr>
        <xdr:cNvPr id="50" name="Left Arrow 49"/>
        <xdr:cNvSpPr/>
      </xdr:nvSpPr>
      <xdr:spPr>
        <a:xfrm>
          <a:off x="6331740" y="1283494"/>
          <a:ext cx="547688" cy="314325"/>
        </a:xfrm>
        <a:prstGeom prst="lef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twoCellAnchor editAs="absolute">
    <xdr:from>
      <xdr:col>8</xdr:col>
      <xdr:colOff>721515</xdr:colOff>
      <xdr:row>6</xdr:row>
      <xdr:rowOff>145256</xdr:rowOff>
    </xdr:from>
    <xdr:to>
      <xdr:col>10</xdr:col>
      <xdr:colOff>557209</xdr:colOff>
      <xdr:row>8</xdr:row>
      <xdr:rowOff>21431</xdr:rowOff>
    </xdr:to>
    <xdr:sp macro="" textlink="">
      <xdr:nvSpPr>
        <xdr:cNvPr id="51" name="TextBox 50"/>
        <xdr:cNvSpPr txBox="1"/>
      </xdr:nvSpPr>
      <xdr:spPr>
        <a:xfrm>
          <a:off x="6888953" y="1312069"/>
          <a:ext cx="1871662"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Please select an</a:t>
          </a:r>
          <a:r>
            <a:rPr lang="en-GB" sz="1100" b="1" baseline="0">
              <a:solidFill>
                <a:schemeClr val="bg1"/>
              </a:solidFill>
            </a:rPr>
            <a:t> area</a:t>
          </a:r>
          <a:endParaRPr lang="en-GB" sz="1100" b="1">
            <a:solidFill>
              <a:schemeClr val="bg1"/>
            </a:solidFill>
          </a:endParaRPr>
        </a:p>
      </xdr:txBody>
    </xdr:sp>
    <xdr:clientData/>
  </xdr:twoCellAnchor>
  <xdr:twoCellAnchor editAs="absolute">
    <xdr:from>
      <xdr:col>10</xdr:col>
      <xdr:colOff>581025</xdr:colOff>
      <xdr:row>1</xdr:row>
      <xdr:rowOff>19050</xdr:rowOff>
    </xdr:from>
    <xdr:to>
      <xdr:col>12</xdr:col>
      <xdr:colOff>342900</xdr:colOff>
      <xdr:row>2</xdr:row>
      <xdr:rowOff>47625</xdr:rowOff>
    </xdr:to>
    <xdr:sp macro="" textlink="">
      <xdr:nvSpPr>
        <xdr:cNvPr id="52" name="Rectangle 51">
          <a:hlinkClick xmlns:r="http://schemas.openxmlformats.org/officeDocument/2006/relationships" r:id="rId10"/>
        </xdr:cNvPr>
        <xdr:cNvSpPr/>
      </xdr:nvSpPr>
      <xdr:spPr>
        <a:xfrm>
          <a:off x="8791575" y="209550"/>
          <a:ext cx="1857375" cy="24765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en-GB" sz="1100"/>
            <a:t>Go</a:t>
          </a:r>
          <a:r>
            <a:rPr lang="en-GB" sz="1100" baseline="0"/>
            <a:t> to the data</a:t>
          </a:r>
          <a:endParaRPr lang="en-GB" sz="11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0.77557</cdr:x>
      <cdr:y>0.20748</cdr:y>
    </cdr:from>
    <cdr:to>
      <cdr:x>0.81159</cdr:x>
      <cdr:y>0.42857</cdr:y>
    </cdr:to>
    <cdr:sp macro="" textlink="">
      <cdr:nvSpPr>
        <cdr:cNvPr id="3" name="Right Brace 2"/>
        <cdr:cNvSpPr/>
      </cdr:nvSpPr>
      <cdr:spPr>
        <a:xfrm xmlns:a="http://schemas.openxmlformats.org/drawingml/2006/main">
          <a:off x="5946775" y="581024"/>
          <a:ext cx="276225" cy="619125"/>
        </a:xfrm>
        <a:prstGeom xmlns:a="http://schemas.openxmlformats.org/drawingml/2006/main" prst="rightBrace">
          <a:avLst>
            <a:gd name="adj1" fmla="val 66954"/>
            <a:gd name="adj2" fmla="val 50000"/>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endParaRPr lang="en-GB" sz="1100"/>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1</xdr:col>
      <xdr:colOff>0</xdr:colOff>
      <xdr:row>80</xdr:row>
      <xdr:rowOff>161898</xdr:rowOff>
    </xdr:from>
    <xdr:to>
      <xdr:col>14</xdr:col>
      <xdr:colOff>103425</xdr:colOff>
      <xdr:row>82</xdr:row>
      <xdr:rowOff>111892</xdr:rowOff>
    </xdr:to>
    <xdr:grpSp>
      <xdr:nvGrpSpPr>
        <xdr:cNvPr id="2" name="Group 1"/>
        <xdr:cNvGrpSpPr/>
      </xdr:nvGrpSpPr>
      <xdr:grpSpPr>
        <a:xfrm>
          <a:off x="95250" y="16830648"/>
          <a:ext cx="10800000" cy="311944"/>
          <a:chOff x="9524" y="6115049"/>
          <a:chExt cx="10963276" cy="314325"/>
        </a:xfrm>
      </xdr:grpSpPr>
      <xdr:sp macro="" textlink="">
        <xdr:nvSpPr>
          <xdr:cNvPr id="3" name="Round Same Side Corner Rectangle 2"/>
          <xdr:cNvSpPr/>
        </xdr:nvSpPr>
        <xdr:spPr>
          <a:xfrm flipV="1">
            <a:off x="9524" y="6124573"/>
            <a:ext cx="10958850" cy="238125"/>
          </a:xfrm>
          <a:prstGeom prst="round2SameRect">
            <a:avLst/>
          </a:prstGeom>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GB" sz="1100"/>
          </a:p>
        </xdr:txBody>
      </xdr:sp>
      <xdr:sp macro="" textlink="$R$1">
        <xdr:nvSpPr>
          <xdr:cNvPr id="4" name="TextBox 3"/>
          <xdr:cNvSpPr txBox="1"/>
        </xdr:nvSpPr>
        <xdr:spPr>
          <a:xfrm>
            <a:off x="7541675" y="6115049"/>
            <a:ext cx="34311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3B1BCF6-4FA2-4300-A41F-12861E9D32B9}" type="TxLink">
              <a:rPr lang="en-US" sz="1200" b="0" i="0" u="none" strike="noStrike">
                <a:solidFill>
                  <a:schemeClr val="bg1"/>
                </a:solidFill>
                <a:latin typeface="Calibri"/>
                <a:ea typeface="Verdana"/>
                <a:cs typeface="Calibri"/>
              </a:rPr>
              <a:pPr algn="r"/>
              <a:t>12:39PM Friday 18 December 2015</a:t>
            </a:fld>
            <a:endParaRPr lang="en-GB" sz="1200" b="0">
              <a:solidFill>
                <a:schemeClr val="bg1"/>
              </a:solidFill>
            </a:endParaRPr>
          </a:p>
        </xdr:txBody>
      </xdr:sp>
    </xdr:grpSp>
    <xdr:clientData/>
  </xdr:twoCellAnchor>
  <xdr:twoCellAnchor editAs="absolute">
    <xdr:from>
      <xdr:col>1</xdr:col>
      <xdr:colOff>0</xdr:colOff>
      <xdr:row>0</xdr:row>
      <xdr:rowOff>123825</xdr:rowOff>
    </xdr:from>
    <xdr:to>
      <xdr:col>14</xdr:col>
      <xdr:colOff>103425</xdr:colOff>
      <xdr:row>4</xdr:row>
      <xdr:rowOff>9525</xdr:rowOff>
    </xdr:to>
    <xdr:grpSp>
      <xdr:nvGrpSpPr>
        <xdr:cNvPr id="5" name="Group 4"/>
        <xdr:cNvGrpSpPr/>
      </xdr:nvGrpSpPr>
      <xdr:grpSpPr>
        <a:xfrm>
          <a:off x="95250" y="123825"/>
          <a:ext cx="10800000" cy="676275"/>
          <a:chOff x="95250" y="123825"/>
          <a:chExt cx="10803225" cy="666750"/>
        </a:xfrm>
      </xdr:grpSpPr>
      <xdr:sp macro="" textlink="">
        <xdr:nvSpPr>
          <xdr:cNvPr id="6" name="Round Same Side Corner Rectangle 5"/>
          <xdr:cNvSpPr/>
        </xdr:nvSpPr>
        <xdr:spPr>
          <a:xfrm>
            <a:off x="95250" y="123825"/>
            <a:ext cx="10800000" cy="666750"/>
          </a:xfrm>
          <a:prstGeom prst="round2SameRect">
            <a:avLst>
              <a:gd name="adj1" fmla="val 50000"/>
              <a:gd name="adj2" fmla="val 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000"/>
          </a:p>
        </xdr:txBody>
      </xdr:sp>
      <xdr:sp macro="" textlink="">
        <xdr:nvSpPr>
          <xdr:cNvPr id="7" name="Snip Single Corner Rectangle 6">
            <a:hlinkClick xmlns:r="http://schemas.openxmlformats.org/officeDocument/2006/relationships" r:id="rId1"/>
          </xdr:cNvPr>
          <xdr:cNvSpPr/>
        </xdr:nvSpPr>
        <xdr:spPr>
          <a:xfrm>
            <a:off x="10477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b="0"/>
              <a:t>Population</a:t>
            </a:r>
          </a:p>
        </xdr:txBody>
      </xdr:sp>
      <xdr:sp macro="" textlink="">
        <xdr:nvSpPr>
          <xdr:cNvPr id="8" name="Snip Single Corner Rectangle 7"/>
          <xdr:cNvSpPr/>
        </xdr:nvSpPr>
        <xdr:spPr>
          <a:xfrm>
            <a:off x="1910714" y="514350"/>
            <a:ext cx="1764000" cy="247649"/>
          </a:xfrm>
          <a:prstGeom prst="snip1Rect">
            <a:avLst>
              <a:gd name="adj" fmla="val 50000"/>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b"/>
          <a:lstStyle/>
          <a:p>
            <a:pPr algn="ctr"/>
            <a:r>
              <a:rPr lang="en-GB" sz="1100" b="1"/>
              <a:t>Family Structure</a:t>
            </a:r>
          </a:p>
        </xdr:txBody>
      </xdr:sp>
      <xdr:sp macro="" textlink="">
        <xdr:nvSpPr>
          <xdr:cNvPr id="9" name="Snip Single Corner Rectangle 8">
            <a:hlinkClick xmlns:r="http://schemas.openxmlformats.org/officeDocument/2006/relationships" r:id="rId2"/>
          </xdr:cNvPr>
          <xdr:cNvSpPr/>
        </xdr:nvSpPr>
        <xdr:spPr>
          <a:xfrm>
            <a:off x="371665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Health Indicators</a:t>
            </a:r>
          </a:p>
        </xdr:txBody>
      </xdr:sp>
      <xdr:sp macro="" textlink="">
        <xdr:nvSpPr>
          <xdr:cNvPr id="10" name="Snip Single Corner Rectangle 9">
            <a:hlinkClick xmlns:r="http://schemas.openxmlformats.org/officeDocument/2006/relationships" r:id="rId3"/>
          </xdr:cNvPr>
          <xdr:cNvSpPr/>
        </xdr:nvSpPr>
        <xdr:spPr>
          <a:xfrm>
            <a:off x="552259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Births and Early Years</a:t>
            </a:r>
          </a:p>
        </xdr:txBody>
      </xdr:sp>
      <xdr:sp macro="" textlink="">
        <xdr:nvSpPr>
          <xdr:cNvPr id="11" name="Snip Single Corner Rectangle 10">
            <a:hlinkClick xmlns:r="http://schemas.openxmlformats.org/officeDocument/2006/relationships" r:id="rId4"/>
          </xdr:cNvPr>
          <xdr:cNvSpPr/>
        </xdr:nvSpPr>
        <xdr:spPr>
          <a:xfrm>
            <a:off x="732853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Deprivation</a:t>
            </a:r>
          </a:p>
        </xdr:txBody>
      </xdr:sp>
      <xdr:sp macro="" textlink="">
        <xdr:nvSpPr>
          <xdr:cNvPr id="12" name="Snip Single Corner Rectangle 11">
            <a:hlinkClick xmlns:r="http://schemas.openxmlformats.org/officeDocument/2006/relationships" r:id="rId5"/>
          </xdr:cNvPr>
          <xdr:cNvSpPr/>
        </xdr:nvSpPr>
        <xdr:spPr>
          <a:xfrm>
            <a:off x="9134475"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EYFS</a:t>
            </a:r>
          </a:p>
        </xdr:txBody>
      </xdr:sp>
      <xdr:cxnSp macro="">
        <xdr:nvCxnSpPr>
          <xdr:cNvPr id="13" name="Straight Connector 12"/>
          <xdr:cNvCxnSpPr/>
        </xdr:nvCxnSpPr>
        <xdr:spPr>
          <a:xfrm>
            <a:off x="95250" y="781050"/>
            <a:ext cx="10800000" cy="1"/>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14" name="TextBox 13"/>
          <xdr:cNvSpPr txBox="1"/>
        </xdr:nvSpPr>
        <xdr:spPr>
          <a:xfrm>
            <a:off x="361949" y="152400"/>
            <a:ext cx="5735843"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Children's Workforce Public Health Profiles : </a:t>
            </a:r>
            <a:r>
              <a:rPr lang="en-GB" sz="1400" b="0"/>
              <a:t>Family</a:t>
            </a:r>
            <a:r>
              <a:rPr lang="en-GB" sz="1400" b="0" baseline="0"/>
              <a:t> Structure</a:t>
            </a:r>
            <a:endParaRPr lang="en-GB" sz="1400" b="0"/>
          </a:p>
        </xdr:txBody>
      </xdr:sp>
    </xdr:grpSp>
    <xdr:clientData/>
  </xdr:twoCellAnchor>
  <xdr:twoCellAnchor editAs="absolute">
    <xdr:from>
      <xdr:col>2</xdr:col>
      <xdr:colOff>5442</xdr:colOff>
      <xdr:row>9</xdr:row>
      <xdr:rowOff>9525</xdr:rowOff>
    </xdr:from>
    <xdr:to>
      <xdr:col>14</xdr:col>
      <xdr:colOff>1723</xdr:colOff>
      <xdr:row>14</xdr:row>
      <xdr:rowOff>85726</xdr:rowOff>
    </xdr:to>
    <xdr:grpSp>
      <xdr:nvGrpSpPr>
        <xdr:cNvPr id="15" name="Group 14"/>
        <xdr:cNvGrpSpPr/>
      </xdr:nvGrpSpPr>
      <xdr:grpSpPr>
        <a:xfrm>
          <a:off x="214992" y="1752600"/>
          <a:ext cx="10578556" cy="1028701"/>
          <a:chOff x="95249" y="904875"/>
          <a:chExt cx="10800000" cy="1028701"/>
        </a:xfrm>
      </xdr:grpSpPr>
      <xdr:sp macro="" textlink="">
        <xdr:nvSpPr>
          <xdr:cNvPr id="16" name="TextBox 15"/>
          <xdr:cNvSpPr txBox="1"/>
        </xdr:nvSpPr>
        <xdr:spPr>
          <a:xfrm>
            <a:off x="95251" y="1190626"/>
            <a:ext cx="7188292" cy="742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Source:</a:t>
            </a:r>
            <a:r>
              <a:rPr lang="en-GB" sz="1100" b="1" baseline="0"/>
              <a:t> </a:t>
            </a:r>
            <a:r>
              <a:rPr lang="en-GB" sz="1100" b="0" baseline="0"/>
              <a:t>2011 Census</a:t>
            </a:r>
          </a:p>
          <a:p>
            <a:endParaRPr lang="en-GB" sz="400" b="1"/>
          </a:p>
          <a:p>
            <a:r>
              <a:rPr lang="en-GB" sz="1100" b="0"/>
              <a:t>This section provides information from</a:t>
            </a:r>
            <a:r>
              <a:rPr lang="en-GB" sz="1100" b="0" baseline="0"/>
              <a:t> the 2011 Census on the total number of </a:t>
            </a:r>
            <a:r>
              <a:rPr lang="en-GB" sz="1100" b="1" baseline="0"/>
              <a:t>families </a:t>
            </a:r>
            <a:r>
              <a:rPr lang="en-GB" sz="1100" b="0" baseline="0"/>
              <a:t>within an area with a child aged 0 - 4. This section also shows the family size of an area, where the youngest child is aged 0 - 4.</a:t>
            </a:r>
          </a:p>
        </xdr:txBody>
      </xdr:sp>
      <xdr:sp macro="" textlink="">
        <xdr:nvSpPr>
          <xdr:cNvPr id="17" name="Rectangle 16"/>
          <xdr:cNvSpPr/>
        </xdr:nvSpPr>
        <xdr:spPr>
          <a:xfrm>
            <a:off x="95249" y="904875"/>
            <a:ext cx="10800000"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Family Composition</a:t>
            </a:r>
          </a:p>
        </xdr:txBody>
      </xdr:sp>
    </xdr:grpSp>
    <xdr:clientData/>
  </xdr:twoCellAnchor>
  <xdr:twoCellAnchor editAs="absolute">
    <xdr:from>
      <xdr:col>2</xdr:col>
      <xdr:colOff>0</xdr:colOff>
      <xdr:row>28</xdr:row>
      <xdr:rowOff>11899</xdr:rowOff>
    </xdr:from>
    <xdr:to>
      <xdr:col>14</xdr:col>
      <xdr:colOff>11905</xdr:colOff>
      <xdr:row>36</xdr:row>
      <xdr:rowOff>28575</xdr:rowOff>
    </xdr:to>
    <xdr:grpSp>
      <xdr:nvGrpSpPr>
        <xdr:cNvPr id="18" name="Group 17"/>
        <xdr:cNvGrpSpPr/>
      </xdr:nvGrpSpPr>
      <xdr:grpSpPr>
        <a:xfrm>
          <a:off x="209550" y="5707849"/>
          <a:ext cx="10594180" cy="1540676"/>
          <a:chOff x="214313" y="4762500"/>
          <a:chExt cx="10584655" cy="1152516"/>
        </a:xfrm>
      </xdr:grpSpPr>
      <xdr:grpSp>
        <xdr:nvGrpSpPr>
          <xdr:cNvPr id="19" name="Group 18"/>
          <xdr:cNvGrpSpPr/>
        </xdr:nvGrpSpPr>
        <xdr:grpSpPr>
          <a:xfrm>
            <a:off x="214313" y="4762500"/>
            <a:ext cx="10579237" cy="1152516"/>
            <a:chOff x="95249" y="904875"/>
            <a:chExt cx="10800000" cy="1152516"/>
          </a:xfrm>
        </xdr:grpSpPr>
        <xdr:sp macro="" textlink="">
          <xdr:nvSpPr>
            <xdr:cNvPr id="20" name="TextBox 19"/>
            <xdr:cNvSpPr txBox="1"/>
          </xdr:nvSpPr>
          <xdr:spPr>
            <a:xfrm>
              <a:off x="95250" y="1190626"/>
              <a:ext cx="7305695" cy="8667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Source:</a:t>
              </a:r>
              <a:r>
                <a:rPr lang="en-GB" sz="1100" b="1" baseline="0"/>
                <a:t> </a:t>
              </a:r>
              <a:r>
                <a:rPr lang="en-GB" sz="1100" b="0" baseline="0"/>
                <a:t>2011 Census</a:t>
              </a:r>
            </a:p>
            <a:p>
              <a:endParaRPr lang="en-GB" sz="400" b="1"/>
            </a:p>
            <a:p>
              <a:r>
                <a:rPr lang="en-GB" sz="1100" b="0"/>
                <a:t>This</a:t>
              </a:r>
              <a:r>
                <a:rPr lang="en-GB" sz="1100" b="0" baseline="0"/>
                <a:t> information is taken from the 2011 Census and provides  the total number of households with dependent children under the age of 5 in West Sussex.  Households consisting of one family are classified according to the type of family (married, same-sex civil partnership, or cohabiting couple family, or lone parent family) and by the number of dependent children.</a:t>
              </a:r>
              <a:endParaRPr lang="en-GB" sz="1100" b="0"/>
            </a:p>
          </xdr:txBody>
        </xdr:sp>
        <xdr:sp macro="" textlink="">
          <xdr:nvSpPr>
            <xdr:cNvPr id="21" name="Rectangle 20"/>
            <xdr:cNvSpPr/>
          </xdr:nvSpPr>
          <xdr:spPr>
            <a:xfrm>
              <a:off x="95249" y="904875"/>
              <a:ext cx="10800000" cy="212748"/>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Household Composition</a:t>
              </a:r>
            </a:p>
          </xdr:txBody>
        </xdr:sp>
      </xdr:grpSp>
      <xdr:sp macro="" textlink="">
        <xdr:nvSpPr>
          <xdr:cNvPr id="25" name="TextBox 24">
            <a:hlinkClick xmlns:r="http://schemas.openxmlformats.org/officeDocument/2006/relationships" r:id="rId6"/>
          </xdr:cNvPr>
          <xdr:cNvSpPr txBox="1"/>
        </xdr:nvSpPr>
        <xdr:spPr>
          <a:xfrm>
            <a:off x="9477374" y="4762500"/>
            <a:ext cx="132159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absolute">
    <xdr:from>
      <xdr:col>2</xdr:col>
      <xdr:colOff>2</xdr:colOff>
      <xdr:row>48</xdr:row>
      <xdr:rowOff>3</xdr:rowOff>
    </xdr:from>
    <xdr:to>
      <xdr:col>14</xdr:col>
      <xdr:colOff>11907</xdr:colOff>
      <xdr:row>53</xdr:row>
      <xdr:rowOff>3</xdr:rowOff>
    </xdr:to>
    <xdr:grpSp>
      <xdr:nvGrpSpPr>
        <xdr:cNvPr id="28" name="Group 27"/>
        <xdr:cNvGrpSpPr/>
      </xdr:nvGrpSpPr>
      <xdr:grpSpPr>
        <a:xfrm>
          <a:off x="209552" y="9734553"/>
          <a:ext cx="10594180" cy="914400"/>
          <a:chOff x="214313" y="4762500"/>
          <a:chExt cx="10584655" cy="892996"/>
        </a:xfrm>
      </xdr:grpSpPr>
      <xdr:grpSp>
        <xdr:nvGrpSpPr>
          <xdr:cNvPr id="29" name="Group 28"/>
          <xdr:cNvGrpSpPr/>
        </xdr:nvGrpSpPr>
        <xdr:grpSpPr>
          <a:xfrm>
            <a:off x="214313" y="4762500"/>
            <a:ext cx="10579237" cy="892996"/>
            <a:chOff x="95249" y="904875"/>
            <a:chExt cx="10800000" cy="892996"/>
          </a:xfrm>
        </xdr:grpSpPr>
        <xdr:sp macro="" textlink="">
          <xdr:nvSpPr>
            <xdr:cNvPr id="31" name="TextBox 30"/>
            <xdr:cNvSpPr txBox="1"/>
          </xdr:nvSpPr>
          <xdr:spPr>
            <a:xfrm>
              <a:off x="95250" y="1190625"/>
              <a:ext cx="10795148" cy="6072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Source:</a:t>
              </a:r>
              <a:r>
                <a:rPr lang="en-GB" sz="1100" b="1" baseline="0"/>
                <a:t> </a:t>
              </a:r>
              <a:r>
                <a:rPr lang="en-GB" sz="1100" b="0" baseline="0"/>
                <a:t>2011 Census</a:t>
              </a:r>
            </a:p>
            <a:p>
              <a:endParaRPr lang="en-GB" sz="400" b="0" baseline="0"/>
            </a:p>
            <a:p>
              <a:r>
                <a:rPr lang="en-GB" sz="1100" b="0" baseline="0"/>
                <a:t>This data relates to all lone parent families not just those with children under the age of 5.</a:t>
              </a:r>
              <a:endParaRPr lang="en-GB" sz="400" b="1"/>
            </a:p>
          </xdr:txBody>
        </xdr:sp>
        <xdr:sp macro="" textlink="">
          <xdr:nvSpPr>
            <xdr:cNvPr id="32" name="Rectangle 31"/>
            <xdr:cNvSpPr/>
          </xdr:nvSpPr>
          <xdr:spPr>
            <a:xfrm>
              <a:off x="95249" y="904875"/>
              <a:ext cx="10800000"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Lone Parent Families</a:t>
              </a:r>
            </a:p>
          </xdr:txBody>
        </xdr:sp>
      </xdr:grpSp>
      <xdr:sp macro="" textlink="">
        <xdr:nvSpPr>
          <xdr:cNvPr id="30" name="TextBox 29">
            <a:hlinkClick xmlns:r="http://schemas.openxmlformats.org/officeDocument/2006/relationships" r:id="rId6"/>
          </xdr:cNvPr>
          <xdr:cNvSpPr txBox="1"/>
        </xdr:nvSpPr>
        <xdr:spPr>
          <a:xfrm>
            <a:off x="9477374" y="4762500"/>
            <a:ext cx="132159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absolute">
    <xdr:from>
      <xdr:col>1</xdr:col>
      <xdr:colOff>114299</xdr:colOff>
      <xdr:row>63</xdr:row>
      <xdr:rowOff>7144</xdr:rowOff>
    </xdr:from>
    <xdr:to>
      <xdr:col>14</xdr:col>
      <xdr:colOff>6486</xdr:colOff>
      <xdr:row>64</xdr:row>
      <xdr:rowOff>107156</xdr:rowOff>
    </xdr:to>
    <xdr:sp macro="" textlink="">
      <xdr:nvSpPr>
        <xdr:cNvPr id="33" name="Rectangle 32"/>
        <xdr:cNvSpPr/>
      </xdr:nvSpPr>
      <xdr:spPr>
        <a:xfrm>
          <a:off x="209549" y="12065794"/>
          <a:ext cx="10588762" cy="290512"/>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Lone Parent Families on Low</a:t>
          </a:r>
          <a:r>
            <a:rPr lang="en-GB" sz="1100" b="1" baseline="0"/>
            <a:t> Income</a:t>
          </a:r>
          <a:endParaRPr lang="en-GB" sz="1100" b="1"/>
        </a:p>
      </xdr:txBody>
    </xdr:sp>
    <xdr:clientData/>
  </xdr:twoCellAnchor>
  <xdr:twoCellAnchor editAs="absolute">
    <xdr:from>
      <xdr:col>11</xdr:col>
      <xdr:colOff>154784</xdr:colOff>
      <xdr:row>63</xdr:row>
      <xdr:rowOff>19050</xdr:rowOff>
    </xdr:from>
    <xdr:to>
      <xdr:col>14</xdr:col>
      <xdr:colOff>11909</xdr:colOff>
      <xdr:row>64</xdr:row>
      <xdr:rowOff>119062</xdr:rowOff>
    </xdr:to>
    <xdr:sp macro="" textlink="">
      <xdr:nvSpPr>
        <xdr:cNvPr id="35" name="TextBox 34">
          <a:hlinkClick xmlns:r="http://schemas.openxmlformats.org/officeDocument/2006/relationships" r:id="rId6"/>
        </xdr:cNvPr>
        <xdr:cNvSpPr txBox="1"/>
      </xdr:nvSpPr>
      <xdr:spPr>
        <a:xfrm>
          <a:off x="9479759" y="12077700"/>
          <a:ext cx="1323975" cy="290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clientData/>
  </xdr:twoCellAnchor>
  <xdr:twoCellAnchor editAs="absolute">
    <xdr:from>
      <xdr:col>9</xdr:col>
      <xdr:colOff>40483</xdr:colOff>
      <xdr:row>13</xdr:row>
      <xdr:rowOff>73819</xdr:rowOff>
    </xdr:from>
    <xdr:to>
      <xdr:col>13</xdr:col>
      <xdr:colOff>76199</xdr:colOff>
      <xdr:row>25</xdr:row>
      <xdr:rowOff>169069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9</xdr:col>
      <xdr:colOff>547688</xdr:colOff>
      <xdr:row>11</xdr:row>
      <xdr:rowOff>23821</xdr:rowOff>
    </xdr:from>
    <xdr:to>
      <xdr:col>12</xdr:col>
      <xdr:colOff>285750</xdr:colOff>
      <xdr:row>13</xdr:row>
      <xdr:rowOff>107156</xdr:rowOff>
    </xdr:to>
    <xdr:sp macro="" textlink="">
      <xdr:nvSpPr>
        <xdr:cNvPr id="41" name="TextBox 40"/>
        <xdr:cNvSpPr txBox="1"/>
      </xdr:nvSpPr>
      <xdr:spPr>
        <a:xfrm>
          <a:off x="7798594" y="1381134"/>
          <a:ext cx="2786062" cy="464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t>The</a:t>
          </a:r>
          <a:r>
            <a:rPr lang="en-GB" sz="1100" b="1" baseline="0"/>
            <a:t> % of families with a child under 5 by family size</a:t>
          </a:r>
          <a:endParaRPr lang="en-GB" sz="1100" b="1"/>
        </a:p>
      </xdr:txBody>
    </xdr:sp>
    <xdr:clientData/>
  </xdr:twoCellAnchor>
  <xdr:twoCellAnchor editAs="absolute">
    <xdr:from>
      <xdr:col>9</xdr:col>
      <xdr:colOff>57150</xdr:colOff>
      <xdr:row>32</xdr:row>
      <xdr:rowOff>114300</xdr:rowOff>
    </xdr:from>
    <xdr:to>
      <xdr:col>13</xdr:col>
      <xdr:colOff>85725</xdr:colOff>
      <xdr:row>45</xdr:row>
      <xdr:rowOff>104775</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9</xdr:col>
      <xdr:colOff>483394</xdr:colOff>
      <xdr:row>30</xdr:row>
      <xdr:rowOff>28584</xdr:rowOff>
    </xdr:from>
    <xdr:to>
      <xdr:col>12</xdr:col>
      <xdr:colOff>221456</xdr:colOff>
      <xdr:row>32</xdr:row>
      <xdr:rowOff>111919</xdr:rowOff>
    </xdr:to>
    <xdr:sp macro="" textlink="">
      <xdr:nvSpPr>
        <xdr:cNvPr id="34" name="TextBox 33"/>
        <xdr:cNvSpPr txBox="1"/>
      </xdr:nvSpPr>
      <xdr:spPr>
        <a:xfrm>
          <a:off x="7741444" y="5343534"/>
          <a:ext cx="2786062" cy="464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t>The</a:t>
          </a:r>
          <a:r>
            <a:rPr lang="en-GB" sz="1100" b="1" baseline="0"/>
            <a:t> % of couple/non-couple households with a child under 5</a:t>
          </a:r>
        </a:p>
      </xdr:txBody>
    </xdr:sp>
    <xdr:clientData/>
  </xdr:twoCellAnchor>
  <mc:AlternateContent xmlns:mc="http://schemas.openxmlformats.org/markup-compatibility/2006">
    <mc:Choice xmlns:a14="http://schemas.microsoft.com/office/drawing/2010/main" Requires="a14">
      <xdr:twoCellAnchor editAs="absolute">
        <xdr:from>
          <xdr:col>4</xdr:col>
          <xdr:colOff>914400</xdr:colOff>
          <xdr:row>4</xdr:row>
          <xdr:rowOff>180975</xdr:rowOff>
        </xdr:from>
        <xdr:to>
          <xdr:col>7</xdr:col>
          <xdr:colOff>828675</xdr:colOff>
          <xdr:row>6</xdr:row>
          <xdr:rowOff>66675</xdr:rowOff>
        </xdr:to>
        <xdr:sp macro="" textlink="">
          <xdr:nvSpPr>
            <xdr:cNvPr id="4098" name="Drop Down 2" hidden="1">
              <a:extLst>
                <a:ext uri="{63B3BB69-23CF-44E3-9099-C40C66FF867C}">
                  <a14:compatExt spid="_x0000_s4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914400</xdr:colOff>
          <xdr:row>6</xdr:row>
          <xdr:rowOff>161925</xdr:rowOff>
        </xdr:from>
        <xdr:to>
          <xdr:col>7</xdr:col>
          <xdr:colOff>828675</xdr:colOff>
          <xdr:row>8</xdr:row>
          <xdr:rowOff>47625</xdr:rowOff>
        </xdr:to>
        <xdr:sp macro="" textlink="">
          <xdr:nvSpPr>
            <xdr:cNvPr id="4099" name="Drop Down 3" hidden="1">
              <a:extLst>
                <a:ext uri="{63B3BB69-23CF-44E3-9099-C40C66FF867C}">
                  <a14:compatExt spid="_x0000_s4099"/>
                </a:ext>
              </a:extLst>
            </xdr:cNvPr>
            <xdr:cNvSpPr/>
          </xdr:nvSpPr>
          <xdr:spPr>
            <a:xfrm>
              <a:off x="0" y="0"/>
              <a:ext cx="0" cy="0"/>
            </a:xfrm>
            <a:prstGeom prst="rect">
              <a:avLst/>
            </a:prstGeom>
          </xdr:spPr>
        </xdr:sp>
        <xdr:clientData/>
      </xdr:twoCellAnchor>
    </mc:Choice>
    <mc:Fallback/>
  </mc:AlternateContent>
  <xdr:twoCellAnchor editAs="absolute">
    <xdr:from>
      <xdr:col>8</xdr:col>
      <xdr:colOff>171451</xdr:colOff>
      <xdr:row>4</xdr:row>
      <xdr:rowOff>178594</xdr:rowOff>
    </xdr:from>
    <xdr:to>
      <xdr:col>8</xdr:col>
      <xdr:colOff>719139</xdr:colOff>
      <xdr:row>6</xdr:row>
      <xdr:rowOff>111919</xdr:rowOff>
    </xdr:to>
    <xdr:sp macro="" textlink="">
      <xdr:nvSpPr>
        <xdr:cNvPr id="37" name="Left Arrow 36"/>
        <xdr:cNvSpPr/>
      </xdr:nvSpPr>
      <xdr:spPr>
        <a:xfrm>
          <a:off x="6338889" y="964407"/>
          <a:ext cx="547688" cy="314325"/>
        </a:xfrm>
        <a:prstGeom prst="leftArrow">
          <a:avLst/>
        </a:prstGeom>
        <a:solidFill>
          <a:schemeClr val="accent1">
            <a:lumMod val="40000"/>
            <a:lumOff val="6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twoCellAnchor editAs="absolute">
    <xdr:from>
      <xdr:col>8</xdr:col>
      <xdr:colOff>728663</xdr:colOff>
      <xdr:row>5</xdr:row>
      <xdr:rowOff>16670</xdr:rowOff>
    </xdr:from>
    <xdr:to>
      <xdr:col>13</xdr:col>
      <xdr:colOff>88106</xdr:colOff>
      <xdr:row>6</xdr:row>
      <xdr:rowOff>83344</xdr:rowOff>
    </xdr:to>
    <xdr:sp macro="" textlink="">
      <xdr:nvSpPr>
        <xdr:cNvPr id="38" name="TextBox 37"/>
        <xdr:cNvSpPr txBox="1"/>
      </xdr:nvSpPr>
      <xdr:spPr>
        <a:xfrm>
          <a:off x="6896101" y="992983"/>
          <a:ext cx="38480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Your current</a:t>
          </a:r>
          <a:r>
            <a:rPr lang="en-GB" sz="1100" b="1" baseline="0">
              <a:solidFill>
                <a:schemeClr val="bg1"/>
              </a:solidFill>
            </a:rPr>
            <a:t> selection</a:t>
          </a:r>
          <a:endParaRPr lang="en-GB" sz="1100" b="1">
            <a:solidFill>
              <a:schemeClr val="bg1"/>
            </a:solidFill>
          </a:endParaRPr>
        </a:p>
      </xdr:txBody>
    </xdr:sp>
    <xdr:clientData/>
  </xdr:twoCellAnchor>
  <xdr:twoCellAnchor editAs="absolute">
    <xdr:from>
      <xdr:col>8</xdr:col>
      <xdr:colOff>169070</xdr:colOff>
      <xdr:row>6</xdr:row>
      <xdr:rowOff>116681</xdr:rowOff>
    </xdr:from>
    <xdr:to>
      <xdr:col>8</xdr:col>
      <xdr:colOff>716758</xdr:colOff>
      <xdr:row>8</xdr:row>
      <xdr:rowOff>50006</xdr:rowOff>
    </xdr:to>
    <xdr:sp macro="" textlink="">
      <xdr:nvSpPr>
        <xdr:cNvPr id="39" name="Left Arrow 38"/>
        <xdr:cNvSpPr/>
      </xdr:nvSpPr>
      <xdr:spPr>
        <a:xfrm>
          <a:off x="6336508" y="1283494"/>
          <a:ext cx="547688" cy="314325"/>
        </a:xfrm>
        <a:prstGeom prst="lef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twoCellAnchor editAs="absolute">
    <xdr:from>
      <xdr:col>8</xdr:col>
      <xdr:colOff>726283</xdr:colOff>
      <xdr:row>6</xdr:row>
      <xdr:rowOff>145256</xdr:rowOff>
    </xdr:from>
    <xdr:to>
      <xdr:col>10</xdr:col>
      <xdr:colOff>561977</xdr:colOff>
      <xdr:row>8</xdr:row>
      <xdr:rowOff>21431</xdr:rowOff>
    </xdr:to>
    <xdr:sp macro="" textlink="">
      <xdr:nvSpPr>
        <xdr:cNvPr id="40" name="TextBox 39"/>
        <xdr:cNvSpPr txBox="1"/>
      </xdr:nvSpPr>
      <xdr:spPr>
        <a:xfrm>
          <a:off x="6893721" y="1312069"/>
          <a:ext cx="1871662"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Your current selection</a:t>
          </a:r>
        </a:p>
      </xdr:txBody>
    </xdr:sp>
    <xdr:clientData/>
  </xdr:twoCellAnchor>
  <xdr:twoCellAnchor editAs="absolute">
    <xdr:from>
      <xdr:col>9</xdr:col>
      <xdr:colOff>38099</xdr:colOff>
      <xdr:row>66</xdr:row>
      <xdr:rowOff>295275</xdr:rowOff>
    </xdr:from>
    <xdr:to>
      <xdr:col>13</xdr:col>
      <xdr:colOff>95249</xdr:colOff>
      <xdr:row>78</xdr:row>
      <xdr:rowOff>123825</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10</xdr:col>
      <xdr:colOff>581025</xdr:colOff>
      <xdr:row>1</xdr:row>
      <xdr:rowOff>19050</xdr:rowOff>
    </xdr:from>
    <xdr:to>
      <xdr:col>12</xdr:col>
      <xdr:colOff>342900</xdr:colOff>
      <xdr:row>2</xdr:row>
      <xdr:rowOff>47625</xdr:rowOff>
    </xdr:to>
    <xdr:sp macro="" textlink="">
      <xdr:nvSpPr>
        <xdr:cNvPr id="43" name="Rectangle 42">
          <a:hlinkClick xmlns:r="http://schemas.openxmlformats.org/officeDocument/2006/relationships" r:id="rId10"/>
        </xdr:cNvPr>
        <xdr:cNvSpPr/>
      </xdr:nvSpPr>
      <xdr:spPr>
        <a:xfrm>
          <a:off x="8791575" y="209550"/>
          <a:ext cx="1857375" cy="24765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en-GB" sz="1100"/>
            <a:t>Go</a:t>
          </a:r>
          <a:r>
            <a:rPr lang="en-GB" sz="1100" baseline="0"/>
            <a:t> to the data</a:t>
          </a:r>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834</xdr:row>
      <xdr:rowOff>165294</xdr:rowOff>
    </xdr:from>
    <xdr:to>
      <xdr:col>23</xdr:col>
      <xdr:colOff>1809</xdr:colOff>
      <xdr:row>836</xdr:row>
      <xdr:rowOff>106821</xdr:rowOff>
    </xdr:to>
    <xdr:grpSp>
      <xdr:nvGrpSpPr>
        <xdr:cNvPr id="2" name="Group 1"/>
        <xdr:cNvGrpSpPr/>
      </xdr:nvGrpSpPr>
      <xdr:grpSpPr>
        <a:xfrm>
          <a:off x="95250" y="167014719"/>
          <a:ext cx="10812684" cy="313002"/>
          <a:chOff x="9524" y="6115049"/>
          <a:chExt cx="10963277" cy="314325"/>
        </a:xfrm>
      </xdr:grpSpPr>
      <xdr:sp macro="" textlink="">
        <xdr:nvSpPr>
          <xdr:cNvPr id="3" name="Round Same Side Corner Rectangle 2"/>
          <xdr:cNvSpPr/>
        </xdr:nvSpPr>
        <xdr:spPr>
          <a:xfrm flipV="1">
            <a:off x="9524" y="6124573"/>
            <a:ext cx="10958850" cy="238125"/>
          </a:xfrm>
          <a:prstGeom prst="round2SameRect">
            <a:avLst/>
          </a:prstGeom>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GB" sz="1100"/>
          </a:p>
        </xdr:txBody>
      </xdr:sp>
      <xdr:sp macro="" textlink="$R$1">
        <xdr:nvSpPr>
          <xdr:cNvPr id="4" name="TextBox 3"/>
          <xdr:cNvSpPr txBox="1"/>
        </xdr:nvSpPr>
        <xdr:spPr>
          <a:xfrm>
            <a:off x="7648733" y="6115049"/>
            <a:ext cx="3324068"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3B1BCF6-4FA2-4300-A41F-12861E9D32B9}" type="TxLink">
              <a:rPr lang="en-US" sz="1200" b="0" i="0" u="none" strike="noStrike">
                <a:solidFill>
                  <a:schemeClr val="bg1"/>
                </a:solidFill>
                <a:latin typeface="Calibri"/>
                <a:ea typeface="Verdana"/>
                <a:cs typeface="Calibri"/>
              </a:rPr>
              <a:pPr algn="r"/>
              <a:t>12:39PM Friday 18 December 2015</a:t>
            </a:fld>
            <a:endParaRPr lang="en-GB" sz="1200" b="0">
              <a:solidFill>
                <a:schemeClr val="bg1"/>
              </a:solidFill>
            </a:endParaRPr>
          </a:p>
        </xdr:txBody>
      </xdr:sp>
    </xdr:grpSp>
    <xdr:clientData/>
  </xdr:twoCellAnchor>
  <xdr:twoCellAnchor editAs="oneCell">
    <xdr:from>
      <xdr:col>1</xdr:col>
      <xdr:colOff>0</xdr:colOff>
      <xdr:row>0</xdr:row>
      <xdr:rowOff>123825</xdr:rowOff>
    </xdr:from>
    <xdr:to>
      <xdr:col>22</xdr:col>
      <xdr:colOff>93900</xdr:colOff>
      <xdr:row>4</xdr:row>
      <xdr:rowOff>9525</xdr:rowOff>
    </xdr:to>
    <xdr:grpSp>
      <xdr:nvGrpSpPr>
        <xdr:cNvPr id="5" name="Group 4"/>
        <xdr:cNvGrpSpPr/>
      </xdr:nvGrpSpPr>
      <xdr:grpSpPr>
        <a:xfrm>
          <a:off x="95250" y="123825"/>
          <a:ext cx="10800000" cy="676275"/>
          <a:chOff x="95250" y="123825"/>
          <a:chExt cx="10803225" cy="666750"/>
        </a:xfrm>
      </xdr:grpSpPr>
      <xdr:sp macro="" textlink="">
        <xdr:nvSpPr>
          <xdr:cNvPr id="6" name="Round Same Side Corner Rectangle 5"/>
          <xdr:cNvSpPr/>
        </xdr:nvSpPr>
        <xdr:spPr>
          <a:xfrm>
            <a:off x="95250" y="123825"/>
            <a:ext cx="10800000" cy="666750"/>
          </a:xfrm>
          <a:prstGeom prst="round2SameRect">
            <a:avLst>
              <a:gd name="adj1" fmla="val 50000"/>
              <a:gd name="adj2" fmla="val 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000"/>
          </a:p>
        </xdr:txBody>
      </xdr:sp>
      <xdr:sp macro="" textlink="">
        <xdr:nvSpPr>
          <xdr:cNvPr id="7" name="Snip Single Corner Rectangle 6">
            <a:hlinkClick xmlns:r="http://schemas.openxmlformats.org/officeDocument/2006/relationships" r:id="rId1"/>
          </xdr:cNvPr>
          <xdr:cNvSpPr/>
        </xdr:nvSpPr>
        <xdr:spPr>
          <a:xfrm>
            <a:off x="10477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b="0"/>
              <a:t>Population</a:t>
            </a:r>
          </a:p>
        </xdr:txBody>
      </xdr:sp>
      <xdr:sp macro="" textlink="">
        <xdr:nvSpPr>
          <xdr:cNvPr id="8" name="Snip Single Corner Rectangle 7">
            <a:hlinkClick xmlns:r="http://schemas.openxmlformats.org/officeDocument/2006/relationships" r:id="rId2"/>
          </xdr:cNvPr>
          <xdr:cNvSpPr/>
        </xdr:nvSpPr>
        <xdr:spPr>
          <a:xfrm>
            <a:off x="191071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Family Structure</a:t>
            </a:r>
          </a:p>
        </xdr:txBody>
      </xdr:sp>
      <xdr:sp macro="" textlink="">
        <xdr:nvSpPr>
          <xdr:cNvPr id="9" name="Snip Single Corner Rectangle 8"/>
          <xdr:cNvSpPr/>
        </xdr:nvSpPr>
        <xdr:spPr>
          <a:xfrm>
            <a:off x="3716654" y="514350"/>
            <a:ext cx="1764000" cy="247649"/>
          </a:xfrm>
          <a:prstGeom prst="snip1Rect">
            <a:avLst>
              <a:gd name="adj" fmla="val 50000"/>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b"/>
          <a:lstStyle/>
          <a:p>
            <a:pPr algn="ctr"/>
            <a:r>
              <a:rPr lang="en-GB" sz="1100" b="1"/>
              <a:t>Health Indicators</a:t>
            </a:r>
          </a:p>
        </xdr:txBody>
      </xdr:sp>
      <xdr:sp macro="" textlink="">
        <xdr:nvSpPr>
          <xdr:cNvPr id="10" name="Snip Single Corner Rectangle 9">
            <a:hlinkClick xmlns:r="http://schemas.openxmlformats.org/officeDocument/2006/relationships" r:id="rId3"/>
          </xdr:cNvPr>
          <xdr:cNvSpPr/>
        </xdr:nvSpPr>
        <xdr:spPr>
          <a:xfrm>
            <a:off x="552259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Births and Early Years</a:t>
            </a:r>
          </a:p>
        </xdr:txBody>
      </xdr:sp>
      <xdr:sp macro="" textlink="">
        <xdr:nvSpPr>
          <xdr:cNvPr id="11" name="Snip Single Corner Rectangle 10">
            <a:hlinkClick xmlns:r="http://schemas.openxmlformats.org/officeDocument/2006/relationships" r:id="rId4"/>
          </xdr:cNvPr>
          <xdr:cNvSpPr/>
        </xdr:nvSpPr>
        <xdr:spPr>
          <a:xfrm>
            <a:off x="732853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Deprivation</a:t>
            </a:r>
          </a:p>
        </xdr:txBody>
      </xdr:sp>
      <xdr:sp macro="" textlink="">
        <xdr:nvSpPr>
          <xdr:cNvPr id="12" name="Snip Single Corner Rectangle 11">
            <a:hlinkClick xmlns:r="http://schemas.openxmlformats.org/officeDocument/2006/relationships" r:id="rId5"/>
          </xdr:cNvPr>
          <xdr:cNvSpPr/>
        </xdr:nvSpPr>
        <xdr:spPr>
          <a:xfrm>
            <a:off x="9134475"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EYFS</a:t>
            </a:r>
          </a:p>
        </xdr:txBody>
      </xdr:sp>
      <xdr:cxnSp macro="">
        <xdr:nvCxnSpPr>
          <xdr:cNvPr id="13" name="Straight Connector 12"/>
          <xdr:cNvCxnSpPr/>
        </xdr:nvCxnSpPr>
        <xdr:spPr>
          <a:xfrm>
            <a:off x="95250" y="781050"/>
            <a:ext cx="10800000" cy="1"/>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14" name="TextBox 13"/>
          <xdr:cNvSpPr txBox="1"/>
        </xdr:nvSpPr>
        <xdr:spPr>
          <a:xfrm>
            <a:off x="361950" y="152400"/>
            <a:ext cx="48402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Children's Workforce Public Health Profiles : </a:t>
            </a:r>
            <a:r>
              <a:rPr lang="en-GB" sz="1400" b="0"/>
              <a:t>Health Indicators</a:t>
            </a:r>
          </a:p>
        </xdr:txBody>
      </xdr:sp>
    </xdr:grpSp>
    <xdr:clientData/>
  </xdr:twoCellAnchor>
  <xdr:twoCellAnchor editAs="oneCell">
    <xdr:from>
      <xdr:col>2</xdr:col>
      <xdr:colOff>3717</xdr:colOff>
      <xdr:row>9</xdr:row>
      <xdr:rowOff>38100</xdr:rowOff>
    </xdr:from>
    <xdr:to>
      <xdr:col>21</xdr:col>
      <xdr:colOff>104774</xdr:colOff>
      <xdr:row>10</xdr:row>
      <xdr:rowOff>133350</xdr:rowOff>
    </xdr:to>
    <xdr:sp macro="" textlink="">
      <xdr:nvSpPr>
        <xdr:cNvPr id="17" name="Rectangle 16"/>
        <xdr:cNvSpPr/>
      </xdr:nvSpPr>
      <xdr:spPr>
        <a:xfrm>
          <a:off x="207824" y="1019175"/>
          <a:ext cx="10584000"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Breastfeeding</a:t>
          </a:r>
        </a:p>
      </xdr:txBody>
    </xdr:sp>
    <xdr:clientData/>
  </xdr:twoCellAnchor>
  <xdr:twoCellAnchor editAs="oneCell">
    <xdr:from>
      <xdr:col>2</xdr:col>
      <xdr:colOff>3717</xdr:colOff>
      <xdr:row>30</xdr:row>
      <xdr:rowOff>171450</xdr:rowOff>
    </xdr:from>
    <xdr:to>
      <xdr:col>21</xdr:col>
      <xdr:colOff>104775</xdr:colOff>
      <xdr:row>36</xdr:row>
      <xdr:rowOff>161925</xdr:rowOff>
    </xdr:to>
    <xdr:grpSp>
      <xdr:nvGrpSpPr>
        <xdr:cNvPr id="20" name="Group 19"/>
        <xdr:cNvGrpSpPr/>
      </xdr:nvGrpSpPr>
      <xdr:grpSpPr>
        <a:xfrm>
          <a:off x="213267" y="5915025"/>
          <a:ext cx="10578558" cy="1133475"/>
          <a:chOff x="95249" y="904875"/>
          <a:chExt cx="10751623" cy="1133475"/>
        </a:xfrm>
      </xdr:grpSpPr>
      <xdr:sp macro="" textlink="">
        <xdr:nvSpPr>
          <xdr:cNvPr id="21" name="TextBox 20"/>
          <xdr:cNvSpPr txBox="1"/>
        </xdr:nvSpPr>
        <xdr:spPr>
          <a:xfrm>
            <a:off x="95250" y="1190626"/>
            <a:ext cx="10751622" cy="8477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400" b="1"/>
          </a:p>
          <a:p>
            <a:r>
              <a:rPr lang="en-GB" sz="1100" b="1"/>
              <a:t>Source: </a:t>
            </a:r>
            <a:r>
              <a:rPr lang="en-GB" sz="1100" b="0"/>
              <a:t>Health</a:t>
            </a:r>
            <a:r>
              <a:rPr lang="en-GB" sz="1100" b="0" baseline="0"/>
              <a:t> Visiting Service</a:t>
            </a:r>
            <a:endParaRPr lang="en-GB" sz="1100" b="1"/>
          </a:p>
          <a:p>
            <a:endParaRPr lang="en-GB" sz="400" b="1"/>
          </a:p>
          <a:p>
            <a:r>
              <a:rPr lang="en-GB" sz="1100" b="1" baseline="0"/>
              <a:t>Statistical Issues: </a:t>
            </a:r>
            <a:r>
              <a:rPr lang="en-GB" sz="1100" b="0" baseline="0"/>
              <a:t> These data are based on information provided by Health Visitors for the period of April 2012 to March 2013, and for April 2014 to March 2015.</a:t>
            </a:r>
          </a:p>
          <a:p>
            <a:r>
              <a:rPr lang="en-GB" sz="1100" b="1" baseline="0"/>
              <a:t>This is not the same as the national breastfeeding target data which are published quarterly.</a:t>
            </a:r>
            <a:endParaRPr lang="en-GB" sz="1100" b="1"/>
          </a:p>
        </xdr:txBody>
      </xdr:sp>
      <xdr:sp macro="" textlink="">
        <xdr:nvSpPr>
          <xdr:cNvPr id="22" name="Rectangle 21"/>
          <xdr:cNvSpPr/>
        </xdr:nvSpPr>
        <xdr:spPr>
          <a:xfrm>
            <a:off x="95249" y="904875"/>
            <a:ext cx="10751622"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Breastfeeding at CFC level</a:t>
            </a:r>
          </a:p>
        </xdr:txBody>
      </xdr:sp>
    </xdr:grpSp>
    <xdr:clientData/>
  </xdr:twoCellAnchor>
  <xdr:twoCellAnchor editAs="oneCell">
    <xdr:from>
      <xdr:col>2</xdr:col>
      <xdr:colOff>0</xdr:colOff>
      <xdr:row>78</xdr:row>
      <xdr:rowOff>180975</xdr:rowOff>
    </xdr:from>
    <xdr:to>
      <xdr:col>21</xdr:col>
      <xdr:colOff>106500</xdr:colOff>
      <xdr:row>80</xdr:row>
      <xdr:rowOff>85725</xdr:rowOff>
    </xdr:to>
    <xdr:sp macro="" textlink="">
      <xdr:nvSpPr>
        <xdr:cNvPr id="25" name="Rectangle 24"/>
        <xdr:cNvSpPr/>
      </xdr:nvSpPr>
      <xdr:spPr>
        <a:xfrm>
          <a:off x="209550" y="10487025"/>
          <a:ext cx="10584000"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Breastfeeding (CCG data from Department</a:t>
          </a:r>
          <a:r>
            <a:rPr lang="en-GB" sz="1100" b="1" baseline="0"/>
            <a:t> of Health): QUARTERLY DATA</a:t>
          </a:r>
        </a:p>
        <a:p>
          <a:pPr algn="l"/>
          <a:endParaRPr lang="en-GB" sz="1100" b="1"/>
        </a:p>
      </xdr:txBody>
    </xdr:sp>
    <xdr:clientData/>
  </xdr:twoCellAnchor>
  <xdr:twoCellAnchor editAs="oneCell">
    <xdr:from>
      <xdr:col>2</xdr:col>
      <xdr:colOff>457200</xdr:colOff>
      <xdr:row>12</xdr:row>
      <xdr:rowOff>0</xdr:rowOff>
    </xdr:from>
    <xdr:to>
      <xdr:col>20</xdr:col>
      <xdr:colOff>312056</xdr:colOff>
      <xdr:row>28</xdr:row>
      <xdr:rowOff>190499</xdr:rowOff>
    </xdr:to>
    <xdr:sp macro="" textlink="">
      <xdr:nvSpPr>
        <xdr:cNvPr id="26" name="Rectangle 25">
          <a:hlinkClick xmlns:r="http://schemas.openxmlformats.org/officeDocument/2006/relationships" r:id="rId6"/>
        </xdr:cNvPr>
        <xdr:cNvSpPr/>
      </xdr:nvSpPr>
      <xdr:spPr>
        <a:xfrm>
          <a:off x="666750" y="2314575"/>
          <a:ext cx="9617981" cy="3238499"/>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r>
            <a:rPr lang="en-GB" sz="1200" b="1">
              <a:solidFill>
                <a:schemeClr val="dk1"/>
              </a:solidFill>
              <a:effectLst/>
              <a:latin typeface="+mn-lt"/>
              <a:ea typeface="+mn-ea"/>
              <a:cs typeface="+mn-cs"/>
            </a:rPr>
            <a:t>Why is breastfeeding important?</a:t>
          </a:r>
        </a:p>
        <a:p>
          <a:endParaRPr lang="en-GB" sz="800">
            <a:effectLst/>
          </a:endParaRPr>
        </a:p>
        <a:p>
          <a:r>
            <a:rPr lang="en-GB" sz="1100">
              <a:solidFill>
                <a:schemeClr val="dk1"/>
              </a:solidFill>
              <a:effectLst/>
              <a:latin typeface="+mn-lt"/>
              <a:ea typeface="+mn-ea"/>
              <a:cs typeface="+mn-cs"/>
            </a:rPr>
            <a:t>The evidence is well-established, for both the benefits to mother and baby of breastfeeding, and the significant risks of not breastfeeding. </a:t>
          </a:r>
        </a:p>
        <a:p>
          <a:r>
            <a:rPr lang="en-GB" sz="1100">
              <a:solidFill>
                <a:schemeClr val="dk1"/>
              </a:solidFill>
              <a:effectLst/>
              <a:latin typeface="+mn-lt"/>
              <a:ea typeface="+mn-ea"/>
              <a:cs typeface="+mn-cs"/>
            </a:rPr>
            <a:t>Breastfeeding has some of the most wide-reaching and long lasting effects on a baby's health and development. Breastfed babies are at a </a:t>
          </a:r>
        </a:p>
        <a:p>
          <a:r>
            <a:rPr lang="en-GB" sz="1100">
              <a:solidFill>
                <a:schemeClr val="dk1"/>
              </a:solidFill>
              <a:effectLst/>
              <a:latin typeface="+mn-lt"/>
              <a:ea typeface="+mn-ea"/>
              <a:cs typeface="+mn-cs"/>
            </a:rPr>
            <a:t>lower risk of gastroenteritis, respiratory infections, Sudden Infant Death Syndrome, obesity, diabetes and allergies.  See the </a:t>
          </a:r>
          <a:r>
            <a:rPr lang="en-GB" sz="1100" b="0" u="sng">
              <a:solidFill>
                <a:srgbClr val="191EE1"/>
              </a:solidFill>
              <a:effectLst/>
              <a:latin typeface="+mn-lt"/>
              <a:ea typeface="+mn-ea"/>
              <a:cs typeface="+mn-cs"/>
            </a:rPr>
            <a:t>UNICEF</a:t>
          </a:r>
          <a:r>
            <a:rPr lang="en-GB" sz="1100" b="0" u="sng" baseline="0">
              <a:solidFill>
                <a:srgbClr val="191EE1"/>
              </a:solidFill>
              <a:effectLst/>
              <a:latin typeface="+mn-lt"/>
              <a:ea typeface="+mn-ea"/>
              <a:cs typeface="+mn-cs"/>
            </a:rPr>
            <a:t> Baby </a:t>
          </a:r>
        </a:p>
        <a:p>
          <a:r>
            <a:rPr lang="en-GB" sz="1100" b="0" u="sng" baseline="0">
              <a:solidFill>
                <a:srgbClr val="191EE1"/>
              </a:solidFill>
              <a:effectLst/>
              <a:latin typeface="+mn-lt"/>
              <a:ea typeface="+mn-ea"/>
              <a:cs typeface="+mn-cs"/>
            </a:rPr>
            <a:t>Friendly Initiative </a:t>
          </a:r>
          <a:r>
            <a:rPr lang="en-GB" sz="1100" baseline="0">
              <a:solidFill>
                <a:schemeClr val="dk1"/>
              </a:solidFill>
              <a:effectLst/>
              <a:latin typeface="+mn-lt"/>
              <a:ea typeface="+mn-ea"/>
              <a:cs typeface="+mn-cs"/>
            </a:rPr>
            <a:t>for further information.</a:t>
          </a:r>
          <a:endParaRPr lang="en-GB" sz="1100">
            <a:solidFill>
              <a:schemeClr val="dk1"/>
            </a:solidFill>
            <a:effectLst/>
            <a:latin typeface="+mn-lt"/>
            <a:ea typeface="+mn-ea"/>
            <a:cs typeface="+mn-cs"/>
          </a:endParaRPr>
        </a:p>
        <a:p>
          <a:endParaRPr lang="en-GB" sz="800" b="1">
            <a:solidFill>
              <a:schemeClr val="dk1"/>
            </a:solidFill>
            <a:effectLst/>
            <a:latin typeface="+mn-lt"/>
            <a:ea typeface="+mn-ea"/>
            <a:cs typeface="+mn-cs"/>
          </a:endParaRPr>
        </a:p>
        <a:p>
          <a:r>
            <a:rPr lang="en-GB" sz="1200" b="1">
              <a:solidFill>
                <a:schemeClr val="dk1"/>
              </a:solidFill>
              <a:effectLst/>
              <a:latin typeface="+mn-lt"/>
              <a:ea typeface="+mn-ea"/>
              <a:cs typeface="+mn-cs"/>
            </a:rPr>
            <a:t>Rational</a:t>
          </a:r>
          <a:r>
            <a:rPr lang="en-GB" sz="1200" b="1" baseline="0">
              <a:solidFill>
                <a:schemeClr val="dk1"/>
              </a:solidFill>
              <a:effectLst/>
              <a:latin typeface="+mn-lt"/>
              <a:ea typeface="+mn-ea"/>
              <a:cs typeface="+mn-cs"/>
            </a:rPr>
            <a:t>e for the Indicator:</a:t>
          </a:r>
        </a:p>
        <a:p>
          <a:endParaRPr lang="en-GB" sz="800">
            <a:effectLst/>
          </a:endParaRPr>
        </a:p>
        <a:p>
          <a:r>
            <a:rPr lang="en-GB" sz="1100" b="0">
              <a:solidFill>
                <a:schemeClr val="dk1"/>
              </a:solidFill>
              <a:effectLst/>
              <a:latin typeface="+mn-lt"/>
              <a:ea typeface="+mn-ea"/>
              <a:cs typeface="+mn-cs"/>
            </a:rPr>
            <a:t>The Government recommends exclusive breastfeeding for around 6 months, and then continuing to breastfeed for at least a year or more alongside giving solid foods.  The indicator shows the prevalence of babies being exclusively or partially breastfed at between six and eight weeks old.</a:t>
          </a:r>
        </a:p>
        <a:p>
          <a:endParaRPr lang="en-GB" sz="800" b="0">
            <a:solidFill>
              <a:schemeClr val="dk1"/>
            </a:solidFill>
            <a:effectLst/>
            <a:latin typeface="+mn-lt"/>
            <a:ea typeface="+mn-ea"/>
            <a:cs typeface="+mn-cs"/>
          </a:endParaRPr>
        </a:p>
        <a:p>
          <a:r>
            <a:rPr lang="en-GB" sz="1200" b="1">
              <a:solidFill>
                <a:schemeClr val="dk1"/>
              </a:solidFill>
              <a:effectLst/>
              <a:latin typeface="+mn-lt"/>
              <a:ea typeface="+mn-ea"/>
              <a:cs typeface="+mn-cs"/>
            </a:rPr>
            <a:t>What helps?</a:t>
          </a:r>
        </a:p>
        <a:p>
          <a:endParaRPr lang="en-GB" sz="800">
            <a:effectLst/>
          </a:endParaRPr>
        </a:p>
        <a:p>
          <a:r>
            <a:rPr lang="en-GB" sz="1100">
              <a:solidFill>
                <a:schemeClr val="dk1"/>
              </a:solidFill>
              <a:effectLst/>
              <a:latin typeface="+mn-lt"/>
              <a:ea typeface="+mn-ea"/>
              <a:cs typeface="+mn-cs"/>
            </a:rPr>
            <a:t>Sussex Community NHS Trust Health Visiting service is working towards UNICEF Baby Friendly accreditation.  This is a national kite-mark scheme; with a set of standards for organisations to meet that ensure they provide good support for breastfeeding and appropriate introduction of solids, through training all staff and ensuring a breastfeeding friendly environment.  This will help to make sure families are provided with consistent information about breastfeeding and healthy eating. </a:t>
          </a:r>
        </a:p>
      </xdr:txBody>
    </xdr:sp>
    <xdr:clientData/>
  </xdr:twoCellAnchor>
  <xdr:twoCellAnchor editAs="oneCell">
    <xdr:from>
      <xdr:col>19</xdr:col>
      <xdr:colOff>47625</xdr:colOff>
      <xdr:row>30</xdr:row>
      <xdr:rowOff>171450</xdr:rowOff>
    </xdr:from>
    <xdr:to>
      <xdr:col>22</xdr:col>
      <xdr:colOff>4250</xdr:colOff>
      <xdr:row>32</xdr:row>
      <xdr:rowOff>83049</xdr:rowOff>
    </xdr:to>
    <xdr:sp macro="" textlink="">
      <xdr:nvSpPr>
        <xdr:cNvPr id="29" name="TextBox 28">
          <a:hlinkClick xmlns:r="http://schemas.openxmlformats.org/officeDocument/2006/relationships" r:id="rId7"/>
        </xdr:cNvPr>
        <xdr:cNvSpPr txBox="1"/>
      </xdr:nvSpPr>
      <xdr:spPr>
        <a:xfrm>
          <a:off x="9477375" y="4581525"/>
          <a:ext cx="1322783"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clientData/>
  </xdr:twoCellAnchor>
  <xdr:twoCellAnchor editAs="oneCell">
    <xdr:from>
      <xdr:col>19</xdr:col>
      <xdr:colOff>57150</xdr:colOff>
      <xdr:row>78</xdr:row>
      <xdr:rowOff>180975</xdr:rowOff>
    </xdr:from>
    <xdr:to>
      <xdr:col>22</xdr:col>
      <xdr:colOff>8333</xdr:colOff>
      <xdr:row>80</xdr:row>
      <xdr:rowOff>92574</xdr:rowOff>
    </xdr:to>
    <xdr:sp macro="" textlink="">
      <xdr:nvSpPr>
        <xdr:cNvPr id="30" name="TextBox 29">
          <a:hlinkClick xmlns:r="http://schemas.openxmlformats.org/officeDocument/2006/relationships" r:id="rId7"/>
        </xdr:cNvPr>
        <xdr:cNvSpPr txBox="1"/>
      </xdr:nvSpPr>
      <xdr:spPr>
        <a:xfrm>
          <a:off x="9486900" y="10487025"/>
          <a:ext cx="1322783"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clientData/>
  </xdr:twoCellAnchor>
  <xdr:twoCellAnchor editAs="oneCell">
    <xdr:from>
      <xdr:col>2</xdr:col>
      <xdr:colOff>5439</xdr:colOff>
      <xdr:row>102</xdr:row>
      <xdr:rowOff>147109</xdr:rowOff>
    </xdr:from>
    <xdr:to>
      <xdr:col>21</xdr:col>
      <xdr:colOff>104379</xdr:colOff>
      <xdr:row>104</xdr:row>
      <xdr:rowOff>65323</xdr:rowOff>
    </xdr:to>
    <xdr:grpSp>
      <xdr:nvGrpSpPr>
        <xdr:cNvPr id="15" name="Group 14"/>
        <xdr:cNvGrpSpPr/>
      </xdr:nvGrpSpPr>
      <xdr:grpSpPr>
        <a:xfrm>
          <a:off x="214989" y="20816359"/>
          <a:ext cx="10576440" cy="299214"/>
          <a:chOff x="219752" y="16256265"/>
          <a:chExt cx="10659783" cy="299214"/>
        </a:xfrm>
      </xdr:grpSpPr>
      <xdr:sp macro="" textlink="">
        <xdr:nvSpPr>
          <xdr:cNvPr id="24" name="Rectangle 23"/>
          <xdr:cNvSpPr/>
        </xdr:nvSpPr>
        <xdr:spPr>
          <a:xfrm>
            <a:off x="219752" y="16256265"/>
            <a:ext cx="10659783"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Childhood</a:t>
            </a:r>
            <a:r>
              <a:rPr lang="en-GB" sz="1100" b="1" baseline="0"/>
              <a:t> Obesity</a:t>
            </a:r>
          </a:p>
          <a:p>
            <a:pPr algn="l"/>
            <a:endParaRPr lang="en-GB" sz="1100" b="1"/>
          </a:p>
        </xdr:txBody>
      </xdr:sp>
      <xdr:sp macro="" textlink="">
        <xdr:nvSpPr>
          <xdr:cNvPr id="27" name="TextBox 26">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498474</xdr:colOff>
      <xdr:row>105</xdr:row>
      <xdr:rowOff>32810</xdr:rowOff>
    </xdr:from>
    <xdr:to>
      <xdr:col>20</xdr:col>
      <xdr:colOff>353330</xdr:colOff>
      <xdr:row>122</xdr:row>
      <xdr:rowOff>0</xdr:rowOff>
    </xdr:to>
    <xdr:sp macro="" textlink="">
      <xdr:nvSpPr>
        <xdr:cNvPr id="28" name="Rectangle 27"/>
        <xdr:cNvSpPr/>
      </xdr:nvSpPr>
      <xdr:spPr>
        <a:xfrm>
          <a:off x="708024" y="18987560"/>
          <a:ext cx="9617981" cy="311044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r>
            <a:rPr lang="en-GB" sz="1200" b="1">
              <a:solidFill>
                <a:schemeClr val="dk1"/>
              </a:solidFill>
              <a:effectLst/>
              <a:latin typeface="+mn-lt"/>
              <a:ea typeface="+mn-ea"/>
              <a:cs typeface="+mn-cs"/>
            </a:rPr>
            <a:t>Why is childhood obesity</a:t>
          </a:r>
          <a:r>
            <a:rPr lang="en-GB" sz="1200" b="1" baseline="0">
              <a:solidFill>
                <a:schemeClr val="dk1"/>
              </a:solidFill>
              <a:effectLst/>
              <a:latin typeface="+mn-lt"/>
              <a:ea typeface="+mn-ea"/>
              <a:cs typeface="+mn-cs"/>
            </a:rPr>
            <a:t> </a:t>
          </a:r>
          <a:r>
            <a:rPr lang="en-GB" sz="1200" b="1">
              <a:solidFill>
                <a:schemeClr val="dk1"/>
              </a:solidFill>
              <a:effectLst/>
              <a:latin typeface="+mn-lt"/>
              <a:ea typeface="+mn-ea"/>
              <a:cs typeface="+mn-cs"/>
            </a:rPr>
            <a:t>important?</a:t>
          </a:r>
        </a:p>
        <a:p>
          <a:endParaRPr lang="en-GB" sz="800">
            <a:effectLst/>
          </a:endParaRPr>
        </a:p>
        <a:p>
          <a:r>
            <a:rPr lang="en-GB" sz="1100">
              <a:solidFill>
                <a:schemeClr val="dk1"/>
              </a:solidFill>
              <a:effectLst/>
              <a:latin typeface="+mn-lt"/>
              <a:ea typeface="+mn-ea"/>
              <a:cs typeface="+mn-cs"/>
            </a:rPr>
            <a:t>Overweight and obese children are more likely to become obese adults and have a higher risk of mortality, disability and morbidity in </a:t>
          </a:r>
        </a:p>
        <a:p>
          <a:r>
            <a:rPr lang="en-GB" sz="1100">
              <a:solidFill>
                <a:schemeClr val="dk1"/>
              </a:solidFill>
              <a:effectLst/>
              <a:latin typeface="+mn-lt"/>
              <a:ea typeface="+mn-ea"/>
              <a:cs typeface="+mn-cs"/>
            </a:rPr>
            <a:t>adulthood. Metabolic changes such as raised blood pressure and cholesterol may be seen in obese children and teenagers. Childhood </a:t>
          </a:r>
        </a:p>
        <a:p>
          <a:r>
            <a:rPr lang="en-GB" sz="1100">
              <a:solidFill>
                <a:schemeClr val="dk1"/>
              </a:solidFill>
              <a:effectLst/>
              <a:latin typeface="+mn-lt"/>
              <a:ea typeface="+mn-ea"/>
              <a:cs typeface="+mn-cs"/>
            </a:rPr>
            <a:t>obesity is linked to psychological problems such as low self-esteem, anxiety and depression which are often seen by children themselves</a:t>
          </a:r>
        </a:p>
        <a:p>
          <a:r>
            <a:rPr lang="en-GB" sz="1100">
              <a:solidFill>
                <a:schemeClr val="dk1"/>
              </a:solidFill>
              <a:effectLst/>
              <a:latin typeface="+mn-lt"/>
              <a:ea typeface="+mn-ea"/>
              <a:cs typeface="+mn-cs"/>
            </a:rPr>
            <a:t> as the most serious effects.</a:t>
          </a:r>
        </a:p>
        <a:p>
          <a:endParaRPr lang="en-GB" sz="800" b="0">
            <a:solidFill>
              <a:schemeClr val="dk1"/>
            </a:solidFill>
            <a:effectLst/>
            <a:latin typeface="+mn-lt"/>
            <a:ea typeface="+mn-ea"/>
            <a:cs typeface="+mn-cs"/>
          </a:endParaRPr>
        </a:p>
        <a:p>
          <a:r>
            <a:rPr lang="en-GB" sz="1200" b="1">
              <a:solidFill>
                <a:schemeClr val="dk1"/>
              </a:solidFill>
              <a:effectLst/>
              <a:latin typeface="+mn-lt"/>
              <a:ea typeface="+mn-ea"/>
              <a:cs typeface="+mn-cs"/>
            </a:rPr>
            <a:t>Rational</a:t>
          </a:r>
          <a:r>
            <a:rPr lang="en-GB" sz="1200" b="1" baseline="0">
              <a:solidFill>
                <a:schemeClr val="dk1"/>
              </a:solidFill>
              <a:effectLst/>
              <a:latin typeface="+mn-lt"/>
              <a:ea typeface="+mn-ea"/>
              <a:cs typeface="+mn-cs"/>
            </a:rPr>
            <a:t>e for the Indicator:</a:t>
          </a:r>
        </a:p>
        <a:p>
          <a:endParaRPr lang="en-GB" sz="800">
            <a:effectLst/>
          </a:endParaRPr>
        </a:p>
        <a:p>
          <a:r>
            <a:rPr lang="en-GB" sz="1100" b="0">
              <a:solidFill>
                <a:schemeClr val="dk1"/>
              </a:solidFill>
              <a:effectLst/>
              <a:latin typeface="+mn-lt"/>
              <a:ea typeface="+mn-ea"/>
              <a:cs typeface="+mn-cs"/>
            </a:rPr>
            <a:t>Levels of obesity among reception year and year 6 pupils are rising nationally. This indicator helps Children and Family Centres to monitor local trends and provide appropriate support for families.</a:t>
          </a:r>
        </a:p>
        <a:p>
          <a:endParaRPr lang="en-GB" sz="800" b="0">
            <a:solidFill>
              <a:schemeClr val="dk1"/>
            </a:solidFill>
            <a:effectLst/>
            <a:latin typeface="+mn-lt"/>
            <a:ea typeface="+mn-ea"/>
            <a:cs typeface="+mn-cs"/>
          </a:endParaRPr>
        </a:p>
        <a:p>
          <a:r>
            <a:rPr lang="en-GB" sz="1200" b="1">
              <a:solidFill>
                <a:schemeClr val="dk1"/>
              </a:solidFill>
              <a:effectLst/>
              <a:latin typeface="+mn-lt"/>
              <a:ea typeface="+mn-ea"/>
              <a:cs typeface="+mn-cs"/>
            </a:rPr>
            <a:t>What helps?</a:t>
          </a:r>
        </a:p>
        <a:p>
          <a:endParaRPr lang="en-GB" sz="800">
            <a:effectLst/>
          </a:endParaRPr>
        </a:p>
        <a:p>
          <a:r>
            <a:rPr lang="en-GB" sz="1100">
              <a:solidFill>
                <a:schemeClr val="dk1"/>
              </a:solidFill>
              <a:effectLst/>
              <a:latin typeface="+mn-lt"/>
              <a:ea typeface="+mn-ea"/>
              <a:cs typeface="+mn-cs"/>
            </a:rPr>
            <a:t>The Children’s Workforce can help to reduce obesity by promoting healthy eating and lifestyles, supporting families to modify dietary intake where appropriate, encouraging active play and promoting non-sedentary family activities. Early identification of those at risk of becoming overweight and obese is key with early intervention and appropriate referral to healthy eating programmes </a:t>
          </a:r>
          <a:endParaRPr lang="en-GB" sz="800">
            <a:effectLst/>
          </a:endParaRPr>
        </a:p>
      </xdr:txBody>
    </xdr:sp>
    <xdr:clientData/>
  </xdr:twoCellAnchor>
  <xdr:twoCellAnchor editAs="oneCell">
    <xdr:from>
      <xdr:col>2</xdr:col>
      <xdr:colOff>3058</xdr:colOff>
      <xdr:row>128</xdr:row>
      <xdr:rowOff>132821</xdr:rowOff>
    </xdr:from>
    <xdr:to>
      <xdr:col>21</xdr:col>
      <xdr:colOff>101998</xdr:colOff>
      <xdr:row>130</xdr:row>
      <xdr:rowOff>51035</xdr:rowOff>
    </xdr:to>
    <xdr:grpSp>
      <xdr:nvGrpSpPr>
        <xdr:cNvPr id="31" name="Group 30"/>
        <xdr:cNvGrpSpPr/>
      </xdr:nvGrpSpPr>
      <xdr:grpSpPr>
        <a:xfrm>
          <a:off x="212608" y="26469446"/>
          <a:ext cx="10576440" cy="299214"/>
          <a:chOff x="219752" y="16256265"/>
          <a:chExt cx="10659783" cy="299214"/>
        </a:xfrm>
      </xdr:grpSpPr>
      <xdr:sp macro="" textlink="">
        <xdr:nvSpPr>
          <xdr:cNvPr id="32" name="Rectangle 31"/>
          <xdr:cNvSpPr/>
        </xdr:nvSpPr>
        <xdr:spPr>
          <a:xfrm>
            <a:off x="219752" y="16256265"/>
            <a:ext cx="10659783"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Reception</a:t>
            </a:r>
            <a:endParaRPr lang="en-GB" sz="1100" b="1" baseline="0"/>
          </a:p>
          <a:p>
            <a:pPr algn="l"/>
            <a:endParaRPr lang="en-GB" sz="1100" b="1"/>
          </a:p>
        </xdr:txBody>
      </xdr:sp>
      <xdr:sp macro="" textlink="">
        <xdr:nvSpPr>
          <xdr:cNvPr id="33" name="TextBox 32">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2116</xdr:colOff>
      <xdr:row>182</xdr:row>
      <xdr:rowOff>0</xdr:rowOff>
    </xdr:from>
    <xdr:to>
      <xdr:col>22</xdr:col>
      <xdr:colOff>6999</xdr:colOff>
      <xdr:row>183</xdr:row>
      <xdr:rowOff>120620</xdr:rowOff>
    </xdr:to>
    <xdr:grpSp>
      <xdr:nvGrpSpPr>
        <xdr:cNvPr id="34" name="Group 33"/>
        <xdr:cNvGrpSpPr/>
      </xdr:nvGrpSpPr>
      <xdr:grpSpPr>
        <a:xfrm>
          <a:off x="211666" y="36604575"/>
          <a:ext cx="10596683" cy="301595"/>
          <a:chOff x="219752" y="16256265"/>
          <a:chExt cx="10659783" cy="299214"/>
        </a:xfrm>
      </xdr:grpSpPr>
      <xdr:sp macro="" textlink="">
        <xdr:nvSpPr>
          <xdr:cNvPr id="35" name="Rectangle 34"/>
          <xdr:cNvSpPr/>
        </xdr:nvSpPr>
        <xdr:spPr>
          <a:xfrm>
            <a:off x="219752" y="16256265"/>
            <a:ext cx="10659783"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Year 6</a:t>
            </a:r>
            <a:endParaRPr lang="en-GB" sz="1100" b="1" baseline="0"/>
          </a:p>
          <a:p>
            <a:pPr algn="l"/>
            <a:endParaRPr lang="en-GB" sz="1100" b="1"/>
          </a:p>
        </xdr:txBody>
      </xdr:sp>
      <xdr:sp macro="" textlink="">
        <xdr:nvSpPr>
          <xdr:cNvPr id="36" name="TextBox 35">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2116</xdr:colOff>
      <xdr:row>236</xdr:row>
      <xdr:rowOff>0</xdr:rowOff>
    </xdr:from>
    <xdr:to>
      <xdr:col>22</xdr:col>
      <xdr:colOff>6999</xdr:colOff>
      <xdr:row>237</xdr:row>
      <xdr:rowOff>120620</xdr:rowOff>
    </xdr:to>
    <xdr:grpSp>
      <xdr:nvGrpSpPr>
        <xdr:cNvPr id="37" name="Group 36"/>
        <xdr:cNvGrpSpPr/>
      </xdr:nvGrpSpPr>
      <xdr:grpSpPr>
        <a:xfrm>
          <a:off x="211666" y="46824900"/>
          <a:ext cx="10596683" cy="301595"/>
          <a:chOff x="219752" y="16256265"/>
          <a:chExt cx="10659783" cy="299214"/>
        </a:xfrm>
      </xdr:grpSpPr>
      <xdr:sp macro="" textlink="">
        <xdr:nvSpPr>
          <xdr:cNvPr id="38" name="Rectangle 37"/>
          <xdr:cNvSpPr/>
        </xdr:nvSpPr>
        <xdr:spPr>
          <a:xfrm>
            <a:off x="219752" y="16256265"/>
            <a:ext cx="10659783"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Reception</a:t>
            </a:r>
            <a:r>
              <a:rPr lang="en-GB" sz="1100" b="1" baseline="0"/>
              <a:t> and </a:t>
            </a:r>
            <a:r>
              <a:rPr lang="en-GB" sz="1100" b="1"/>
              <a:t>Year 6</a:t>
            </a:r>
            <a:endParaRPr lang="en-GB" sz="1100" b="1" baseline="0"/>
          </a:p>
          <a:p>
            <a:pPr algn="l"/>
            <a:endParaRPr lang="en-GB" sz="1100" b="1"/>
          </a:p>
        </xdr:txBody>
      </xdr:sp>
      <xdr:sp macro="" textlink="">
        <xdr:nvSpPr>
          <xdr:cNvPr id="39" name="TextBox 38">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1058</xdr:colOff>
      <xdr:row>274</xdr:row>
      <xdr:rowOff>176213</xdr:rowOff>
    </xdr:from>
    <xdr:to>
      <xdr:col>22</xdr:col>
      <xdr:colOff>5941</xdr:colOff>
      <xdr:row>276</xdr:row>
      <xdr:rowOff>118239</xdr:rowOff>
    </xdr:to>
    <xdr:grpSp>
      <xdr:nvGrpSpPr>
        <xdr:cNvPr id="40" name="Group 39"/>
        <xdr:cNvGrpSpPr/>
      </xdr:nvGrpSpPr>
      <xdr:grpSpPr>
        <a:xfrm>
          <a:off x="210608" y="54154388"/>
          <a:ext cx="10596683" cy="303976"/>
          <a:chOff x="219752" y="16256265"/>
          <a:chExt cx="10659783" cy="299214"/>
        </a:xfrm>
      </xdr:grpSpPr>
      <xdr:sp macro="" textlink="">
        <xdr:nvSpPr>
          <xdr:cNvPr id="41" name="Rectangle 40"/>
          <xdr:cNvSpPr/>
        </xdr:nvSpPr>
        <xdr:spPr>
          <a:xfrm>
            <a:off x="219752" y="16256265"/>
            <a:ext cx="10659783"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Improving</a:t>
            </a:r>
            <a:r>
              <a:rPr lang="en-GB" sz="1100" b="1" baseline="0"/>
              <a:t> the Oral Health of Children</a:t>
            </a:r>
          </a:p>
          <a:p>
            <a:pPr algn="l"/>
            <a:endParaRPr lang="en-GB" sz="1100" b="1"/>
          </a:p>
        </xdr:txBody>
      </xdr:sp>
      <xdr:sp macro="" textlink="">
        <xdr:nvSpPr>
          <xdr:cNvPr id="42" name="TextBox 41">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3</xdr:col>
      <xdr:colOff>0</xdr:colOff>
      <xdr:row>278</xdr:row>
      <xdr:rowOff>59531</xdr:rowOff>
    </xdr:from>
    <xdr:to>
      <xdr:col>20</xdr:col>
      <xdr:colOff>390637</xdr:colOff>
      <xdr:row>290</xdr:row>
      <xdr:rowOff>47626</xdr:rowOff>
    </xdr:to>
    <xdr:sp macro="" textlink="">
      <xdr:nvSpPr>
        <xdr:cNvPr id="43" name="Rectangle 42"/>
        <xdr:cNvSpPr/>
      </xdr:nvSpPr>
      <xdr:spPr>
        <a:xfrm>
          <a:off x="740833" y="43641698"/>
          <a:ext cx="9566387" cy="214709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r>
            <a:rPr lang="en-GB" sz="1200" b="1">
              <a:solidFill>
                <a:schemeClr val="dk1"/>
              </a:solidFill>
              <a:effectLst/>
              <a:latin typeface="+mn-lt"/>
              <a:ea typeface="+mn-ea"/>
              <a:cs typeface="+mn-cs"/>
            </a:rPr>
            <a:t>Why is oral health</a:t>
          </a:r>
          <a:r>
            <a:rPr lang="en-GB" sz="1200" b="1" baseline="0">
              <a:solidFill>
                <a:schemeClr val="dk1"/>
              </a:solidFill>
              <a:effectLst/>
              <a:latin typeface="+mn-lt"/>
              <a:ea typeface="+mn-ea"/>
              <a:cs typeface="+mn-cs"/>
            </a:rPr>
            <a:t> </a:t>
          </a:r>
          <a:r>
            <a:rPr lang="en-GB" sz="1200" b="1">
              <a:solidFill>
                <a:schemeClr val="dk1"/>
              </a:solidFill>
              <a:effectLst/>
              <a:latin typeface="+mn-lt"/>
              <a:ea typeface="+mn-ea"/>
              <a:cs typeface="+mn-cs"/>
            </a:rPr>
            <a:t>important?</a:t>
          </a:r>
        </a:p>
        <a:p>
          <a:endParaRPr lang="en-GB" sz="800">
            <a:effectLst/>
          </a:endParaRPr>
        </a:p>
        <a:p>
          <a:r>
            <a:rPr lang="en-GB" sz="1100">
              <a:solidFill>
                <a:schemeClr val="dk1"/>
              </a:solidFill>
              <a:effectLst/>
              <a:latin typeface="+mn-lt"/>
              <a:ea typeface="+mn-ea"/>
              <a:cs typeface="+mn-cs"/>
            </a:rPr>
            <a:t>Poor oral health in children is caused by poor diet, poor oral hygiene and lack of exposure to fluoride.  Children from socially disadvantaged groups experience disproportionately high levels of oral health problems.	</a:t>
          </a:r>
        </a:p>
        <a:p>
          <a:endParaRPr lang="en-GB" sz="800" b="0">
            <a:solidFill>
              <a:schemeClr val="dk1"/>
            </a:solidFill>
            <a:effectLst/>
            <a:latin typeface="+mn-lt"/>
            <a:ea typeface="+mn-ea"/>
            <a:cs typeface="+mn-cs"/>
          </a:endParaRPr>
        </a:p>
        <a:p>
          <a:r>
            <a:rPr lang="en-GB" sz="1200" b="1" baseline="0">
              <a:solidFill>
                <a:schemeClr val="dk1"/>
              </a:solidFill>
              <a:effectLst/>
              <a:latin typeface="+mn-lt"/>
              <a:ea typeface="+mn-ea"/>
              <a:cs typeface="+mn-cs"/>
            </a:rPr>
            <a:t>Indicators:</a:t>
          </a:r>
        </a:p>
        <a:p>
          <a:endParaRPr lang="en-GB" sz="800">
            <a:effectLst/>
          </a:endParaRPr>
        </a:p>
        <a:p>
          <a:pPr lvl="1"/>
          <a:r>
            <a:rPr lang="en-GB" sz="1100" b="0">
              <a:solidFill>
                <a:schemeClr val="dk1"/>
              </a:solidFill>
              <a:effectLst/>
              <a:latin typeface="+mn-lt"/>
              <a:ea typeface="+mn-ea"/>
              <a:cs typeface="+mn-cs"/>
            </a:rPr>
            <a:t>1. Number of decayed</a:t>
          </a:r>
          <a:r>
            <a:rPr lang="en-GB" sz="1100" b="0" baseline="0">
              <a:solidFill>
                <a:schemeClr val="dk1"/>
              </a:solidFill>
              <a:effectLst/>
              <a:latin typeface="+mn-lt"/>
              <a:ea typeface="+mn-ea"/>
              <a:cs typeface="+mn-cs"/>
            </a:rPr>
            <a:t> , missing or filled teeth</a:t>
          </a:r>
        </a:p>
        <a:p>
          <a:pPr lvl="1"/>
          <a:r>
            <a:rPr lang="en-GB" sz="1100" b="0" baseline="0">
              <a:solidFill>
                <a:schemeClr val="dk1"/>
              </a:solidFill>
              <a:effectLst/>
              <a:latin typeface="+mn-lt"/>
              <a:ea typeface="+mn-ea"/>
              <a:cs typeface="+mn-cs"/>
            </a:rPr>
            <a:t>2. Year on year improvements in numbers of child patients seen by NHS dentists		</a:t>
          </a:r>
          <a:r>
            <a:rPr lang="en-GB" sz="1100" b="1" baseline="0">
              <a:solidFill>
                <a:schemeClr val="dk1"/>
              </a:solidFill>
              <a:effectLst/>
              <a:latin typeface="+mn-lt"/>
              <a:ea typeface="+mn-ea"/>
              <a:cs typeface="+mn-cs"/>
            </a:rPr>
            <a:t>tbc</a:t>
          </a:r>
        </a:p>
        <a:p>
          <a:pPr lvl="1"/>
          <a:r>
            <a:rPr lang="en-GB" sz="1100" b="0" baseline="0">
              <a:solidFill>
                <a:schemeClr val="dk1"/>
              </a:solidFill>
              <a:effectLst/>
              <a:latin typeface="+mn-lt"/>
              <a:ea typeface="+mn-ea"/>
              <a:cs typeface="+mn-cs"/>
            </a:rPr>
            <a:t>3. Sales of toothbrushes and toothpaste in community shops remain constant or improved	</a:t>
          </a:r>
          <a:r>
            <a:rPr lang="en-GB" sz="1100" b="1" baseline="0">
              <a:solidFill>
                <a:schemeClr val="dk1"/>
              </a:solidFill>
              <a:effectLst/>
              <a:latin typeface="+mn-lt"/>
              <a:ea typeface="+mn-ea"/>
              <a:cs typeface="+mn-cs"/>
            </a:rPr>
            <a:t>tbc</a:t>
          </a:r>
        </a:p>
        <a:p>
          <a:pPr lvl="1"/>
          <a:r>
            <a:rPr lang="en-GB" sz="1100" b="0" baseline="0">
              <a:solidFill>
                <a:schemeClr val="dk1"/>
              </a:solidFill>
              <a:effectLst/>
              <a:latin typeface="+mn-lt"/>
              <a:ea typeface="+mn-ea"/>
              <a:cs typeface="+mn-cs"/>
            </a:rPr>
            <a:t>4. All relevant staff are trained in the West Sussex Oral Health Toolkit			</a:t>
          </a:r>
          <a:r>
            <a:rPr lang="en-GB" sz="1100" b="1" baseline="0">
              <a:solidFill>
                <a:schemeClr val="dk1"/>
              </a:solidFill>
              <a:effectLst/>
              <a:latin typeface="+mn-lt"/>
              <a:ea typeface="+mn-ea"/>
              <a:cs typeface="+mn-cs"/>
            </a:rPr>
            <a:t>tbc</a:t>
          </a:r>
        </a:p>
        <a:p>
          <a:endParaRPr lang="en-GB" sz="800" b="0">
            <a:solidFill>
              <a:schemeClr val="dk1"/>
            </a:solidFill>
            <a:effectLst/>
            <a:latin typeface="+mn-lt"/>
            <a:ea typeface="+mn-ea"/>
            <a:cs typeface="+mn-cs"/>
          </a:endParaRPr>
        </a:p>
        <a:p>
          <a:endParaRPr lang="en-GB" sz="800">
            <a:effectLst/>
          </a:endParaRPr>
        </a:p>
      </xdr:txBody>
    </xdr:sp>
    <xdr:clientData/>
  </xdr:twoCellAnchor>
  <xdr:twoCellAnchor editAs="oneCell">
    <xdr:from>
      <xdr:col>2</xdr:col>
      <xdr:colOff>4119</xdr:colOff>
      <xdr:row>291</xdr:row>
      <xdr:rowOff>173832</xdr:rowOff>
    </xdr:from>
    <xdr:to>
      <xdr:col>22</xdr:col>
      <xdr:colOff>3559</xdr:colOff>
      <xdr:row>293</xdr:row>
      <xdr:rowOff>115860</xdr:rowOff>
    </xdr:to>
    <xdr:grpSp>
      <xdr:nvGrpSpPr>
        <xdr:cNvPr id="44" name="Group 43"/>
        <xdr:cNvGrpSpPr/>
      </xdr:nvGrpSpPr>
      <xdr:grpSpPr>
        <a:xfrm>
          <a:off x="213669" y="57228582"/>
          <a:ext cx="10591240" cy="303978"/>
          <a:chOff x="219752" y="16256265"/>
          <a:chExt cx="10659783" cy="299214"/>
        </a:xfrm>
      </xdr:grpSpPr>
      <xdr:sp macro="" textlink="">
        <xdr:nvSpPr>
          <xdr:cNvPr id="45" name="Rectangle 44"/>
          <xdr:cNvSpPr/>
        </xdr:nvSpPr>
        <xdr:spPr>
          <a:xfrm>
            <a:off x="219752" y="16256265"/>
            <a:ext cx="10659783"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Decayed,</a:t>
            </a:r>
            <a:r>
              <a:rPr lang="en-GB" sz="1100" b="1" baseline="0"/>
              <a:t> Missing or Filled Teeth</a:t>
            </a:r>
          </a:p>
          <a:p>
            <a:pPr algn="l"/>
            <a:endParaRPr lang="en-GB" sz="1100" b="1"/>
          </a:p>
        </xdr:txBody>
      </xdr:sp>
      <xdr:sp macro="" textlink="">
        <xdr:nvSpPr>
          <xdr:cNvPr id="46" name="TextBox 45">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3</xdr:col>
      <xdr:colOff>10584</xdr:colOff>
      <xdr:row>297</xdr:row>
      <xdr:rowOff>21167</xdr:rowOff>
    </xdr:from>
    <xdr:to>
      <xdr:col>20</xdr:col>
      <xdr:colOff>394606</xdr:colOff>
      <xdr:row>302</xdr:row>
      <xdr:rowOff>179917</xdr:rowOff>
    </xdr:to>
    <xdr:sp macro="" textlink="">
      <xdr:nvSpPr>
        <xdr:cNvPr id="47" name="Rectangle 46"/>
        <xdr:cNvSpPr/>
      </xdr:nvSpPr>
      <xdr:spPr>
        <a:xfrm>
          <a:off x="751417" y="47392167"/>
          <a:ext cx="9559772" cy="111125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r>
            <a:rPr lang="en-GB" sz="1200" b="1">
              <a:solidFill>
                <a:schemeClr val="dk1"/>
              </a:solidFill>
              <a:effectLst/>
              <a:latin typeface="+mn-lt"/>
              <a:ea typeface="+mn-ea"/>
              <a:cs typeface="+mn-cs"/>
            </a:rPr>
            <a:t>What helps?</a:t>
          </a:r>
        </a:p>
        <a:p>
          <a:endParaRPr lang="en-GB" sz="800">
            <a:effectLst/>
          </a:endParaRPr>
        </a:p>
        <a:p>
          <a:r>
            <a:rPr lang="en-GB" sz="1100">
              <a:solidFill>
                <a:schemeClr val="dk1"/>
              </a:solidFill>
              <a:effectLst/>
              <a:latin typeface="+mn-lt"/>
              <a:ea typeface="+mn-ea"/>
              <a:cs typeface="+mn-cs"/>
            </a:rPr>
            <a:t>The Children’s Workforce can support families to develop good oral hygiene from birth by promoting regular tooth-brushing, encouraging visits to the dentist, and advising parents to reduce sweets, sugary snacks and fizzy drinks.  Staff should proactively support families living in deprived areas because children living in those areas are more likely to have poor oral health.	</a:t>
          </a:r>
        </a:p>
      </xdr:txBody>
    </xdr:sp>
    <xdr:clientData/>
  </xdr:twoCellAnchor>
  <xdr:twoCellAnchor editAs="oneCell">
    <xdr:from>
      <xdr:col>1</xdr:col>
      <xdr:colOff>104775</xdr:colOff>
      <xdr:row>328</xdr:row>
      <xdr:rowOff>180975</xdr:rowOff>
    </xdr:from>
    <xdr:to>
      <xdr:col>22</xdr:col>
      <xdr:colOff>800</xdr:colOff>
      <xdr:row>330</xdr:row>
      <xdr:rowOff>103952</xdr:rowOff>
    </xdr:to>
    <xdr:grpSp>
      <xdr:nvGrpSpPr>
        <xdr:cNvPr id="48" name="Group 47"/>
        <xdr:cNvGrpSpPr/>
      </xdr:nvGrpSpPr>
      <xdr:grpSpPr>
        <a:xfrm>
          <a:off x="200025" y="66960750"/>
          <a:ext cx="10602125" cy="303977"/>
          <a:chOff x="219752" y="16256265"/>
          <a:chExt cx="10659783" cy="299214"/>
        </a:xfrm>
      </xdr:grpSpPr>
      <xdr:sp macro="" textlink="">
        <xdr:nvSpPr>
          <xdr:cNvPr id="49" name="Rectangle 48"/>
          <xdr:cNvSpPr/>
        </xdr:nvSpPr>
        <xdr:spPr>
          <a:xfrm>
            <a:off x="219752" y="16256265"/>
            <a:ext cx="10659783"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Improving</a:t>
            </a:r>
            <a:r>
              <a:rPr lang="en-GB" sz="1100" b="1" baseline="0"/>
              <a:t> Children's Emotional Health and Wellbeing and Adult Mental Health</a:t>
            </a:r>
          </a:p>
          <a:p>
            <a:pPr algn="l"/>
            <a:endParaRPr lang="en-GB" sz="1100" b="1"/>
          </a:p>
        </xdr:txBody>
      </xdr:sp>
      <xdr:sp macro="" textlink="">
        <xdr:nvSpPr>
          <xdr:cNvPr id="50" name="TextBox 49">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485775</xdr:colOff>
      <xdr:row>331</xdr:row>
      <xdr:rowOff>180974</xdr:rowOff>
    </xdr:from>
    <xdr:to>
      <xdr:col>20</xdr:col>
      <xdr:colOff>343012</xdr:colOff>
      <xdr:row>356</xdr:row>
      <xdr:rowOff>47625</xdr:rowOff>
    </xdr:to>
    <xdr:sp macro="" textlink="">
      <xdr:nvSpPr>
        <xdr:cNvPr id="51" name="Rectangle 50">
          <a:hlinkClick xmlns:r="http://schemas.openxmlformats.org/officeDocument/2006/relationships" r:id="rId8"/>
        </xdr:cNvPr>
        <xdr:cNvSpPr/>
      </xdr:nvSpPr>
      <xdr:spPr>
        <a:xfrm>
          <a:off x="695325" y="56035574"/>
          <a:ext cx="9620362" cy="4629151"/>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r>
            <a:rPr lang="en-GB" sz="1200" b="1">
              <a:solidFill>
                <a:schemeClr val="dk1"/>
              </a:solidFill>
              <a:effectLst/>
              <a:latin typeface="+mn-lt"/>
              <a:ea typeface="+mn-ea"/>
              <a:cs typeface="+mn-cs"/>
            </a:rPr>
            <a:t>Why is emotional wellbeing important?</a:t>
          </a:r>
        </a:p>
        <a:p>
          <a:endParaRPr lang="en-GB" sz="800">
            <a:effectLst/>
          </a:endParaRPr>
        </a:p>
        <a:p>
          <a:r>
            <a:rPr lang="en-GB" sz="1100">
              <a:solidFill>
                <a:schemeClr val="dk1"/>
              </a:solidFill>
              <a:effectLst/>
              <a:latin typeface="+mn-lt"/>
              <a:ea typeface="+mn-ea"/>
              <a:cs typeface="+mn-cs"/>
            </a:rPr>
            <a:t>Strong bonding and attachment between parent or carer and infant supports the development of empathy, trust and wellbeing in the child, and builds resilience to adverse life events or circumstances. The mental health of adults can have a direct impact on the emotional health and wellbeing of children and young people in their care.  See the </a:t>
          </a:r>
          <a:r>
            <a:rPr lang="en-GB" sz="1100" u="sng">
              <a:solidFill>
                <a:srgbClr val="191EE1"/>
              </a:solidFill>
              <a:effectLst/>
              <a:latin typeface="+mn-lt"/>
              <a:ea typeface="+mn-ea"/>
              <a:cs typeface="+mn-cs"/>
            </a:rPr>
            <a:t>Early</a:t>
          </a:r>
          <a:r>
            <a:rPr lang="en-GB" sz="1100" u="sng" baseline="0">
              <a:solidFill>
                <a:srgbClr val="191EE1"/>
              </a:solidFill>
              <a:effectLst/>
              <a:latin typeface="+mn-lt"/>
              <a:ea typeface="+mn-ea"/>
              <a:cs typeface="+mn-cs"/>
            </a:rPr>
            <a:t> Years High Impact Areas </a:t>
          </a:r>
          <a:r>
            <a:rPr lang="en-GB" sz="1100" baseline="0">
              <a:solidFill>
                <a:schemeClr val="dk1"/>
              </a:solidFill>
              <a:effectLst/>
              <a:latin typeface="+mn-lt"/>
              <a:ea typeface="+mn-ea"/>
              <a:cs typeface="+mn-cs"/>
            </a:rPr>
            <a:t>for further information on emotional health and wellbeing of children and their parents.</a:t>
          </a:r>
          <a:endParaRPr lang="en-GB" sz="1100">
            <a:solidFill>
              <a:schemeClr val="dk1"/>
            </a:solidFill>
            <a:effectLst/>
            <a:latin typeface="+mn-lt"/>
            <a:ea typeface="+mn-ea"/>
            <a:cs typeface="+mn-cs"/>
          </a:endParaRPr>
        </a:p>
        <a:p>
          <a:endParaRPr lang="en-GB" sz="800" b="0">
            <a:solidFill>
              <a:schemeClr val="dk1"/>
            </a:solidFill>
            <a:effectLst/>
            <a:latin typeface="+mn-lt"/>
            <a:ea typeface="+mn-ea"/>
            <a:cs typeface="+mn-cs"/>
          </a:endParaRPr>
        </a:p>
        <a:p>
          <a:r>
            <a:rPr lang="en-GB" sz="1200" b="1" baseline="0">
              <a:solidFill>
                <a:schemeClr val="dk1"/>
              </a:solidFill>
              <a:effectLst/>
              <a:latin typeface="+mn-lt"/>
              <a:ea typeface="+mn-ea"/>
              <a:cs typeface="+mn-cs"/>
            </a:rPr>
            <a:t>What helps?</a:t>
          </a:r>
        </a:p>
        <a:p>
          <a:endParaRPr lang="en-GB" sz="800" b="1" baseline="0">
            <a:solidFill>
              <a:schemeClr val="dk1"/>
            </a:solidFill>
            <a:effectLst/>
            <a:latin typeface="+mn-lt"/>
            <a:ea typeface="+mn-ea"/>
            <a:cs typeface="+mn-cs"/>
          </a:endParaRPr>
        </a:p>
        <a:p>
          <a:r>
            <a:rPr lang="en-GB" sz="1100">
              <a:solidFill>
                <a:schemeClr val="dk1"/>
              </a:solidFill>
              <a:effectLst/>
              <a:latin typeface="+mn-lt"/>
              <a:ea typeface="+mn-ea"/>
              <a:cs typeface="+mn-cs"/>
            </a:rPr>
            <a:t>The Children’s Workforce can play an important role in the effective delivery of attachment focused parenting programmes and supporting parents and carers with mental health problems with their family and parenting responsibilities. The perinatal mental health pathways will support appropriate referral to services. Children and Family Centres can also provide a non-stigmatising venue for counselling and other services.</a:t>
          </a:r>
        </a:p>
        <a:p>
          <a:endParaRPr lang="en-GB" sz="800" b="1" baseline="0">
            <a:solidFill>
              <a:schemeClr val="dk1"/>
            </a:solidFill>
            <a:effectLst/>
            <a:latin typeface="+mn-lt"/>
            <a:ea typeface="+mn-ea"/>
            <a:cs typeface="+mn-cs"/>
          </a:endParaRPr>
        </a:p>
        <a:p>
          <a:r>
            <a:rPr lang="en-GB" sz="1200" b="1" baseline="0">
              <a:solidFill>
                <a:schemeClr val="dk1"/>
              </a:solidFill>
              <a:effectLst/>
              <a:latin typeface="+mn-lt"/>
              <a:ea typeface="+mn-ea"/>
              <a:cs typeface="+mn-cs"/>
            </a:rPr>
            <a:t>Indicators:</a:t>
          </a:r>
        </a:p>
        <a:p>
          <a:endParaRPr lang="en-GB" sz="800">
            <a:effectLst/>
          </a:endParaRPr>
        </a:p>
        <a:p>
          <a:pPr lvl="1"/>
          <a:r>
            <a:rPr lang="en-GB" sz="1100" b="0">
              <a:solidFill>
                <a:schemeClr val="dk1"/>
              </a:solidFill>
              <a:effectLst/>
              <a:latin typeface="+mn-lt"/>
              <a:ea typeface="+mn-ea"/>
              <a:cs typeface="+mn-cs"/>
            </a:rPr>
            <a:t>1. Effectiveness of child and adolescent mental health (CAMHS)				</a:t>
          </a:r>
          <a:r>
            <a:rPr lang="en-GB" sz="1100" b="0" baseline="0">
              <a:solidFill>
                <a:schemeClr val="dk1"/>
              </a:solidFill>
              <a:effectLst/>
              <a:latin typeface="+mn-lt"/>
              <a:ea typeface="+mn-ea"/>
              <a:cs typeface="+mn-cs"/>
            </a:rPr>
            <a:t>         </a:t>
          </a:r>
          <a:r>
            <a:rPr lang="en-GB" sz="1100" b="1" baseline="0">
              <a:solidFill>
                <a:schemeClr val="dk1"/>
              </a:solidFill>
              <a:effectLst/>
              <a:latin typeface="+mn-lt"/>
              <a:ea typeface="+mn-ea"/>
              <a:cs typeface="+mn-cs"/>
            </a:rPr>
            <a:t>Not within this profile</a:t>
          </a:r>
          <a:endParaRPr lang="en-GB" sz="1100" b="1">
            <a:solidFill>
              <a:schemeClr val="dk1"/>
            </a:solidFill>
            <a:effectLst/>
            <a:latin typeface="+mn-lt"/>
            <a:ea typeface="+mn-ea"/>
            <a:cs typeface="+mn-cs"/>
          </a:endParaRPr>
        </a:p>
        <a:p>
          <a:pPr lvl="1"/>
          <a:r>
            <a:rPr lang="en-GB" sz="1100" b="0">
              <a:solidFill>
                <a:schemeClr val="dk1"/>
              </a:solidFill>
              <a:effectLst/>
              <a:latin typeface="+mn-lt"/>
              <a:ea typeface="+mn-ea"/>
              <a:cs typeface="+mn-cs"/>
            </a:rPr>
            <a:t>2.</a:t>
          </a:r>
          <a:r>
            <a:rPr lang="en-GB" sz="1100" b="0" baseline="0">
              <a:solidFill>
                <a:schemeClr val="dk1"/>
              </a:solidFill>
              <a:effectLst/>
              <a:latin typeface="+mn-lt"/>
              <a:ea typeface="+mn-ea"/>
              <a:cs typeface="+mn-cs"/>
            </a:rPr>
            <a:t> The achievement of children who have accessed services provided or commissioned by the centre, shown by the </a:t>
          </a:r>
        </a:p>
        <a:p>
          <a:pPr lvl="1"/>
          <a:r>
            <a:rPr lang="en-GB" sz="1100" b="0" baseline="0">
              <a:solidFill>
                <a:schemeClr val="dk1"/>
              </a:solidFill>
              <a:effectLst/>
              <a:latin typeface="+mn-lt"/>
              <a:ea typeface="+mn-ea"/>
              <a:cs typeface="+mn-cs"/>
            </a:rPr>
            <a:t>percentage of children attaining a Good Level of Development (GLD), which is children who have attained level two or</a:t>
          </a:r>
        </a:p>
        <a:p>
          <a:pPr lvl="1"/>
          <a:r>
            <a:rPr lang="en-GB" sz="1100" b="0" baseline="0">
              <a:solidFill>
                <a:schemeClr val="dk1"/>
              </a:solidFill>
              <a:effectLst/>
              <a:latin typeface="+mn-lt"/>
              <a:ea typeface="+mn-ea"/>
              <a:cs typeface="+mn-cs"/>
            </a:rPr>
            <a:t>more in all aspects of the Prime Areas of Learning, Literacy and Mathematics</a:t>
          </a:r>
        </a:p>
        <a:p>
          <a:pPr lvl="1"/>
          <a:r>
            <a:rPr lang="en-GB" sz="1100" b="0" baseline="0">
              <a:solidFill>
                <a:schemeClr val="dk1"/>
              </a:solidFill>
              <a:effectLst/>
              <a:latin typeface="+mn-lt"/>
              <a:ea typeface="+mn-ea"/>
              <a:cs typeface="+mn-cs"/>
            </a:rPr>
            <a:t>3. Number of people within a resource pool area accessing Solihull training (WSCC)			         </a:t>
          </a:r>
          <a:r>
            <a:rPr lang="en-GB" sz="1100" b="1" baseline="0">
              <a:solidFill>
                <a:schemeClr val="dk1"/>
              </a:solidFill>
              <a:effectLst/>
              <a:latin typeface="+mn-lt"/>
              <a:ea typeface="+mn-ea"/>
              <a:cs typeface="+mn-cs"/>
            </a:rPr>
            <a:t>Not within this profile</a:t>
          </a:r>
        </a:p>
        <a:p>
          <a:pPr lvl="1"/>
          <a:r>
            <a:rPr lang="en-GB" sz="1100" b="0" baseline="0">
              <a:solidFill>
                <a:schemeClr val="dk1"/>
              </a:solidFill>
              <a:effectLst/>
              <a:latin typeface="+mn-lt"/>
              <a:ea typeface="+mn-ea"/>
              <a:cs typeface="+mn-cs"/>
            </a:rPr>
            <a:t>4. 85% of mothers to be screened post-natally for post-natal depression</a:t>
          </a:r>
        </a:p>
        <a:p>
          <a:pPr lvl="1"/>
          <a:endParaRPr lang="en-GB" sz="1100" b="0" baseline="0">
            <a:solidFill>
              <a:schemeClr val="dk1"/>
            </a:solidFill>
            <a:effectLst/>
            <a:latin typeface="+mn-lt"/>
            <a:ea typeface="+mn-ea"/>
            <a:cs typeface="+mn-cs"/>
          </a:endParaRPr>
        </a:p>
        <a:p>
          <a:pPr lvl="0"/>
          <a:r>
            <a:rPr lang="en-GB" sz="1200" b="1">
              <a:solidFill>
                <a:schemeClr val="dk1"/>
              </a:solidFill>
              <a:effectLst/>
              <a:latin typeface="+mn-lt"/>
              <a:ea typeface="+mn-ea"/>
              <a:cs typeface="+mn-cs"/>
            </a:rPr>
            <a:t>Rationale for Indicators</a:t>
          </a:r>
        </a:p>
        <a:p>
          <a:endParaRPr lang="en-GB" sz="800">
            <a:effectLst/>
          </a:endParaRPr>
        </a:p>
        <a:p>
          <a:r>
            <a:rPr lang="en-GB" sz="1100">
              <a:effectLst/>
            </a:rPr>
            <a:t>Personal, social and emotional development, along with speech, language and communication are strong measures of developing empathy and resilience in children.  Low scores for either would indicate those children more likely to require intensive support.  All new mothers should be assessed by doctors, midwives and health visitors for PND.  Mothers who agree to a 12-16 visit from their health visitor are systematically assessed so that services can respond appropriately to local levels of need. West Sussex is using the Solihull approach to promote positive parenting skills, supporting both parent or carer and child.</a:t>
          </a:r>
        </a:p>
      </xdr:txBody>
    </xdr:sp>
    <xdr:clientData/>
  </xdr:twoCellAnchor>
  <xdr:twoCellAnchor editAs="oneCell">
    <xdr:from>
      <xdr:col>17</xdr:col>
      <xdr:colOff>85725</xdr:colOff>
      <xdr:row>344</xdr:row>
      <xdr:rowOff>152400</xdr:rowOff>
    </xdr:from>
    <xdr:to>
      <xdr:col>19</xdr:col>
      <xdr:colOff>38100</xdr:colOff>
      <xdr:row>347</xdr:row>
      <xdr:rowOff>28575</xdr:rowOff>
    </xdr:to>
    <xdr:sp macro="" textlink="">
      <xdr:nvSpPr>
        <xdr:cNvPr id="16" name="Rectangle 15"/>
        <xdr:cNvSpPr/>
      </xdr:nvSpPr>
      <xdr:spPr>
        <a:xfrm>
          <a:off x="8429625" y="57092850"/>
          <a:ext cx="1038225" cy="447675"/>
        </a:xfrm>
        <a:prstGeom prst="rect">
          <a:avLst/>
        </a:prstGeom>
        <a:solidFill>
          <a:schemeClr val="accent1">
            <a:lumMod val="20000"/>
            <a:lumOff val="8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b="1"/>
            <a:t>OFSTED</a:t>
          </a:r>
          <a:r>
            <a:rPr lang="en-GB" sz="1100" b="1" baseline="0"/>
            <a:t> KPI</a:t>
          </a:r>
          <a:endParaRPr lang="en-GB" sz="1100" b="1"/>
        </a:p>
      </xdr:txBody>
    </xdr:sp>
    <xdr:clientData/>
  </xdr:twoCellAnchor>
  <xdr:twoCellAnchor editAs="oneCell">
    <xdr:from>
      <xdr:col>2</xdr:col>
      <xdr:colOff>0</xdr:colOff>
      <xdr:row>358</xdr:row>
      <xdr:rowOff>0</xdr:rowOff>
    </xdr:from>
    <xdr:to>
      <xdr:col>22</xdr:col>
      <xdr:colOff>4883</xdr:colOff>
      <xdr:row>359</xdr:row>
      <xdr:rowOff>123000</xdr:rowOff>
    </xdr:to>
    <xdr:grpSp>
      <xdr:nvGrpSpPr>
        <xdr:cNvPr id="52" name="Group 51"/>
        <xdr:cNvGrpSpPr/>
      </xdr:nvGrpSpPr>
      <xdr:grpSpPr>
        <a:xfrm>
          <a:off x="209550" y="72494775"/>
          <a:ext cx="10596683" cy="303975"/>
          <a:chOff x="219752" y="16256265"/>
          <a:chExt cx="10659783" cy="299214"/>
        </a:xfrm>
      </xdr:grpSpPr>
      <xdr:sp macro="" textlink="">
        <xdr:nvSpPr>
          <xdr:cNvPr id="53" name="Rectangle 52"/>
          <xdr:cNvSpPr/>
        </xdr:nvSpPr>
        <xdr:spPr>
          <a:xfrm>
            <a:off x="219752" y="16256265"/>
            <a:ext cx="10659783"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Postnatal</a:t>
            </a:r>
            <a:r>
              <a:rPr lang="en-GB" sz="1100" b="1" baseline="0"/>
              <a:t> Depression</a:t>
            </a:r>
          </a:p>
          <a:p>
            <a:pPr algn="l"/>
            <a:endParaRPr lang="en-GB" sz="1100" b="1"/>
          </a:p>
        </xdr:txBody>
      </xdr:sp>
      <xdr:sp macro="" textlink="">
        <xdr:nvSpPr>
          <xdr:cNvPr id="54" name="TextBox 53">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476250</xdr:colOff>
      <xdr:row>362</xdr:row>
      <xdr:rowOff>104775</xdr:rowOff>
    </xdr:from>
    <xdr:to>
      <xdr:col>20</xdr:col>
      <xdr:colOff>326872</xdr:colOff>
      <xdr:row>365</xdr:row>
      <xdr:rowOff>180974</xdr:rowOff>
    </xdr:to>
    <xdr:sp macro="" textlink="">
      <xdr:nvSpPr>
        <xdr:cNvPr id="55" name="Rectangle 54"/>
        <xdr:cNvSpPr/>
      </xdr:nvSpPr>
      <xdr:spPr>
        <a:xfrm>
          <a:off x="685800" y="67122675"/>
          <a:ext cx="9613747" cy="9048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r>
            <a:rPr lang="en-GB" sz="1200" b="1">
              <a:solidFill>
                <a:schemeClr val="dk1"/>
              </a:solidFill>
              <a:effectLst/>
              <a:latin typeface="+mn-lt"/>
              <a:ea typeface="+mn-ea"/>
              <a:cs typeface="+mn-cs"/>
            </a:rPr>
            <a:t>What helps?</a:t>
          </a:r>
        </a:p>
        <a:p>
          <a:endParaRPr lang="en-GB" sz="800">
            <a:effectLst/>
          </a:endParaRPr>
        </a:p>
        <a:p>
          <a:r>
            <a:rPr lang="en-GB" sz="1100">
              <a:solidFill>
                <a:schemeClr val="dk1"/>
              </a:solidFill>
              <a:effectLst/>
              <a:latin typeface="+mn-lt"/>
              <a:ea typeface="+mn-ea"/>
              <a:cs typeface="+mn-cs"/>
            </a:rPr>
            <a:t>Children and Family Centres can encourage mothers to access social support from their families or other mothers, and by helping them to balance caring for a new baby with other aspects of their lives. They can help mothers who seek advice to access appropriate support through their Health Visitor, GP or Time to Talk service. </a:t>
          </a:r>
        </a:p>
      </xdr:txBody>
    </xdr:sp>
    <xdr:clientData/>
  </xdr:twoCellAnchor>
  <xdr:twoCellAnchor editAs="oneCell">
    <xdr:from>
      <xdr:col>2</xdr:col>
      <xdr:colOff>400050</xdr:colOff>
      <xdr:row>385</xdr:row>
      <xdr:rowOff>82622</xdr:rowOff>
    </xdr:from>
    <xdr:to>
      <xdr:col>20</xdr:col>
      <xdr:colOff>352425</xdr:colOff>
      <xdr:row>416</xdr:row>
      <xdr:rowOff>19047</xdr:rowOff>
    </xdr:to>
    <xdr:grpSp>
      <xdr:nvGrpSpPr>
        <xdr:cNvPr id="220" name="Group 353"/>
        <xdr:cNvGrpSpPr>
          <a:grpSpLocks/>
        </xdr:cNvGrpSpPr>
      </xdr:nvGrpSpPr>
      <xdr:grpSpPr bwMode="auto">
        <a:xfrm>
          <a:off x="609600" y="78530522"/>
          <a:ext cx="9715500" cy="5670475"/>
          <a:chOff x="35" y="7910"/>
          <a:chExt cx="900" cy="477"/>
        </a:xfrm>
      </xdr:grpSpPr>
      <xdr:sp macro="" textlink="">
        <xdr:nvSpPr>
          <xdr:cNvPr id="221" name="Text Box 312"/>
          <xdr:cNvSpPr txBox="1">
            <a:spLocks noChangeArrowheads="1"/>
          </xdr:cNvSpPr>
        </xdr:nvSpPr>
        <xdr:spPr bwMode="auto">
          <a:xfrm>
            <a:off x="35" y="8230"/>
            <a:ext cx="116" cy="94"/>
          </a:xfrm>
          <a:prstGeom prst="rect">
            <a:avLst/>
          </a:prstGeom>
          <a:solidFill>
            <a:srgbClr val="D3EBED"/>
          </a:solidFill>
          <a:ln w="31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en-GB" sz="800" b="0" i="0" u="none" strike="noStrike" baseline="0">
                <a:solidFill>
                  <a:srgbClr val="000000"/>
                </a:solidFill>
                <a:latin typeface="+mn-lt"/>
                <a:cs typeface="Calibri"/>
              </a:rPr>
              <a:t>12 week check .</a:t>
            </a:r>
          </a:p>
          <a:p>
            <a:pPr algn="l" rtl="0">
              <a:lnSpc>
                <a:spcPts val="800"/>
              </a:lnSpc>
              <a:defRPr sz="1000"/>
            </a:pPr>
            <a:r>
              <a:rPr lang="en-GB" sz="800" b="0" i="0" u="none" strike="noStrike" baseline="0">
                <a:solidFill>
                  <a:srgbClr val="000000"/>
                </a:solidFill>
                <a:latin typeface="+mn-lt"/>
                <a:cs typeface="Calibri"/>
              </a:rPr>
              <a:t>Women on database (with complete records)</a:t>
            </a:r>
          </a:p>
          <a:p>
            <a:pPr algn="l" rtl="0">
              <a:lnSpc>
                <a:spcPts val="900"/>
              </a:lnSpc>
              <a:defRPr sz="1000"/>
            </a:pPr>
            <a:r>
              <a:rPr lang="en-GB" sz="800" b="1" i="0" u="none" strike="noStrike" baseline="0">
                <a:solidFill>
                  <a:srgbClr val="0000FF"/>
                </a:solidFill>
                <a:latin typeface="+mn-lt"/>
                <a:cs typeface="Calibri"/>
              </a:rPr>
              <a:t>5,104</a:t>
            </a:r>
            <a:endParaRPr lang="en-GB" sz="800" b="0" i="0" u="none" strike="noStrike" baseline="0">
              <a:solidFill>
                <a:srgbClr val="000000"/>
              </a:solidFill>
              <a:latin typeface="+mn-lt"/>
              <a:cs typeface="Calibri"/>
            </a:endParaRPr>
          </a:p>
          <a:p>
            <a:pPr algn="l" rtl="0">
              <a:lnSpc>
                <a:spcPts val="1000"/>
              </a:lnSpc>
              <a:defRPr sz="1000"/>
            </a:pPr>
            <a:endParaRPr lang="en-GB" sz="1000" b="0" i="0" u="none" strike="noStrike" baseline="0">
              <a:solidFill>
                <a:srgbClr val="000000"/>
              </a:solidFill>
              <a:latin typeface="+mn-lt"/>
              <a:cs typeface="Calibri"/>
            </a:endParaRPr>
          </a:p>
        </xdr:txBody>
      </xdr:sp>
      <xdr:sp macro="" textlink="">
        <xdr:nvSpPr>
          <xdr:cNvPr id="222" name="Text Box 313"/>
          <xdr:cNvSpPr txBox="1">
            <a:spLocks noChangeArrowheads="1"/>
          </xdr:cNvSpPr>
        </xdr:nvSpPr>
        <xdr:spPr bwMode="auto">
          <a:xfrm>
            <a:off x="148" y="8147"/>
            <a:ext cx="92" cy="58"/>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D3EBED"/>
                </a:solidFill>
              </a14:hiddenFill>
            </a:ext>
          </a:extLst>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Asked Whooley Screening Tool</a:t>
            </a:r>
          </a:p>
          <a:p>
            <a:pPr algn="l" rtl="0">
              <a:lnSpc>
                <a:spcPts val="1100"/>
              </a:lnSpc>
              <a:defRPr sz="1000"/>
            </a:pPr>
            <a:r>
              <a:rPr lang="en-GB" sz="800" b="1" i="0" u="none" strike="noStrike" baseline="0">
                <a:solidFill>
                  <a:srgbClr val="0000FF"/>
                </a:solidFill>
                <a:latin typeface="+mn-lt"/>
                <a:cs typeface="Calibri"/>
              </a:rPr>
              <a:t>5,048</a:t>
            </a:r>
            <a:endParaRPr lang="en-GB" sz="800" b="0" i="0" u="none" strike="noStrike" baseline="0">
              <a:solidFill>
                <a:srgbClr val="000000"/>
              </a:solidFill>
              <a:latin typeface="+mn-lt"/>
              <a:cs typeface="Calibri"/>
            </a:endParaRPr>
          </a:p>
          <a:p>
            <a:pPr algn="l" rtl="0">
              <a:lnSpc>
                <a:spcPts val="1100"/>
              </a:lnSpc>
              <a:defRPr sz="1000"/>
            </a:pPr>
            <a:endParaRPr lang="en-GB" sz="1000" b="0" i="0" u="none" strike="noStrike" baseline="0">
              <a:solidFill>
                <a:srgbClr val="000000"/>
              </a:solidFill>
              <a:latin typeface="+mn-lt"/>
              <a:cs typeface="Calibri"/>
            </a:endParaRPr>
          </a:p>
        </xdr:txBody>
      </xdr:sp>
      <xdr:sp macro="" textlink="">
        <xdr:nvSpPr>
          <xdr:cNvPr id="223" name="Line 314"/>
          <xdr:cNvSpPr>
            <a:spLocks noChangeShapeType="1"/>
          </xdr:cNvSpPr>
        </xdr:nvSpPr>
        <xdr:spPr bwMode="auto">
          <a:xfrm flipV="1">
            <a:off x="80" y="8185"/>
            <a:ext cx="0" cy="4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4" name="Line 315"/>
          <xdr:cNvSpPr>
            <a:spLocks noChangeShapeType="1"/>
          </xdr:cNvSpPr>
        </xdr:nvSpPr>
        <xdr:spPr bwMode="auto">
          <a:xfrm>
            <a:off x="80" y="8185"/>
            <a:ext cx="6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25" name="Text Box 316"/>
          <xdr:cNvSpPr txBox="1">
            <a:spLocks noChangeArrowheads="1"/>
          </xdr:cNvSpPr>
        </xdr:nvSpPr>
        <xdr:spPr bwMode="auto">
          <a:xfrm>
            <a:off x="277" y="8071"/>
            <a:ext cx="151" cy="62"/>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D3EBED"/>
                </a:solidFill>
              </a14:hiddenFill>
            </a:ext>
          </a:extLst>
        </xdr:spPr>
        <xdr:txBody>
          <a:bodyPr vertOverflow="clip" wrap="square" lIns="91440" tIns="45720" rIns="91440" bIns="45720" anchor="t" upright="1"/>
          <a:lstStyle/>
          <a:p>
            <a:pPr algn="l" rtl="0">
              <a:lnSpc>
                <a:spcPts val="800"/>
              </a:lnSpc>
              <a:defRPr sz="1000"/>
            </a:pPr>
            <a:r>
              <a:rPr lang="en-GB" sz="800" b="0" i="0" u="none" strike="noStrike" baseline="0">
                <a:solidFill>
                  <a:srgbClr val="000000"/>
                </a:solidFill>
                <a:latin typeface="+mn-lt"/>
                <a:cs typeface="Calibri"/>
              </a:rPr>
              <a:t>Answered ‘Yes’ on Woolley to Question 5 or Question 6</a:t>
            </a:r>
          </a:p>
          <a:p>
            <a:pPr algn="l" rtl="0">
              <a:lnSpc>
                <a:spcPts val="900"/>
              </a:lnSpc>
              <a:defRPr sz="1000"/>
            </a:pPr>
            <a:r>
              <a:rPr lang="en-GB" sz="800" b="1" i="0" u="none" strike="noStrike" baseline="0">
                <a:solidFill>
                  <a:srgbClr val="0000FF"/>
                </a:solidFill>
                <a:latin typeface="+mn-lt"/>
                <a:cs typeface="Calibri"/>
              </a:rPr>
              <a:t>614</a:t>
            </a:r>
            <a:endParaRPr lang="en-GB" sz="800" b="0" i="0" u="none" strike="noStrike" baseline="0">
              <a:solidFill>
                <a:srgbClr val="000000"/>
              </a:solidFill>
              <a:latin typeface="+mn-lt"/>
              <a:cs typeface="Calibri"/>
            </a:endParaRPr>
          </a:p>
          <a:p>
            <a:pPr algn="l" rtl="0">
              <a:lnSpc>
                <a:spcPts val="800"/>
              </a:lnSpc>
              <a:defRPr sz="1000"/>
            </a:pPr>
            <a:endParaRPr lang="en-GB" sz="800" b="0" i="0" u="none" strike="noStrike" baseline="0">
              <a:solidFill>
                <a:srgbClr val="000000"/>
              </a:solidFill>
              <a:latin typeface="+mn-lt"/>
              <a:cs typeface="Calibri"/>
            </a:endParaRPr>
          </a:p>
        </xdr:txBody>
      </xdr:sp>
      <xdr:sp macro="" textlink="">
        <xdr:nvSpPr>
          <xdr:cNvPr id="226" name="Text Box 317"/>
          <xdr:cNvSpPr txBox="1">
            <a:spLocks noChangeArrowheads="1"/>
          </xdr:cNvSpPr>
        </xdr:nvSpPr>
        <xdr:spPr bwMode="auto">
          <a:xfrm>
            <a:off x="269" y="8283"/>
            <a:ext cx="152" cy="56"/>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D3EBED"/>
                </a:solidFill>
              </a14:hiddenFill>
            </a:ext>
          </a:extLst>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Answered ‘No’ on Whooley to Question 5 or Question 6</a:t>
            </a:r>
          </a:p>
          <a:p>
            <a:pPr algn="l" rtl="0">
              <a:lnSpc>
                <a:spcPts val="1100"/>
              </a:lnSpc>
              <a:defRPr sz="1000"/>
            </a:pPr>
            <a:r>
              <a:rPr lang="en-GB" sz="800" b="1" i="0" u="none" strike="noStrike" baseline="0">
                <a:solidFill>
                  <a:srgbClr val="0000FF"/>
                </a:solidFill>
                <a:latin typeface="+mn-lt"/>
                <a:cs typeface="Calibri"/>
              </a:rPr>
              <a:t>4,434</a:t>
            </a:r>
            <a:endParaRPr lang="en-GB" sz="800" b="0" i="0" u="none" strike="noStrike" baseline="0">
              <a:solidFill>
                <a:srgbClr val="000000"/>
              </a:solidFill>
              <a:latin typeface="+mn-lt"/>
              <a:cs typeface="Calibri"/>
            </a:endParaRPr>
          </a:p>
          <a:p>
            <a:pPr algn="l" rtl="0">
              <a:lnSpc>
                <a:spcPts val="1100"/>
              </a:lnSpc>
              <a:defRPr sz="1000"/>
            </a:pPr>
            <a:endParaRPr lang="en-GB" sz="1000" b="0" i="0" u="none" strike="noStrike" baseline="0">
              <a:solidFill>
                <a:srgbClr val="000000"/>
              </a:solidFill>
              <a:latin typeface="+mn-lt"/>
              <a:cs typeface="Calibri"/>
            </a:endParaRPr>
          </a:p>
        </xdr:txBody>
      </xdr:sp>
      <xdr:sp macro="" textlink="">
        <xdr:nvSpPr>
          <xdr:cNvPr id="227" name="Line 318"/>
          <xdr:cNvSpPr>
            <a:spLocks noChangeShapeType="1"/>
          </xdr:cNvSpPr>
        </xdr:nvSpPr>
        <xdr:spPr bwMode="auto">
          <a:xfrm>
            <a:off x="186" y="8101"/>
            <a:ext cx="9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28" name="Line 319"/>
          <xdr:cNvSpPr>
            <a:spLocks noChangeShapeType="1"/>
          </xdr:cNvSpPr>
        </xdr:nvSpPr>
        <xdr:spPr bwMode="auto">
          <a:xfrm>
            <a:off x="186" y="8101"/>
            <a:ext cx="0" cy="4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9" name="Line 320"/>
          <xdr:cNvSpPr>
            <a:spLocks noChangeShapeType="1"/>
          </xdr:cNvSpPr>
        </xdr:nvSpPr>
        <xdr:spPr bwMode="auto">
          <a:xfrm>
            <a:off x="179" y="8207"/>
            <a:ext cx="0" cy="10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0" name="Line 321"/>
          <xdr:cNvSpPr>
            <a:spLocks noChangeShapeType="1"/>
          </xdr:cNvSpPr>
        </xdr:nvSpPr>
        <xdr:spPr bwMode="auto">
          <a:xfrm>
            <a:off x="179" y="8313"/>
            <a:ext cx="9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1" name="Text Box 322"/>
          <xdr:cNvSpPr txBox="1">
            <a:spLocks noChangeArrowheads="1"/>
          </xdr:cNvSpPr>
        </xdr:nvSpPr>
        <xdr:spPr bwMode="auto">
          <a:xfrm>
            <a:off x="466" y="8048"/>
            <a:ext cx="170" cy="45"/>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D3EBED"/>
                </a:solidFill>
              </a14:hiddenFill>
            </a:ext>
          </a:extLst>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Screened using Edinburgh Tool</a:t>
            </a:r>
          </a:p>
          <a:p>
            <a:pPr algn="l" rtl="0">
              <a:lnSpc>
                <a:spcPts val="1000"/>
              </a:lnSpc>
              <a:defRPr sz="1000"/>
            </a:pPr>
            <a:r>
              <a:rPr lang="en-GB" sz="800" b="1" i="0" u="none" strike="noStrike" baseline="0">
                <a:solidFill>
                  <a:srgbClr val="0000FF"/>
                </a:solidFill>
                <a:latin typeface="+mn-lt"/>
                <a:cs typeface="Calibri"/>
              </a:rPr>
              <a:t>340</a:t>
            </a:r>
            <a:endParaRPr lang="en-GB" sz="800" b="0" i="0" u="none" strike="noStrike" baseline="0">
              <a:solidFill>
                <a:srgbClr val="000000"/>
              </a:solidFill>
              <a:latin typeface="+mn-lt"/>
              <a:cs typeface="Calibri"/>
            </a:endParaRPr>
          </a:p>
          <a:p>
            <a:pPr algn="l" rtl="0">
              <a:lnSpc>
                <a:spcPts val="1000"/>
              </a:lnSpc>
              <a:defRPr sz="1000"/>
            </a:pPr>
            <a:endParaRPr lang="en-GB" sz="1000" b="0" i="0" u="none" strike="noStrike" baseline="0">
              <a:solidFill>
                <a:srgbClr val="000000"/>
              </a:solidFill>
              <a:latin typeface="+mn-lt"/>
              <a:cs typeface="Calibri"/>
            </a:endParaRPr>
          </a:p>
        </xdr:txBody>
      </xdr:sp>
      <xdr:sp macro="" textlink="">
        <xdr:nvSpPr>
          <xdr:cNvPr id="232" name="Text Box 323"/>
          <xdr:cNvSpPr txBox="1">
            <a:spLocks noChangeArrowheads="1"/>
          </xdr:cNvSpPr>
        </xdr:nvSpPr>
        <xdr:spPr bwMode="auto">
          <a:xfrm>
            <a:off x="466" y="8109"/>
            <a:ext cx="170" cy="24"/>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D3EBED"/>
                </a:solidFill>
              </a14:hiddenFill>
            </a:ext>
          </a:extLst>
        </xdr:spPr>
        <xdr:txBody>
          <a:bodyPr vertOverflow="clip" wrap="square" lIns="91440" tIns="45720" rIns="91440" bIns="45720" anchor="t" upright="1"/>
          <a:lstStyle/>
          <a:p>
            <a:pPr algn="l" rtl="0">
              <a:lnSpc>
                <a:spcPts val="1000"/>
              </a:lnSpc>
              <a:defRPr sz="1000"/>
            </a:pPr>
            <a:r>
              <a:rPr lang="en-GB" sz="800" b="0" i="0" u="none" strike="noStrike" baseline="0">
                <a:solidFill>
                  <a:srgbClr val="000000"/>
                </a:solidFill>
                <a:latin typeface="+mn-lt"/>
                <a:cs typeface="Calibri"/>
              </a:rPr>
              <a:t>Not Screened </a:t>
            </a:r>
            <a:r>
              <a:rPr lang="en-GB" sz="800" b="1" i="0" u="none" strike="noStrike" baseline="0">
                <a:solidFill>
                  <a:srgbClr val="0000FF"/>
                </a:solidFill>
                <a:latin typeface="+mn-lt"/>
                <a:cs typeface="Calibri"/>
              </a:rPr>
              <a:t>274</a:t>
            </a:r>
            <a:endParaRPr lang="en-GB" sz="800" b="0" i="0" u="none" strike="noStrike" baseline="0">
              <a:solidFill>
                <a:srgbClr val="000000"/>
              </a:solidFill>
              <a:latin typeface="+mn-lt"/>
              <a:cs typeface="Calibri"/>
            </a:endParaRPr>
          </a:p>
          <a:p>
            <a:pPr algn="l" rtl="0">
              <a:lnSpc>
                <a:spcPts val="1000"/>
              </a:lnSpc>
              <a:defRPr sz="1000"/>
            </a:pPr>
            <a:endParaRPr lang="en-GB" sz="1000" b="0" i="0" u="none" strike="noStrike" baseline="0">
              <a:solidFill>
                <a:srgbClr val="000000"/>
              </a:solidFill>
              <a:latin typeface="+mn-lt"/>
              <a:cs typeface="Calibri"/>
            </a:endParaRPr>
          </a:p>
        </xdr:txBody>
      </xdr:sp>
      <xdr:sp macro="" textlink="">
        <xdr:nvSpPr>
          <xdr:cNvPr id="233" name="Line 324"/>
          <xdr:cNvSpPr>
            <a:spLocks noChangeShapeType="1"/>
          </xdr:cNvSpPr>
        </xdr:nvSpPr>
        <xdr:spPr bwMode="auto">
          <a:xfrm flipV="1">
            <a:off x="436" y="8086"/>
            <a:ext cx="23" cy="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Line 325"/>
          <xdr:cNvSpPr>
            <a:spLocks noChangeShapeType="1"/>
          </xdr:cNvSpPr>
        </xdr:nvSpPr>
        <xdr:spPr bwMode="auto">
          <a:xfrm>
            <a:off x="436" y="8109"/>
            <a:ext cx="23" cy="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5" name="Text Box 326"/>
          <xdr:cNvSpPr txBox="1">
            <a:spLocks noChangeArrowheads="1"/>
          </xdr:cNvSpPr>
        </xdr:nvSpPr>
        <xdr:spPr bwMode="auto">
          <a:xfrm>
            <a:off x="459" y="8253"/>
            <a:ext cx="173" cy="46"/>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D3EBED"/>
                </a:solidFill>
              </a14:hiddenFill>
            </a:ext>
          </a:extLst>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Screened using Edinburgh Tool</a:t>
            </a:r>
          </a:p>
          <a:p>
            <a:pPr algn="l" rtl="0">
              <a:lnSpc>
                <a:spcPts val="1000"/>
              </a:lnSpc>
              <a:defRPr sz="1000"/>
            </a:pPr>
            <a:r>
              <a:rPr lang="en-GB" sz="800" b="1" i="0" u="none" strike="noStrike" baseline="0">
                <a:solidFill>
                  <a:srgbClr val="0000FF"/>
                </a:solidFill>
                <a:latin typeface="+mn-lt"/>
                <a:cs typeface="Calibri"/>
              </a:rPr>
              <a:t>233</a:t>
            </a:r>
            <a:endParaRPr lang="en-GB" sz="800" b="0" i="0" u="none" strike="noStrike" baseline="0">
              <a:solidFill>
                <a:srgbClr val="000000"/>
              </a:solidFill>
              <a:latin typeface="+mn-lt"/>
              <a:cs typeface="Calibri"/>
            </a:endParaRPr>
          </a:p>
          <a:p>
            <a:pPr algn="l" rtl="0">
              <a:lnSpc>
                <a:spcPts val="1000"/>
              </a:lnSpc>
              <a:defRPr sz="1000"/>
            </a:pPr>
            <a:endParaRPr lang="en-GB" sz="1000" b="0" i="0" u="none" strike="noStrike" baseline="0">
              <a:solidFill>
                <a:srgbClr val="000000"/>
              </a:solidFill>
              <a:latin typeface="+mn-lt"/>
              <a:cs typeface="Calibri"/>
            </a:endParaRPr>
          </a:p>
        </xdr:txBody>
      </xdr:sp>
      <xdr:sp macro="" textlink="">
        <xdr:nvSpPr>
          <xdr:cNvPr id="236" name="Text Box 327"/>
          <xdr:cNvSpPr txBox="1">
            <a:spLocks noChangeArrowheads="1"/>
          </xdr:cNvSpPr>
        </xdr:nvSpPr>
        <xdr:spPr bwMode="auto">
          <a:xfrm>
            <a:off x="459" y="8313"/>
            <a:ext cx="173" cy="27"/>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D3EBED"/>
                </a:solidFill>
              </a14:hiddenFill>
            </a:ext>
          </a:extLst>
        </xdr:spPr>
        <xdr:txBody>
          <a:bodyPr vertOverflow="clip" wrap="square" lIns="91440" tIns="45720" rIns="91440" bIns="45720" anchor="t" upright="1"/>
          <a:lstStyle/>
          <a:p>
            <a:pPr algn="l" rtl="0">
              <a:lnSpc>
                <a:spcPts val="1000"/>
              </a:lnSpc>
              <a:defRPr sz="1000"/>
            </a:pPr>
            <a:r>
              <a:rPr lang="en-GB" sz="800" b="0" i="0" u="none" strike="noStrike" baseline="0">
                <a:solidFill>
                  <a:srgbClr val="000000"/>
                </a:solidFill>
                <a:latin typeface="+mn-lt"/>
                <a:cs typeface="Calibri"/>
              </a:rPr>
              <a:t>Not Screened </a:t>
            </a:r>
            <a:r>
              <a:rPr lang="en-GB" sz="800" b="1" i="0" u="none" strike="noStrike" baseline="0">
                <a:solidFill>
                  <a:srgbClr val="0000FF"/>
                </a:solidFill>
                <a:latin typeface="+mn-lt"/>
                <a:cs typeface="Calibri"/>
              </a:rPr>
              <a:t>4,201</a:t>
            </a:r>
            <a:endParaRPr lang="en-GB" sz="800" b="0" i="0" u="none" strike="noStrike" baseline="0">
              <a:solidFill>
                <a:srgbClr val="000000"/>
              </a:solidFill>
              <a:latin typeface="+mn-lt"/>
              <a:cs typeface="Calibri"/>
            </a:endParaRPr>
          </a:p>
          <a:p>
            <a:pPr algn="l" rtl="0">
              <a:lnSpc>
                <a:spcPts val="1000"/>
              </a:lnSpc>
              <a:defRPr sz="1000"/>
            </a:pPr>
            <a:endParaRPr lang="en-GB" sz="1000" b="0" i="0" u="none" strike="noStrike" baseline="0">
              <a:solidFill>
                <a:srgbClr val="000000"/>
              </a:solidFill>
              <a:latin typeface="+mn-lt"/>
              <a:cs typeface="Calibri"/>
            </a:endParaRPr>
          </a:p>
        </xdr:txBody>
      </xdr:sp>
      <xdr:sp macro="" textlink="">
        <xdr:nvSpPr>
          <xdr:cNvPr id="237" name="Line 328"/>
          <xdr:cNvSpPr>
            <a:spLocks noChangeShapeType="1"/>
          </xdr:cNvSpPr>
        </xdr:nvSpPr>
        <xdr:spPr bwMode="auto">
          <a:xfrm flipV="1">
            <a:off x="428" y="8290"/>
            <a:ext cx="23" cy="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8" name="Line 329"/>
          <xdr:cNvSpPr>
            <a:spLocks noChangeShapeType="1"/>
          </xdr:cNvSpPr>
        </xdr:nvSpPr>
        <xdr:spPr bwMode="auto">
          <a:xfrm>
            <a:off x="428" y="8313"/>
            <a:ext cx="23" cy="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9" name="Line 330"/>
          <xdr:cNvSpPr>
            <a:spLocks noChangeShapeType="1"/>
          </xdr:cNvSpPr>
        </xdr:nvSpPr>
        <xdr:spPr bwMode="auto">
          <a:xfrm>
            <a:off x="784" y="8033"/>
            <a:ext cx="2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0" name="Text Box 331"/>
          <xdr:cNvSpPr txBox="1">
            <a:spLocks noChangeArrowheads="1"/>
          </xdr:cNvSpPr>
        </xdr:nvSpPr>
        <xdr:spPr bwMode="auto">
          <a:xfrm>
            <a:off x="814" y="8139"/>
            <a:ext cx="121" cy="48"/>
          </a:xfrm>
          <a:prstGeom prst="rect">
            <a:avLst/>
          </a:prstGeom>
          <a:solidFill>
            <a:srgbClr xmlns:mc="http://schemas.openxmlformats.org/markup-compatibility/2006" xmlns:a14="http://schemas.microsoft.com/office/drawing/2010/main" val="FFFF00" mc:Ignorable="a14" a14:legacySpreadsheetColorIndex="13"/>
          </a:solidFill>
          <a:ln w="317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More help requested</a:t>
            </a:r>
          </a:p>
          <a:p>
            <a:pPr algn="l" rtl="0">
              <a:lnSpc>
                <a:spcPts val="1000"/>
              </a:lnSpc>
              <a:defRPr sz="1000"/>
            </a:pPr>
            <a:r>
              <a:rPr lang="en-GB" sz="800" b="1" i="0" u="none" strike="noStrike" baseline="0">
                <a:solidFill>
                  <a:srgbClr val="0000FF"/>
                </a:solidFill>
                <a:latin typeface="+mn-lt"/>
                <a:cs typeface="Calibri"/>
              </a:rPr>
              <a:t>87</a:t>
            </a:r>
            <a:endParaRPr lang="en-GB" sz="800" b="0" i="0" u="none" strike="noStrike" baseline="0">
              <a:solidFill>
                <a:srgbClr val="000000"/>
              </a:solidFill>
              <a:latin typeface="+mn-lt"/>
              <a:cs typeface="Calibri"/>
            </a:endParaRPr>
          </a:p>
          <a:p>
            <a:pPr algn="l" rtl="0">
              <a:lnSpc>
                <a:spcPts val="1000"/>
              </a:lnSpc>
              <a:defRPr sz="1000"/>
            </a:pPr>
            <a:endParaRPr lang="en-GB" sz="800" b="0" i="0" u="none" strike="noStrike" baseline="0">
              <a:solidFill>
                <a:srgbClr val="000000"/>
              </a:solidFill>
              <a:latin typeface="+mn-lt"/>
              <a:cs typeface="Calibri"/>
            </a:endParaRPr>
          </a:p>
        </xdr:txBody>
      </xdr:sp>
      <xdr:sp macro="" textlink="">
        <xdr:nvSpPr>
          <xdr:cNvPr id="241" name="Text Box 332"/>
          <xdr:cNvSpPr txBox="1">
            <a:spLocks noChangeArrowheads="1"/>
          </xdr:cNvSpPr>
        </xdr:nvSpPr>
        <xdr:spPr bwMode="auto">
          <a:xfrm>
            <a:off x="658" y="8003"/>
            <a:ext cx="127" cy="6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D3EBED"/>
                </a:solidFill>
              </a14:hiddenFill>
            </a:ext>
          </a:extLst>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Scored 10 or more on Edinburgh Tool</a:t>
            </a:r>
          </a:p>
          <a:p>
            <a:pPr algn="l" rtl="0">
              <a:lnSpc>
                <a:spcPts val="1100"/>
              </a:lnSpc>
              <a:defRPr sz="1000"/>
            </a:pPr>
            <a:r>
              <a:rPr lang="en-GB" sz="800" b="1" i="0" u="none" strike="noStrike" baseline="0">
                <a:solidFill>
                  <a:srgbClr val="0000FF"/>
                </a:solidFill>
                <a:latin typeface="+mn-lt"/>
                <a:cs typeface="Calibri"/>
              </a:rPr>
              <a:t>243</a:t>
            </a:r>
            <a:endParaRPr lang="en-GB" sz="800" b="0" i="0" u="none" strike="noStrike" baseline="0">
              <a:solidFill>
                <a:srgbClr val="000000"/>
              </a:solidFill>
              <a:latin typeface="+mn-lt"/>
              <a:cs typeface="Calibri"/>
            </a:endParaRPr>
          </a:p>
          <a:p>
            <a:pPr algn="l" rtl="0">
              <a:lnSpc>
                <a:spcPts val="1100"/>
              </a:lnSpc>
              <a:defRPr sz="1000"/>
            </a:pPr>
            <a:endParaRPr lang="en-GB" sz="800" b="0" i="0" u="none" strike="noStrike" baseline="0">
              <a:solidFill>
                <a:srgbClr val="000000"/>
              </a:solidFill>
              <a:latin typeface="+mn-lt"/>
              <a:cs typeface="Calibri"/>
            </a:endParaRPr>
          </a:p>
        </xdr:txBody>
      </xdr:sp>
      <xdr:sp macro="" textlink="">
        <xdr:nvSpPr>
          <xdr:cNvPr id="242" name="Text Box 333"/>
          <xdr:cNvSpPr txBox="1">
            <a:spLocks noChangeArrowheads="1"/>
          </xdr:cNvSpPr>
        </xdr:nvSpPr>
        <xdr:spPr bwMode="auto">
          <a:xfrm>
            <a:off x="658" y="8071"/>
            <a:ext cx="127" cy="62"/>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D3EBED"/>
                </a:solidFill>
              </a14:hiddenFill>
            </a:ext>
          </a:extLst>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Less than 10 on Edinburgh Tool</a:t>
            </a:r>
          </a:p>
          <a:p>
            <a:pPr algn="l" rtl="0">
              <a:lnSpc>
                <a:spcPts val="1100"/>
              </a:lnSpc>
              <a:defRPr sz="1000"/>
            </a:pPr>
            <a:r>
              <a:rPr lang="en-GB" sz="800" b="1" i="0" u="none" strike="noStrike" baseline="0">
                <a:solidFill>
                  <a:srgbClr val="0000FF"/>
                </a:solidFill>
                <a:latin typeface="+mn-lt"/>
                <a:cs typeface="Calibri"/>
              </a:rPr>
              <a:t>97</a:t>
            </a:r>
            <a:endParaRPr lang="en-GB" sz="800" b="0" i="0" u="none" strike="noStrike" baseline="0">
              <a:solidFill>
                <a:srgbClr val="000000"/>
              </a:solidFill>
              <a:latin typeface="+mn-lt"/>
              <a:cs typeface="Calibri"/>
            </a:endParaRPr>
          </a:p>
          <a:p>
            <a:pPr algn="l" rtl="0">
              <a:lnSpc>
                <a:spcPts val="1100"/>
              </a:lnSpc>
              <a:defRPr sz="1000"/>
            </a:pPr>
            <a:endParaRPr lang="en-GB" sz="800" b="0" i="0" u="none" strike="noStrike" baseline="0">
              <a:solidFill>
                <a:srgbClr val="000000"/>
              </a:solidFill>
              <a:latin typeface="+mn-lt"/>
              <a:cs typeface="Calibri"/>
            </a:endParaRPr>
          </a:p>
        </xdr:txBody>
      </xdr:sp>
      <xdr:sp macro="" textlink="">
        <xdr:nvSpPr>
          <xdr:cNvPr id="243" name="Line 334"/>
          <xdr:cNvSpPr>
            <a:spLocks noChangeShapeType="1"/>
          </xdr:cNvSpPr>
        </xdr:nvSpPr>
        <xdr:spPr bwMode="auto">
          <a:xfrm flipV="1">
            <a:off x="632" y="8056"/>
            <a:ext cx="18" cy="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4" name="Line 335"/>
          <xdr:cNvSpPr>
            <a:spLocks noChangeShapeType="1"/>
          </xdr:cNvSpPr>
        </xdr:nvSpPr>
        <xdr:spPr bwMode="auto">
          <a:xfrm>
            <a:off x="632" y="8079"/>
            <a:ext cx="18" cy="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5" name="Text Box 336"/>
          <xdr:cNvSpPr txBox="1">
            <a:spLocks noChangeArrowheads="1"/>
          </xdr:cNvSpPr>
        </xdr:nvSpPr>
        <xdr:spPr bwMode="auto">
          <a:xfrm>
            <a:off x="810" y="8003"/>
            <a:ext cx="125" cy="48"/>
          </a:xfrm>
          <a:prstGeom prst="rect">
            <a:avLst/>
          </a:prstGeom>
          <a:solidFill>
            <a:srgbClr xmlns:mc="http://schemas.openxmlformats.org/markup-compatibility/2006" xmlns:a14="http://schemas.microsoft.com/office/drawing/2010/main" val="FFFF00" mc:Ignorable="a14" a14:legacySpreadsheetColorIndex="13"/>
          </a:solidFill>
          <a:ln w="31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More help requested</a:t>
            </a:r>
          </a:p>
          <a:p>
            <a:pPr algn="l" rtl="0">
              <a:lnSpc>
                <a:spcPts val="1000"/>
              </a:lnSpc>
              <a:defRPr sz="1000"/>
            </a:pPr>
            <a:r>
              <a:rPr lang="en-GB" sz="800" b="1" i="0" u="none" strike="noStrike" baseline="0">
                <a:solidFill>
                  <a:srgbClr val="0000FF"/>
                </a:solidFill>
                <a:latin typeface="+mn-lt"/>
                <a:cs typeface="Calibri"/>
              </a:rPr>
              <a:t>148</a:t>
            </a:r>
            <a:endParaRPr lang="en-GB" sz="800" b="0" i="0" u="none" strike="noStrike" baseline="0">
              <a:solidFill>
                <a:srgbClr val="000000"/>
              </a:solidFill>
              <a:latin typeface="+mn-lt"/>
              <a:cs typeface="Calibri"/>
            </a:endParaRPr>
          </a:p>
          <a:p>
            <a:pPr algn="l" rtl="0">
              <a:lnSpc>
                <a:spcPts val="1000"/>
              </a:lnSpc>
              <a:defRPr sz="1000"/>
            </a:pPr>
            <a:endParaRPr lang="en-GB" sz="1000" b="0" i="0" u="none" strike="noStrike" baseline="0">
              <a:solidFill>
                <a:srgbClr val="000000"/>
              </a:solidFill>
              <a:latin typeface="+mn-lt"/>
              <a:cs typeface="Calibri"/>
            </a:endParaRPr>
          </a:p>
        </xdr:txBody>
      </xdr:sp>
      <xdr:sp macro="" textlink="">
        <xdr:nvSpPr>
          <xdr:cNvPr id="246" name="Text Box 337"/>
          <xdr:cNvSpPr txBox="1">
            <a:spLocks noChangeArrowheads="1"/>
          </xdr:cNvSpPr>
        </xdr:nvSpPr>
        <xdr:spPr bwMode="auto">
          <a:xfrm>
            <a:off x="810" y="8071"/>
            <a:ext cx="125" cy="47"/>
          </a:xfrm>
          <a:prstGeom prst="rect">
            <a:avLst/>
          </a:prstGeom>
          <a:solidFill>
            <a:srgbClr xmlns:mc="http://schemas.openxmlformats.org/markup-compatibility/2006" xmlns:a14="http://schemas.microsoft.com/office/drawing/2010/main" val="FFFF00" mc:Ignorable="a14" a14:legacySpreadsheetColorIndex="13"/>
          </a:solidFill>
          <a:ln w="31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More help requested</a:t>
            </a:r>
          </a:p>
          <a:p>
            <a:pPr algn="l" rtl="0">
              <a:lnSpc>
                <a:spcPts val="1000"/>
              </a:lnSpc>
              <a:defRPr sz="1000"/>
            </a:pPr>
            <a:r>
              <a:rPr lang="en-GB" sz="800" b="1" i="0" u="none" strike="noStrike" baseline="0">
                <a:solidFill>
                  <a:srgbClr val="0000FF"/>
                </a:solidFill>
                <a:latin typeface="+mn-lt"/>
                <a:cs typeface="Calibri"/>
              </a:rPr>
              <a:t>29</a:t>
            </a:r>
            <a:endParaRPr lang="en-GB" sz="800" b="0" i="0" u="none" strike="noStrike" baseline="0">
              <a:solidFill>
                <a:srgbClr val="000000"/>
              </a:solidFill>
              <a:latin typeface="+mn-lt"/>
              <a:cs typeface="Calibri"/>
            </a:endParaRPr>
          </a:p>
          <a:p>
            <a:pPr algn="l" rtl="0">
              <a:lnSpc>
                <a:spcPts val="1000"/>
              </a:lnSpc>
              <a:defRPr sz="1000"/>
            </a:pPr>
            <a:endParaRPr lang="en-GB" sz="800" b="0" i="0" u="none" strike="noStrike" baseline="0">
              <a:solidFill>
                <a:srgbClr val="000000"/>
              </a:solidFill>
              <a:latin typeface="+mn-lt"/>
              <a:cs typeface="Calibri"/>
            </a:endParaRPr>
          </a:p>
        </xdr:txBody>
      </xdr:sp>
      <xdr:sp macro="" textlink="">
        <xdr:nvSpPr>
          <xdr:cNvPr id="247" name="Line 338"/>
          <xdr:cNvSpPr>
            <a:spLocks noChangeShapeType="1"/>
          </xdr:cNvSpPr>
        </xdr:nvSpPr>
        <xdr:spPr bwMode="auto">
          <a:xfrm>
            <a:off x="783" y="8101"/>
            <a:ext cx="2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8" name="Line 339"/>
          <xdr:cNvSpPr>
            <a:spLocks noChangeShapeType="1"/>
          </xdr:cNvSpPr>
        </xdr:nvSpPr>
        <xdr:spPr bwMode="auto">
          <a:xfrm>
            <a:off x="632" y="8132"/>
            <a:ext cx="178" cy="3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9" name="Text Box 340"/>
          <xdr:cNvSpPr txBox="1">
            <a:spLocks noChangeArrowheads="1"/>
          </xdr:cNvSpPr>
        </xdr:nvSpPr>
        <xdr:spPr bwMode="auto">
          <a:xfrm>
            <a:off x="658" y="8207"/>
            <a:ext cx="127" cy="63"/>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D3EBED"/>
                </a:solidFill>
              </a14:hiddenFill>
            </a:ext>
          </a:extLst>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Scored 10 or more on Edinburgh Tool</a:t>
            </a:r>
          </a:p>
          <a:p>
            <a:pPr algn="l" rtl="0">
              <a:lnSpc>
                <a:spcPts val="1100"/>
              </a:lnSpc>
              <a:defRPr sz="1000"/>
            </a:pPr>
            <a:r>
              <a:rPr lang="en-GB" sz="800" b="1" i="0" u="none" strike="noStrike" baseline="0">
                <a:solidFill>
                  <a:srgbClr val="0000FF"/>
                </a:solidFill>
                <a:latin typeface="+mn-lt"/>
                <a:cs typeface="Calibri"/>
              </a:rPr>
              <a:t>243</a:t>
            </a:r>
            <a:endParaRPr lang="en-GB" sz="800" b="0" i="0" u="none" strike="noStrike" baseline="0">
              <a:solidFill>
                <a:srgbClr val="000000"/>
              </a:solidFill>
              <a:latin typeface="+mn-lt"/>
              <a:cs typeface="Calibri"/>
            </a:endParaRPr>
          </a:p>
          <a:p>
            <a:pPr algn="l" rtl="0">
              <a:lnSpc>
                <a:spcPts val="1100"/>
              </a:lnSpc>
              <a:defRPr sz="1000"/>
            </a:pPr>
            <a:endParaRPr lang="en-GB" sz="800" b="0" i="0" u="none" strike="noStrike" baseline="0">
              <a:solidFill>
                <a:srgbClr val="000000"/>
              </a:solidFill>
              <a:latin typeface="+mn-lt"/>
              <a:cs typeface="Calibri"/>
            </a:endParaRPr>
          </a:p>
        </xdr:txBody>
      </xdr:sp>
      <xdr:sp macro="" textlink="">
        <xdr:nvSpPr>
          <xdr:cNvPr id="250" name="Text Box 341"/>
          <xdr:cNvSpPr txBox="1">
            <a:spLocks noChangeArrowheads="1"/>
          </xdr:cNvSpPr>
        </xdr:nvSpPr>
        <xdr:spPr bwMode="auto">
          <a:xfrm>
            <a:off x="658" y="8275"/>
            <a:ext cx="127" cy="59"/>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D3EBED"/>
                </a:solidFill>
              </a14:hiddenFill>
            </a:ext>
          </a:extLst>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Less than 10 on Edinburgh Tool</a:t>
            </a:r>
          </a:p>
          <a:p>
            <a:pPr algn="l" rtl="0">
              <a:lnSpc>
                <a:spcPts val="1100"/>
              </a:lnSpc>
              <a:defRPr sz="1000"/>
            </a:pPr>
            <a:r>
              <a:rPr lang="en-GB" sz="800" b="1" i="0" u="none" strike="noStrike" baseline="0">
                <a:solidFill>
                  <a:srgbClr val="0000FF"/>
                </a:solidFill>
                <a:latin typeface="+mn-lt"/>
                <a:cs typeface="Calibri"/>
              </a:rPr>
              <a:t>97</a:t>
            </a:r>
            <a:endParaRPr lang="en-GB" sz="800" b="0" i="0" u="none" strike="noStrike" baseline="0">
              <a:solidFill>
                <a:srgbClr val="000000"/>
              </a:solidFill>
              <a:latin typeface="+mn-lt"/>
              <a:cs typeface="Calibri"/>
            </a:endParaRPr>
          </a:p>
          <a:p>
            <a:pPr algn="l" rtl="0">
              <a:lnSpc>
                <a:spcPts val="1100"/>
              </a:lnSpc>
              <a:defRPr sz="1000"/>
            </a:pPr>
            <a:endParaRPr lang="en-GB" sz="800" b="0" i="0" u="none" strike="noStrike" baseline="0">
              <a:solidFill>
                <a:srgbClr val="000000"/>
              </a:solidFill>
              <a:latin typeface="+mn-lt"/>
              <a:cs typeface="Calibri"/>
            </a:endParaRPr>
          </a:p>
        </xdr:txBody>
      </xdr:sp>
      <xdr:sp macro="" textlink="">
        <xdr:nvSpPr>
          <xdr:cNvPr id="251" name="Line 342"/>
          <xdr:cNvSpPr>
            <a:spLocks noChangeShapeType="1"/>
          </xdr:cNvSpPr>
        </xdr:nvSpPr>
        <xdr:spPr bwMode="auto">
          <a:xfrm flipV="1">
            <a:off x="632" y="8253"/>
            <a:ext cx="18" cy="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52" name="Line 343"/>
          <xdr:cNvSpPr>
            <a:spLocks noChangeShapeType="1"/>
          </xdr:cNvSpPr>
        </xdr:nvSpPr>
        <xdr:spPr bwMode="auto">
          <a:xfrm>
            <a:off x="632" y="8283"/>
            <a:ext cx="18" cy="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53" name="Text Box 344"/>
          <xdr:cNvSpPr txBox="1">
            <a:spLocks noChangeArrowheads="1"/>
          </xdr:cNvSpPr>
        </xdr:nvSpPr>
        <xdr:spPr bwMode="auto">
          <a:xfrm>
            <a:off x="810" y="8207"/>
            <a:ext cx="125" cy="48"/>
          </a:xfrm>
          <a:prstGeom prst="rect">
            <a:avLst/>
          </a:prstGeom>
          <a:solidFill>
            <a:srgbClr xmlns:mc="http://schemas.openxmlformats.org/markup-compatibility/2006" xmlns:a14="http://schemas.microsoft.com/office/drawing/2010/main" val="FFFF00" mc:Ignorable="a14" a14:legacySpreadsheetColorIndex="13"/>
          </a:solidFill>
          <a:ln w="31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More help requested</a:t>
            </a:r>
          </a:p>
          <a:p>
            <a:pPr algn="l" rtl="0">
              <a:lnSpc>
                <a:spcPts val="1000"/>
              </a:lnSpc>
              <a:defRPr sz="1000"/>
            </a:pPr>
            <a:r>
              <a:rPr lang="en-GB" sz="800" b="1" i="0" u="none" strike="noStrike" baseline="0">
                <a:solidFill>
                  <a:srgbClr val="0000FF"/>
                </a:solidFill>
                <a:latin typeface="+mn-lt"/>
                <a:cs typeface="Calibri"/>
              </a:rPr>
              <a:t>2</a:t>
            </a:r>
            <a:endParaRPr lang="en-GB" sz="800" b="0" i="0" u="none" strike="noStrike" baseline="0">
              <a:solidFill>
                <a:srgbClr val="000000"/>
              </a:solidFill>
              <a:latin typeface="+mn-lt"/>
              <a:cs typeface="Calibri"/>
            </a:endParaRPr>
          </a:p>
          <a:p>
            <a:pPr algn="l" rtl="0">
              <a:lnSpc>
                <a:spcPts val="1000"/>
              </a:lnSpc>
              <a:defRPr sz="1000"/>
            </a:pPr>
            <a:endParaRPr lang="en-GB" sz="800" b="0" i="0" u="none" strike="noStrike" baseline="0">
              <a:solidFill>
                <a:srgbClr val="000000"/>
              </a:solidFill>
              <a:latin typeface="+mn-lt"/>
              <a:cs typeface="Calibri"/>
            </a:endParaRPr>
          </a:p>
        </xdr:txBody>
      </xdr:sp>
      <xdr:sp macro="" textlink="">
        <xdr:nvSpPr>
          <xdr:cNvPr id="254" name="Text Box 345"/>
          <xdr:cNvSpPr txBox="1">
            <a:spLocks noChangeArrowheads="1"/>
          </xdr:cNvSpPr>
        </xdr:nvSpPr>
        <xdr:spPr bwMode="auto">
          <a:xfrm>
            <a:off x="810" y="8275"/>
            <a:ext cx="125" cy="47"/>
          </a:xfrm>
          <a:prstGeom prst="rect">
            <a:avLst/>
          </a:prstGeom>
          <a:solidFill>
            <a:srgbClr xmlns:mc="http://schemas.openxmlformats.org/markup-compatibility/2006" xmlns:a14="http://schemas.microsoft.com/office/drawing/2010/main" val="FFFF00" mc:Ignorable="a14" a14:legacySpreadsheetColorIndex="13"/>
          </a:solidFill>
          <a:ln w="31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More help requested</a:t>
            </a:r>
            <a:endParaRPr lang="en-GB" sz="800" b="0" i="0" u="none" strike="noStrike" baseline="0">
              <a:solidFill>
                <a:srgbClr val="0000FF"/>
              </a:solidFill>
              <a:latin typeface="+mn-lt"/>
              <a:cs typeface="Calibri"/>
            </a:endParaRPr>
          </a:p>
          <a:p>
            <a:pPr algn="l" rtl="0">
              <a:lnSpc>
                <a:spcPts val="1000"/>
              </a:lnSpc>
              <a:defRPr sz="1000"/>
            </a:pPr>
            <a:r>
              <a:rPr lang="en-GB" sz="800" b="1" i="0" u="none" strike="noStrike" baseline="0">
                <a:solidFill>
                  <a:srgbClr val="0000FF"/>
                </a:solidFill>
                <a:latin typeface="+mn-lt"/>
                <a:cs typeface="Calibri"/>
              </a:rPr>
              <a:t>2</a:t>
            </a:r>
            <a:endParaRPr lang="en-GB" sz="800" b="0" i="0" u="none" strike="noStrike" baseline="0">
              <a:solidFill>
                <a:srgbClr val="000000"/>
              </a:solidFill>
              <a:latin typeface="+mn-lt"/>
              <a:cs typeface="Calibri"/>
            </a:endParaRPr>
          </a:p>
          <a:p>
            <a:pPr algn="l" rtl="0">
              <a:lnSpc>
                <a:spcPts val="1000"/>
              </a:lnSpc>
              <a:defRPr sz="1000"/>
            </a:pPr>
            <a:endParaRPr lang="en-GB" sz="800" b="0" i="0" u="none" strike="noStrike" baseline="0">
              <a:solidFill>
                <a:srgbClr val="000000"/>
              </a:solidFill>
              <a:latin typeface="+mn-lt"/>
              <a:cs typeface="Calibri"/>
            </a:endParaRPr>
          </a:p>
        </xdr:txBody>
      </xdr:sp>
      <xdr:sp macro="" textlink="">
        <xdr:nvSpPr>
          <xdr:cNvPr id="255" name="Line 346"/>
          <xdr:cNvSpPr>
            <a:spLocks noChangeShapeType="1"/>
          </xdr:cNvSpPr>
        </xdr:nvSpPr>
        <xdr:spPr bwMode="auto">
          <a:xfrm>
            <a:off x="783" y="8305"/>
            <a:ext cx="2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56" name="Line 347"/>
          <xdr:cNvSpPr>
            <a:spLocks noChangeShapeType="1"/>
          </xdr:cNvSpPr>
        </xdr:nvSpPr>
        <xdr:spPr bwMode="auto">
          <a:xfrm>
            <a:off x="632" y="8336"/>
            <a:ext cx="181" cy="3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57" name="Text Box 348"/>
          <xdr:cNvSpPr txBox="1">
            <a:spLocks noChangeArrowheads="1"/>
          </xdr:cNvSpPr>
        </xdr:nvSpPr>
        <xdr:spPr bwMode="auto">
          <a:xfrm>
            <a:off x="814" y="8343"/>
            <a:ext cx="120" cy="44"/>
          </a:xfrm>
          <a:prstGeom prst="rect">
            <a:avLst/>
          </a:prstGeom>
          <a:solidFill>
            <a:srgbClr xmlns:mc="http://schemas.openxmlformats.org/markup-compatibility/2006" xmlns:a14="http://schemas.microsoft.com/office/drawing/2010/main" val="FFFF00" mc:Ignorable="a14" a14:legacySpreadsheetColorIndex="13"/>
          </a:solidFill>
          <a:ln w="31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More help requested</a:t>
            </a:r>
          </a:p>
          <a:p>
            <a:pPr algn="l" rtl="0">
              <a:lnSpc>
                <a:spcPts val="1000"/>
              </a:lnSpc>
              <a:defRPr sz="1000"/>
            </a:pPr>
            <a:r>
              <a:rPr lang="en-GB" sz="800" b="1" i="0" u="none" strike="noStrike" baseline="0">
                <a:solidFill>
                  <a:srgbClr val="0000FF"/>
                </a:solidFill>
                <a:latin typeface="+mn-lt"/>
                <a:cs typeface="Calibri"/>
              </a:rPr>
              <a:t>5</a:t>
            </a:r>
            <a:endParaRPr lang="en-GB" sz="800" b="0" i="0" u="none" strike="noStrike" baseline="0">
              <a:solidFill>
                <a:srgbClr val="000000"/>
              </a:solidFill>
              <a:latin typeface="+mn-lt"/>
              <a:cs typeface="Calibri"/>
            </a:endParaRPr>
          </a:p>
          <a:p>
            <a:pPr algn="l" rtl="0">
              <a:lnSpc>
                <a:spcPts val="1000"/>
              </a:lnSpc>
              <a:defRPr sz="1000"/>
            </a:pPr>
            <a:endParaRPr lang="en-GB" sz="800" b="0" i="0" u="none" strike="noStrike" baseline="0">
              <a:solidFill>
                <a:srgbClr val="000000"/>
              </a:solidFill>
              <a:latin typeface="+mn-lt"/>
              <a:cs typeface="Calibri"/>
            </a:endParaRPr>
          </a:p>
        </xdr:txBody>
      </xdr:sp>
      <xdr:sp macro="" textlink="">
        <xdr:nvSpPr>
          <xdr:cNvPr id="258" name="Line 349"/>
          <xdr:cNvSpPr>
            <a:spLocks noChangeShapeType="1"/>
          </xdr:cNvSpPr>
        </xdr:nvSpPr>
        <xdr:spPr bwMode="auto">
          <a:xfrm>
            <a:off x="784" y="8230"/>
            <a:ext cx="2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59" name="Text Box 350"/>
          <xdr:cNvSpPr txBox="1">
            <a:spLocks noChangeArrowheads="1"/>
          </xdr:cNvSpPr>
        </xdr:nvSpPr>
        <xdr:spPr bwMode="auto">
          <a:xfrm>
            <a:off x="121" y="7911"/>
            <a:ext cx="121" cy="66"/>
          </a:xfrm>
          <a:prstGeom prst="rect">
            <a:avLst/>
          </a:prstGeom>
          <a:solidFill>
            <a:srgbClr val="DDDDDD"/>
          </a:solidFill>
          <a:ln w="9525">
            <a:solidFill>
              <a:srgbClr val="000000"/>
            </a:solidFill>
            <a:miter lim="800000"/>
            <a:headEnd/>
            <a:tailEnd/>
          </a:ln>
        </xdr:spPr>
        <xdr:txBody>
          <a:bodyPr vertOverflow="clip" wrap="square" lIns="91440" tIns="45720" rIns="91440" bIns="45720" anchor="t" upright="1"/>
          <a:lstStyle/>
          <a:p>
            <a:pPr algn="l" rtl="0">
              <a:lnSpc>
                <a:spcPts val="1100"/>
              </a:lnSpc>
              <a:defRPr sz="1000"/>
            </a:pPr>
            <a:r>
              <a:rPr lang="en-GB" sz="1100" b="1" i="0" u="none" strike="noStrike" baseline="0">
                <a:solidFill>
                  <a:srgbClr val="0000FF"/>
                </a:solidFill>
                <a:latin typeface="+mn-lt"/>
                <a:cs typeface="Calibri"/>
              </a:rPr>
              <a:t>STEP 1</a:t>
            </a:r>
            <a:r>
              <a:rPr lang="en-GB" sz="1100" b="0" i="0" u="none" strike="noStrike" baseline="0">
                <a:solidFill>
                  <a:srgbClr val="0000FF"/>
                </a:solidFill>
                <a:latin typeface="+mn-lt"/>
                <a:cs typeface="Calibri"/>
              </a:rPr>
              <a:t> </a:t>
            </a:r>
          </a:p>
          <a:p>
            <a:pPr algn="l" rtl="0">
              <a:lnSpc>
                <a:spcPts val="1200"/>
              </a:lnSpc>
              <a:defRPr sz="1000"/>
            </a:pPr>
            <a:r>
              <a:rPr lang="en-GB" sz="1100" b="0" i="0" u="none" strike="noStrike" baseline="0">
                <a:solidFill>
                  <a:srgbClr val="000000"/>
                </a:solidFill>
                <a:latin typeface="+mn-lt"/>
                <a:cs typeface="Calibri"/>
              </a:rPr>
              <a:t>Women initially screened using the Whooley Tool.</a:t>
            </a:r>
            <a:endParaRPr lang="en-GB" sz="1200" b="0" i="0" u="none" strike="noStrike" baseline="0">
              <a:solidFill>
                <a:srgbClr val="0000FF"/>
              </a:solidFill>
              <a:latin typeface="+mn-lt"/>
              <a:cs typeface="Calibri"/>
            </a:endParaRPr>
          </a:p>
          <a:p>
            <a:pPr algn="l" rtl="0">
              <a:lnSpc>
                <a:spcPts val="1100"/>
              </a:lnSpc>
              <a:defRPr sz="1000"/>
            </a:pPr>
            <a:endParaRPr lang="en-GB" sz="1200" b="0" i="0" u="none" strike="noStrike" baseline="0">
              <a:solidFill>
                <a:srgbClr val="0000FF"/>
              </a:solidFill>
              <a:latin typeface="+mn-lt"/>
              <a:cs typeface="Calibri"/>
            </a:endParaRPr>
          </a:p>
        </xdr:txBody>
      </xdr:sp>
      <xdr:sp macro="" textlink="">
        <xdr:nvSpPr>
          <xdr:cNvPr id="260" name="Text Box 351"/>
          <xdr:cNvSpPr txBox="1">
            <a:spLocks noChangeArrowheads="1"/>
          </xdr:cNvSpPr>
        </xdr:nvSpPr>
        <xdr:spPr bwMode="auto">
          <a:xfrm>
            <a:off x="283" y="7910"/>
            <a:ext cx="340" cy="66"/>
          </a:xfrm>
          <a:prstGeom prst="rect">
            <a:avLst/>
          </a:prstGeom>
          <a:solidFill>
            <a:srgbClr val="DDDDDD"/>
          </a:solidFill>
          <a:ln w="9525">
            <a:solidFill>
              <a:srgbClr val="000000"/>
            </a:solidFill>
            <a:miter lim="800000"/>
            <a:headEnd/>
            <a:tailEnd/>
          </a:ln>
        </xdr:spPr>
        <xdr:txBody>
          <a:bodyPr vertOverflow="clip" wrap="square" lIns="91440" tIns="45720" rIns="91440" bIns="45720" anchor="t" upright="1"/>
          <a:lstStyle/>
          <a:p>
            <a:pPr algn="l" rtl="0">
              <a:defRPr sz="1000"/>
            </a:pPr>
            <a:r>
              <a:rPr lang="en-GB" sz="1100" b="1" i="0" u="none" strike="noStrike" baseline="0">
                <a:solidFill>
                  <a:srgbClr val="0000FF"/>
                </a:solidFill>
                <a:latin typeface="+mn-lt"/>
                <a:cs typeface="Calibri"/>
              </a:rPr>
              <a:t>STEP 2</a:t>
            </a:r>
          </a:p>
          <a:p>
            <a:pPr algn="l" rtl="0">
              <a:defRPr sz="1000"/>
            </a:pPr>
            <a:r>
              <a:rPr lang="en-GB" sz="1100" b="0" i="0" u="none" strike="noStrike" baseline="0">
                <a:solidFill>
                  <a:srgbClr val="000000"/>
                </a:solidFill>
                <a:latin typeface="+mn-lt"/>
                <a:cs typeface="Calibri"/>
              </a:rPr>
              <a:t>Following Whooley tool, women who have answered yes to either Q5 or Q6 offered to be screened using the Edinburgh Post Natal Depression Scale.</a:t>
            </a:r>
            <a:endParaRPr lang="en-GB" sz="1200" b="0" i="0" u="none" strike="noStrike" baseline="0">
              <a:solidFill>
                <a:srgbClr val="0000FF"/>
              </a:solidFill>
              <a:latin typeface="+mn-lt"/>
              <a:cs typeface="Calibri"/>
            </a:endParaRPr>
          </a:p>
          <a:p>
            <a:pPr algn="l" rtl="0">
              <a:lnSpc>
                <a:spcPts val="1400"/>
              </a:lnSpc>
              <a:defRPr sz="1000"/>
            </a:pPr>
            <a:endParaRPr lang="en-GB" sz="1200" b="0" i="0" u="none" strike="noStrike" baseline="0">
              <a:solidFill>
                <a:srgbClr val="0000FF"/>
              </a:solidFill>
              <a:latin typeface="+mn-lt"/>
              <a:cs typeface="Calibri"/>
            </a:endParaRPr>
          </a:p>
        </xdr:txBody>
      </xdr:sp>
    </xdr:grpSp>
    <xdr:clientData/>
  </xdr:twoCellAnchor>
  <xdr:twoCellAnchor editAs="oneCell">
    <xdr:from>
      <xdr:col>2</xdr:col>
      <xdr:colOff>514350</xdr:colOff>
      <xdr:row>375</xdr:row>
      <xdr:rowOff>16668</xdr:rowOff>
    </xdr:from>
    <xdr:to>
      <xdr:col>20</xdr:col>
      <xdr:colOff>364972</xdr:colOff>
      <xdr:row>384</xdr:row>
      <xdr:rowOff>45244</xdr:rowOff>
    </xdr:to>
    <xdr:sp macro="" textlink="">
      <xdr:nvSpPr>
        <xdr:cNvPr id="261" name="Rectangle 260"/>
        <xdr:cNvSpPr/>
      </xdr:nvSpPr>
      <xdr:spPr>
        <a:xfrm>
          <a:off x="728663" y="68799074"/>
          <a:ext cx="9697090" cy="1766888"/>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r>
            <a:rPr lang="en-GB" sz="1100">
              <a:effectLst/>
            </a:rPr>
            <a:t>The diagram below shows how women are currently being screened and identified for support via the </a:t>
          </a:r>
          <a:r>
            <a:rPr lang="en-GB" sz="1100" baseline="0">
              <a:effectLst/>
            </a:rPr>
            <a:t> 6 week </a:t>
          </a:r>
          <a:r>
            <a:rPr lang="en-GB" sz="1100">
              <a:effectLst/>
            </a:rPr>
            <a:t>check. The figures in blue represent the number of women at each stage of the process. Of the 5,104 women with recorded information, 5,048 had been screened using the Whooley questionnaire. The data showed that various paths had been followed with the screening tools, some women had no initial screening data but then had been assessed using the Edinburgh scale, some had identified using the Whooley but then not assessed using the Edinburgh tool.</a:t>
          </a:r>
        </a:p>
        <a:p>
          <a:endParaRPr lang="en-GB" sz="1100">
            <a:effectLst/>
          </a:endParaRPr>
        </a:p>
        <a:p>
          <a:r>
            <a:rPr lang="en-GB" sz="1100">
              <a:effectLst/>
            </a:rPr>
            <a:t>The data reflect the fact that the process by which women are identified as having, or being at risk of having, post natal depression is inconsistent across West Sussex. The information below relates to 5,100 women, this is compared to approximately 9,000 births.</a:t>
          </a:r>
        </a:p>
        <a:p>
          <a:endParaRPr lang="en-GB" sz="1100">
            <a:effectLst/>
          </a:endParaRPr>
        </a:p>
        <a:p>
          <a:r>
            <a:rPr lang="en-GB" sz="1100">
              <a:effectLst/>
            </a:rPr>
            <a:t>The diagram below shows that,of the women where the Woolley tool was used, 273 women requested more help.</a:t>
          </a:r>
        </a:p>
      </xdr:txBody>
    </xdr:sp>
    <xdr:clientData/>
  </xdr:twoCellAnchor>
  <xdr:twoCellAnchor editAs="oneCell">
    <xdr:from>
      <xdr:col>2</xdr:col>
      <xdr:colOff>0</xdr:colOff>
      <xdr:row>472</xdr:row>
      <xdr:rowOff>0</xdr:rowOff>
    </xdr:from>
    <xdr:to>
      <xdr:col>22</xdr:col>
      <xdr:colOff>4883</xdr:colOff>
      <xdr:row>473</xdr:row>
      <xdr:rowOff>113477</xdr:rowOff>
    </xdr:to>
    <xdr:grpSp>
      <xdr:nvGrpSpPr>
        <xdr:cNvPr id="262" name="Group 261"/>
        <xdr:cNvGrpSpPr/>
      </xdr:nvGrpSpPr>
      <xdr:grpSpPr>
        <a:xfrm>
          <a:off x="209550" y="94373700"/>
          <a:ext cx="10596683" cy="303977"/>
          <a:chOff x="219752" y="16256265"/>
          <a:chExt cx="10659783" cy="299214"/>
        </a:xfrm>
      </xdr:grpSpPr>
      <xdr:sp macro="" textlink="">
        <xdr:nvSpPr>
          <xdr:cNvPr id="263" name="Rectangle 262"/>
          <xdr:cNvSpPr/>
        </xdr:nvSpPr>
        <xdr:spPr>
          <a:xfrm>
            <a:off x="219752" y="16256265"/>
            <a:ext cx="10659783"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Increasing uptake</a:t>
            </a:r>
            <a:r>
              <a:rPr lang="en-GB" sz="1100" b="1" baseline="0"/>
              <a:t> of smoking cessation services: Maternal Smoking</a:t>
            </a:r>
          </a:p>
          <a:p>
            <a:pPr algn="l"/>
            <a:endParaRPr lang="en-GB" sz="1100" b="1"/>
          </a:p>
        </xdr:txBody>
      </xdr:sp>
      <xdr:sp macro="" textlink="">
        <xdr:nvSpPr>
          <xdr:cNvPr id="264" name="TextBox 263">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466725</xdr:colOff>
      <xdr:row>475</xdr:row>
      <xdr:rowOff>1</xdr:rowOff>
    </xdr:from>
    <xdr:to>
      <xdr:col>20</xdr:col>
      <xdr:colOff>323962</xdr:colOff>
      <xdr:row>486</xdr:row>
      <xdr:rowOff>180975</xdr:rowOff>
    </xdr:to>
    <xdr:sp macro="" textlink="">
      <xdr:nvSpPr>
        <xdr:cNvPr id="265" name="Rectangle 264"/>
        <xdr:cNvSpPr/>
      </xdr:nvSpPr>
      <xdr:spPr>
        <a:xfrm>
          <a:off x="676275" y="73628251"/>
          <a:ext cx="9620362" cy="2276474"/>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r>
            <a:rPr lang="en-GB" sz="1200" b="1">
              <a:solidFill>
                <a:schemeClr val="dk1"/>
              </a:solidFill>
              <a:effectLst/>
              <a:latin typeface="+mn-lt"/>
              <a:ea typeface="+mn-ea"/>
              <a:cs typeface="+mn-cs"/>
            </a:rPr>
            <a:t>Why is maternal smoking important?</a:t>
          </a:r>
        </a:p>
        <a:p>
          <a:endParaRPr lang="en-GB" sz="800">
            <a:effectLst/>
          </a:endParaRPr>
        </a:p>
        <a:p>
          <a:r>
            <a:rPr lang="en-GB" sz="1100" b="0">
              <a:solidFill>
                <a:schemeClr val="dk1"/>
              </a:solidFill>
              <a:effectLst/>
              <a:latin typeface="+mn-lt"/>
              <a:ea typeface="+mn-ea"/>
              <a:cs typeface="+mn-cs"/>
            </a:rPr>
            <a:t>Exposure to second-hand smoke among children is associated with Sudden Infant Death Syndrome and doubles the risk of children getting chest illnesses, including pneumonia, croup and bronchitis, plus more ear infections, wheezing and asthma. They also have three times the risk of getting lung cancer in later life compared with children who live with non-smokers. </a:t>
          </a:r>
        </a:p>
        <a:p>
          <a:endParaRPr lang="en-GB" sz="800" b="0" baseline="0">
            <a:solidFill>
              <a:schemeClr val="dk1"/>
            </a:solidFill>
            <a:effectLst/>
            <a:latin typeface="+mn-lt"/>
            <a:ea typeface="+mn-ea"/>
            <a:cs typeface="+mn-cs"/>
          </a:endParaRPr>
        </a:p>
        <a:p>
          <a:pPr lvl="0"/>
          <a:r>
            <a:rPr lang="en-GB" sz="1200" b="1">
              <a:solidFill>
                <a:schemeClr val="dk1"/>
              </a:solidFill>
              <a:effectLst/>
              <a:latin typeface="+mn-lt"/>
              <a:ea typeface="+mn-ea"/>
              <a:cs typeface="+mn-cs"/>
            </a:rPr>
            <a:t>Rationale for the Indicator</a:t>
          </a:r>
        </a:p>
        <a:p>
          <a:endParaRPr lang="en-GB" sz="800">
            <a:effectLst/>
          </a:endParaRPr>
        </a:p>
        <a:p>
          <a:r>
            <a:rPr lang="en-GB" sz="1100">
              <a:effectLst/>
            </a:rPr>
            <a:t>Smoking status among new mothers is collected at the 12 week check by health visitors.</a:t>
          </a:r>
        </a:p>
        <a:p>
          <a:endParaRPr lang="en-GB" sz="800">
            <a:effectLst/>
          </a:endParaRPr>
        </a:p>
        <a:p>
          <a:r>
            <a:rPr lang="en-GB" sz="1200" b="1" baseline="0">
              <a:solidFill>
                <a:schemeClr val="dk1"/>
              </a:solidFill>
              <a:effectLst/>
              <a:latin typeface="+mn-lt"/>
              <a:ea typeface="+mn-ea"/>
              <a:cs typeface="+mn-cs"/>
            </a:rPr>
            <a:t>What helps?</a:t>
          </a:r>
        </a:p>
        <a:p>
          <a:endParaRPr lang="en-GB" sz="800">
            <a:effectLst/>
          </a:endParaRPr>
        </a:p>
        <a:p>
          <a:r>
            <a:rPr lang="en-GB" sz="1100">
              <a:effectLst/>
            </a:rPr>
            <a:t>The Children’s Workforce target the most disadvantaged communities, who are also more likely to smoke. They offer an ideal setting for parents to access NHS smoking cessation advice and support.</a:t>
          </a:r>
        </a:p>
      </xdr:txBody>
    </xdr:sp>
    <xdr:clientData/>
  </xdr:twoCellAnchor>
  <xdr:twoCellAnchor editAs="oneCell">
    <xdr:from>
      <xdr:col>2</xdr:col>
      <xdr:colOff>0</xdr:colOff>
      <xdr:row>563</xdr:row>
      <xdr:rowOff>0</xdr:rowOff>
    </xdr:from>
    <xdr:to>
      <xdr:col>22</xdr:col>
      <xdr:colOff>4883</xdr:colOff>
      <xdr:row>564</xdr:row>
      <xdr:rowOff>113477</xdr:rowOff>
    </xdr:to>
    <xdr:grpSp>
      <xdr:nvGrpSpPr>
        <xdr:cNvPr id="266" name="Group 265"/>
        <xdr:cNvGrpSpPr/>
      </xdr:nvGrpSpPr>
      <xdr:grpSpPr>
        <a:xfrm>
          <a:off x="209550" y="113576100"/>
          <a:ext cx="10596683" cy="303977"/>
          <a:chOff x="219752" y="16256265"/>
          <a:chExt cx="10659783" cy="299214"/>
        </a:xfrm>
      </xdr:grpSpPr>
      <xdr:sp macro="" textlink="">
        <xdr:nvSpPr>
          <xdr:cNvPr id="267" name="Rectangle 266"/>
          <xdr:cNvSpPr/>
        </xdr:nvSpPr>
        <xdr:spPr>
          <a:xfrm>
            <a:off x="219752" y="16256265"/>
            <a:ext cx="10659783"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Improving</a:t>
            </a:r>
            <a:r>
              <a:rPr lang="en-GB" sz="1100" b="1" baseline="0"/>
              <a:t> coverage for all childhood immunisations</a:t>
            </a:r>
          </a:p>
          <a:p>
            <a:pPr algn="l"/>
            <a:endParaRPr lang="en-GB" sz="1100" b="1"/>
          </a:p>
        </xdr:txBody>
      </xdr:sp>
      <xdr:sp macro="" textlink="">
        <xdr:nvSpPr>
          <xdr:cNvPr id="268" name="TextBox 267">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466725</xdr:colOff>
      <xdr:row>565</xdr:row>
      <xdr:rowOff>180975</xdr:rowOff>
    </xdr:from>
    <xdr:to>
      <xdr:col>20</xdr:col>
      <xdr:colOff>323962</xdr:colOff>
      <xdr:row>583</xdr:row>
      <xdr:rowOff>152401</xdr:rowOff>
    </xdr:to>
    <xdr:sp macro="" textlink="">
      <xdr:nvSpPr>
        <xdr:cNvPr id="269" name="Rectangle 268"/>
        <xdr:cNvSpPr/>
      </xdr:nvSpPr>
      <xdr:spPr>
        <a:xfrm>
          <a:off x="676275" y="83019900"/>
          <a:ext cx="9620362" cy="3400426"/>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r>
            <a:rPr lang="en-GB" sz="1200" b="1">
              <a:solidFill>
                <a:schemeClr val="dk1"/>
              </a:solidFill>
              <a:effectLst/>
              <a:latin typeface="+mn-lt"/>
              <a:ea typeface="+mn-ea"/>
              <a:cs typeface="+mn-cs"/>
            </a:rPr>
            <a:t>Why are childhood</a:t>
          </a:r>
          <a:r>
            <a:rPr lang="en-GB" sz="1200" b="1" baseline="0">
              <a:solidFill>
                <a:schemeClr val="dk1"/>
              </a:solidFill>
              <a:effectLst/>
              <a:latin typeface="+mn-lt"/>
              <a:ea typeface="+mn-ea"/>
              <a:cs typeface="+mn-cs"/>
            </a:rPr>
            <a:t> immunisations important?</a:t>
          </a:r>
          <a:endParaRPr lang="en-GB" sz="1200" b="1">
            <a:solidFill>
              <a:schemeClr val="dk1"/>
            </a:solidFill>
            <a:effectLst/>
            <a:latin typeface="+mn-lt"/>
            <a:ea typeface="+mn-ea"/>
            <a:cs typeface="+mn-cs"/>
          </a:endParaRPr>
        </a:p>
        <a:p>
          <a:endParaRPr lang="en-GB" sz="800">
            <a:effectLst/>
          </a:endParaRPr>
        </a:p>
        <a:p>
          <a:r>
            <a:rPr lang="en-GB" sz="1100">
              <a:effectLst/>
            </a:rPr>
            <a:t>Immunisations are an extremely effective way of protecting children against infectious diseases including diphtheria, tetanus, whooping cough, polio, meningitis, pneumonia, measles, rubella mumps, rotavirus and influenza.  Good coverage makes outbreaks of infectious disease less likely to happen. There may be some children who cannot be immunised for medical or other reasons and high coverage in the rest of the population helps to protect them.</a:t>
          </a:r>
        </a:p>
        <a:p>
          <a:pPr lvl="0"/>
          <a:endParaRPr lang="en-GB" sz="800" b="1">
            <a:solidFill>
              <a:schemeClr val="dk1"/>
            </a:solidFill>
            <a:effectLst/>
            <a:latin typeface="+mn-lt"/>
            <a:ea typeface="+mn-ea"/>
            <a:cs typeface="+mn-cs"/>
          </a:endParaRPr>
        </a:p>
        <a:p>
          <a:pPr lvl="0"/>
          <a:r>
            <a:rPr lang="en-GB" sz="1200" b="1">
              <a:solidFill>
                <a:schemeClr val="dk1"/>
              </a:solidFill>
              <a:effectLst/>
              <a:latin typeface="+mn-lt"/>
              <a:ea typeface="+mn-ea"/>
              <a:cs typeface="+mn-cs"/>
            </a:rPr>
            <a:t>Indicator</a:t>
          </a:r>
        </a:p>
        <a:p>
          <a:pPr lvl="0"/>
          <a:endParaRPr lang="en-GB" sz="800" b="0">
            <a:solidFill>
              <a:schemeClr val="dk1"/>
            </a:solidFill>
            <a:effectLst/>
            <a:latin typeface="+mn-lt"/>
            <a:ea typeface="+mn-ea"/>
            <a:cs typeface="+mn-cs"/>
          </a:endParaRPr>
        </a:p>
        <a:p>
          <a:pPr lvl="0"/>
          <a:r>
            <a:rPr lang="en-GB" sz="1100" b="0">
              <a:solidFill>
                <a:schemeClr val="dk1"/>
              </a:solidFill>
              <a:effectLst/>
              <a:latin typeface="+mn-lt"/>
              <a:ea typeface="+mn-ea"/>
              <a:cs typeface="+mn-cs"/>
            </a:rPr>
            <a:t>To achieve a 95% coverage rates across all childhood immunisations (DH)</a:t>
          </a:r>
        </a:p>
        <a:p>
          <a:pPr lvl="0"/>
          <a:endParaRPr lang="en-GB" sz="800" b="0">
            <a:solidFill>
              <a:schemeClr val="dk1"/>
            </a:solidFill>
            <a:effectLst/>
            <a:latin typeface="+mn-lt"/>
            <a:ea typeface="+mn-ea"/>
            <a:cs typeface="+mn-cs"/>
          </a:endParaRPr>
        </a:p>
        <a:p>
          <a:pPr lvl="0"/>
          <a:r>
            <a:rPr lang="en-GB" sz="1200" b="1">
              <a:solidFill>
                <a:schemeClr val="dk1"/>
              </a:solidFill>
              <a:effectLst/>
              <a:latin typeface="+mn-lt"/>
              <a:ea typeface="+mn-ea"/>
              <a:cs typeface="+mn-cs"/>
            </a:rPr>
            <a:t>Rationale for the Indicator</a:t>
          </a:r>
        </a:p>
        <a:p>
          <a:endParaRPr lang="en-GB" sz="800">
            <a:effectLst/>
          </a:endParaRPr>
        </a:p>
        <a:p>
          <a:r>
            <a:rPr lang="en-GB" sz="1100">
              <a:effectLst/>
            </a:rPr>
            <a:t>The indicator helps children and family centres to identify groups of children who may have lower coverage and provide them with appropriate advice and information.</a:t>
          </a:r>
        </a:p>
        <a:p>
          <a:endParaRPr lang="en-GB" sz="800">
            <a:effectLst/>
          </a:endParaRPr>
        </a:p>
        <a:p>
          <a:r>
            <a:rPr lang="en-GB" sz="1200" b="1" baseline="0">
              <a:solidFill>
                <a:schemeClr val="dk1"/>
              </a:solidFill>
              <a:effectLst/>
              <a:latin typeface="+mn-lt"/>
              <a:ea typeface="+mn-ea"/>
              <a:cs typeface="+mn-cs"/>
            </a:rPr>
            <a:t>What helps?</a:t>
          </a:r>
        </a:p>
        <a:p>
          <a:endParaRPr lang="en-GB" sz="800">
            <a:effectLst/>
          </a:endParaRPr>
        </a:p>
        <a:p>
          <a:r>
            <a:rPr lang="en-GB" sz="1100">
              <a:effectLst/>
            </a:rPr>
            <a:t>The Children’s Workforce work with Sussex Community NHS Trust Immunisation Team to ensure all staff are up to date with training and are confident in providing appropriate advice. They can provide information to parents and provide a setting for some of the immunisation programme to be delivered thereby improving access. </a:t>
          </a:r>
        </a:p>
      </xdr:txBody>
    </xdr:sp>
    <xdr:clientData/>
  </xdr:twoCellAnchor>
  <xdr:twoCellAnchor editAs="oneCell">
    <xdr:from>
      <xdr:col>2</xdr:col>
      <xdr:colOff>0</xdr:colOff>
      <xdr:row>597</xdr:row>
      <xdr:rowOff>133350</xdr:rowOff>
    </xdr:from>
    <xdr:to>
      <xdr:col>22</xdr:col>
      <xdr:colOff>4883</xdr:colOff>
      <xdr:row>599</xdr:row>
      <xdr:rowOff>56327</xdr:rowOff>
    </xdr:to>
    <xdr:grpSp>
      <xdr:nvGrpSpPr>
        <xdr:cNvPr id="270" name="Group 269"/>
        <xdr:cNvGrpSpPr/>
      </xdr:nvGrpSpPr>
      <xdr:grpSpPr>
        <a:xfrm>
          <a:off x="209550" y="122224800"/>
          <a:ext cx="10596683" cy="303977"/>
          <a:chOff x="219752" y="16256265"/>
          <a:chExt cx="10659783" cy="299214"/>
        </a:xfrm>
      </xdr:grpSpPr>
      <xdr:sp macro="" textlink="">
        <xdr:nvSpPr>
          <xdr:cNvPr id="271" name="Rectangle 270"/>
          <xdr:cNvSpPr/>
        </xdr:nvSpPr>
        <xdr:spPr>
          <a:xfrm>
            <a:off x="219752" y="16256265"/>
            <a:ext cx="10659783"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Age 1 (children that had</a:t>
            </a:r>
            <a:r>
              <a:rPr lang="en-GB" sz="1100" b="1" baseline="0"/>
              <a:t> their 1st birthday within 2014/15)</a:t>
            </a:r>
          </a:p>
          <a:p>
            <a:pPr algn="l"/>
            <a:endParaRPr lang="en-GB" sz="1100" b="1"/>
          </a:p>
        </xdr:txBody>
      </xdr:sp>
      <xdr:sp macro="" textlink="">
        <xdr:nvSpPr>
          <xdr:cNvPr id="272" name="TextBox 271">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1</xdr:col>
      <xdr:colOff>104775</xdr:colOff>
      <xdr:row>614</xdr:row>
      <xdr:rowOff>154402</xdr:rowOff>
    </xdr:from>
    <xdr:to>
      <xdr:col>22</xdr:col>
      <xdr:colOff>800</xdr:colOff>
      <xdr:row>616</xdr:row>
      <xdr:rowOff>72987</xdr:rowOff>
    </xdr:to>
    <xdr:grpSp>
      <xdr:nvGrpSpPr>
        <xdr:cNvPr id="273" name="Group 272"/>
        <xdr:cNvGrpSpPr/>
      </xdr:nvGrpSpPr>
      <xdr:grpSpPr>
        <a:xfrm>
          <a:off x="200025" y="125522452"/>
          <a:ext cx="10602125" cy="299585"/>
          <a:chOff x="219752" y="16344276"/>
          <a:chExt cx="10659783" cy="292599"/>
        </a:xfrm>
      </xdr:grpSpPr>
      <xdr:sp macro="" textlink="">
        <xdr:nvSpPr>
          <xdr:cNvPr id="274" name="Rectangle 273"/>
          <xdr:cNvSpPr/>
        </xdr:nvSpPr>
        <xdr:spPr>
          <a:xfrm>
            <a:off x="219752" y="16349291"/>
            <a:ext cx="10659783"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Age 2 Cohort (children that had</a:t>
            </a:r>
            <a:r>
              <a:rPr lang="en-GB" sz="1100" b="1" baseline="0"/>
              <a:t> their 2nd birthday within 2014/15)</a:t>
            </a:r>
          </a:p>
          <a:p>
            <a:pPr algn="l"/>
            <a:endParaRPr lang="en-GB" sz="1100" b="1"/>
          </a:p>
        </xdr:txBody>
      </xdr:sp>
      <xdr:sp macro="" textlink="">
        <xdr:nvSpPr>
          <xdr:cNvPr id="275" name="TextBox 274">
            <a:hlinkClick xmlns:r="http://schemas.openxmlformats.org/officeDocument/2006/relationships" r:id="rId7"/>
          </xdr:cNvPr>
          <xdr:cNvSpPr txBox="1"/>
        </xdr:nvSpPr>
        <xdr:spPr>
          <a:xfrm>
            <a:off x="9549078" y="16344276"/>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0</xdr:colOff>
      <xdr:row>639</xdr:row>
      <xdr:rowOff>142875</xdr:rowOff>
    </xdr:from>
    <xdr:to>
      <xdr:col>22</xdr:col>
      <xdr:colOff>4883</xdr:colOff>
      <xdr:row>641</xdr:row>
      <xdr:rowOff>56326</xdr:rowOff>
    </xdr:to>
    <xdr:grpSp>
      <xdr:nvGrpSpPr>
        <xdr:cNvPr id="276" name="Group 275"/>
        <xdr:cNvGrpSpPr/>
      </xdr:nvGrpSpPr>
      <xdr:grpSpPr>
        <a:xfrm>
          <a:off x="209550" y="130340100"/>
          <a:ext cx="10596683" cy="303976"/>
          <a:chOff x="219752" y="16256265"/>
          <a:chExt cx="10659783" cy="299214"/>
        </a:xfrm>
      </xdr:grpSpPr>
      <xdr:sp macro="" textlink="">
        <xdr:nvSpPr>
          <xdr:cNvPr id="277" name="Rectangle 276"/>
          <xdr:cNvSpPr/>
        </xdr:nvSpPr>
        <xdr:spPr>
          <a:xfrm>
            <a:off x="219752" y="16256265"/>
            <a:ext cx="10659783"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Age 5 Cohort (children that had</a:t>
            </a:r>
            <a:r>
              <a:rPr lang="en-GB" sz="1100" b="1" baseline="0"/>
              <a:t> their 5th birthday within 2014/15)</a:t>
            </a:r>
          </a:p>
          <a:p>
            <a:pPr algn="l"/>
            <a:endParaRPr lang="en-GB" sz="1100" b="1"/>
          </a:p>
        </xdr:txBody>
      </xdr:sp>
      <xdr:sp macro="" textlink="">
        <xdr:nvSpPr>
          <xdr:cNvPr id="278" name="TextBox 277">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0</xdr:colOff>
      <xdr:row>677</xdr:row>
      <xdr:rowOff>0</xdr:rowOff>
    </xdr:from>
    <xdr:to>
      <xdr:col>22</xdr:col>
      <xdr:colOff>4883</xdr:colOff>
      <xdr:row>678</xdr:row>
      <xdr:rowOff>123000</xdr:rowOff>
    </xdr:to>
    <xdr:grpSp>
      <xdr:nvGrpSpPr>
        <xdr:cNvPr id="279" name="Group 278"/>
        <xdr:cNvGrpSpPr/>
      </xdr:nvGrpSpPr>
      <xdr:grpSpPr>
        <a:xfrm>
          <a:off x="209550" y="137464800"/>
          <a:ext cx="10596683" cy="303975"/>
          <a:chOff x="219752" y="16256265"/>
          <a:chExt cx="10659783" cy="299214"/>
        </a:xfrm>
      </xdr:grpSpPr>
      <xdr:sp macro="" textlink="">
        <xdr:nvSpPr>
          <xdr:cNvPr id="280" name="Rectangle 279"/>
          <xdr:cNvSpPr/>
        </xdr:nvSpPr>
        <xdr:spPr>
          <a:xfrm>
            <a:off x="219752" y="16256265"/>
            <a:ext cx="10659783"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Hospital Admissions</a:t>
            </a:r>
            <a:endParaRPr lang="en-GB" sz="1100" b="1" baseline="0"/>
          </a:p>
          <a:p>
            <a:pPr algn="l"/>
            <a:endParaRPr lang="en-GB" sz="1100" b="1"/>
          </a:p>
        </xdr:txBody>
      </xdr:sp>
      <xdr:sp macro="" textlink="">
        <xdr:nvSpPr>
          <xdr:cNvPr id="281" name="TextBox 280">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3</xdr:col>
      <xdr:colOff>0</xdr:colOff>
      <xdr:row>680</xdr:row>
      <xdr:rowOff>4080</xdr:rowOff>
    </xdr:from>
    <xdr:to>
      <xdr:col>20</xdr:col>
      <xdr:colOff>390637</xdr:colOff>
      <xdr:row>707</xdr:row>
      <xdr:rowOff>9525</xdr:rowOff>
    </xdr:to>
    <xdr:sp macro="" textlink="">
      <xdr:nvSpPr>
        <xdr:cNvPr id="282" name="Rectangle 281"/>
        <xdr:cNvSpPr/>
      </xdr:nvSpPr>
      <xdr:spPr>
        <a:xfrm>
          <a:off x="742950" y="113723055"/>
          <a:ext cx="9620362" cy="489177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lvl="0"/>
          <a:r>
            <a:rPr lang="en-GB" sz="1200" b="1">
              <a:solidFill>
                <a:schemeClr val="dk1"/>
              </a:solidFill>
              <a:effectLst/>
              <a:latin typeface="+mn-lt"/>
              <a:ea typeface="+mn-ea"/>
              <a:cs typeface="+mn-cs"/>
            </a:rPr>
            <a:t>Why</a:t>
          </a:r>
          <a:r>
            <a:rPr lang="en-GB" sz="1200" b="1" baseline="0">
              <a:solidFill>
                <a:schemeClr val="dk1"/>
              </a:solidFill>
              <a:effectLst/>
              <a:latin typeface="+mn-lt"/>
              <a:ea typeface="+mn-ea"/>
              <a:cs typeface="+mn-cs"/>
            </a:rPr>
            <a:t> is it important to monitor hospital admissions?</a:t>
          </a:r>
        </a:p>
        <a:p>
          <a:pPr lvl="0"/>
          <a:endParaRPr lang="en-GB" sz="800" b="1">
            <a:solidFill>
              <a:schemeClr val="dk1"/>
            </a:solidFill>
            <a:effectLst/>
            <a:latin typeface="+mn-lt"/>
            <a:ea typeface="+mn-ea"/>
            <a:cs typeface="+mn-cs"/>
          </a:endParaRPr>
        </a:p>
        <a:p>
          <a:pPr lvl="0"/>
          <a:r>
            <a:rPr lang="en-GB" sz="1100" b="0">
              <a:solidFill>
                <a:schemeClr val="dk1"/>
              </a:solidFill>
              <a:effectLst/>
              <a:latin typeface="+mn-lt"/>
              <a:ea typeface="+mn-ea"/>
              <a:cs typeface="+mn-cs"/>
            </a:rPr>
            <a:t>Unintentional injury is a leading cause of death and illness among children and causes more children to be admitted to hospital than any other reason. Each year in the UK, unintentional injury results in approximately two million children visiting accident and emergency departments. Children from the poorest UK families are 13 times more likely to die in an accident and are also more likely to be admitted to hospital with accidental injuries.</a:t>
          </a:r>
        </a:p>
        <a:p>
          <a:pPr lvl="0"/>
          <a:endParaRPr lang="en-GB" sz="800" b="0">
            <a:solidFill>
              <a:schemeClr val="dk1"/>
            </a:solidFill>
            <a:effectLst/>
            <a:latin typeface="+mn-lt"/>
            <a:ea typeface="+mn-ea"/>
            <a:cs typeface="+mn-cs"/>
          </a:endParaRPr>
        </a:p>
        <a:p>
          <a:pPr lvl="0"/>
          <a:r>
            <a:rPr lang="en-GB" sz="1200" b="1">
              <a:solidFill>
                <a:schemeClr val="dk1"/>
              </a:solidFill>
              <a:effectLst/>
              <a:latin typeface="+mn-lt"/>
              <a:ea typeface="+mn-ea"/>
              <a:cs typeface="+mn-cs"/>
            </a:rPr>
            <a:t>What</a:t>
          </a:r>
          <a:r>
            <a:rPr lang="en-GB" sz="1200" b="1" baseline="0">
              <a:solidFill>
                <a:schemeClr val="dk1"/>
              </a:solidFill>
              <a:effectLst/>
              <a:latin typeface="+mn-lt"/>
              <a:ea typeface="+mn-ea"/>
              <a:cs typeface="+mn-cs"/>
            </a:rPr>
            <a:t> helps?</a:t>
          </a:r>
        </a:p>
        <a:p>
          <a:pPr lvl="0"/>
          <a:endParaRPr lang="en-GB" sz="800" b="1">
            <a:solidFill>
              <a:schemeClr val="dk1"/>
            </a:solidFill>
            <a:effectLst/>
            <a:latin typeface="+mn-lt"/>
            <a:ea typeface="+mn-ea"/>
            <a:cs typeface="+mn-cs"/>
          </a:endParaRPr>
        </a:p>
        <a:p>
          <a:pPr lvl="0"/>
          <a:r>
            <a:rPr lang="en-GB" sz="1100" b="0">
              <a:solidFill>
                <a:schemeClr val="dk1"/>
              </a:solidFill>
              <a:effectLst/>
              <a:latin typeface="+mn-lt"/>
              <a:ea typeface="+mn-ea"/>
              <a:cs typeface="+mn-cs"/>
            </a:rPr>
            <a:t>Many unintentional injuries and related deaths are preventable. Children and Family Centres provide a hub for the Children’s Workforce and parents to work together to improve safety of children. Health Visiting teams have a key role in accident prevention because of their extensive knowledge of child development. They can help families understand the real risks to children’s safety, by raising awareness of the practical steps parents can take to prevent serious injury and in identifying effective home safety equipment. </a:t>
          </a:r>
        </a:p>
        <a:p>
          <a:pPr lvl="0"/>
          <a:endParaRPr lang="en-GB" sz="800" b="1">
            <a:solidFill>
              <a:schemeClr val="dk1"/>
            </a:solidFill>
            <a:effectLst/>
            <a:latin typeface="+mn-lt"/>
            <a:ea typeface="+mn-ea"/>
            <a:cs typeface="+mn-cs"/>
          </a:endParaRPr>
        </a:p>
        <a:p>
          <a:pPr lvl="0"/>
          <a:r>
            <a:rPr lang="en-GB" sz="1200" b="1">
              <a:solidFill>
                <a:schemeClr val="dk1"/>
              </a:solidFill>
              <a:effectLst/>
              <a:latin typeface="+mn-lt"/>
              <a:ea typeface="+mn-ea"/>
              <a:cs typeface="+mn-cs"/>
            </a:rPr>
            <a:t>Indicator</a:t>
          </a:r>
        </a:p>
        <a:p>
          <a:pPr lvl="0"/>
          <a:endParaRPr lang="en-GB" sz="800" b="0">
            <a:solidFill>
              <a:schemeClr val="dk1"/>
            </a:solidFill>
            <a:effectLst/>
            <a:latin typeface="+mn-lt"/>
            <a:ea typeface="+mn-ea"/>
            <a:cs typeface="+mn-cs"/>
          </a:endParaRPr>
        </a:p>
        <a:p>
          <a:pPr lvl="0"/>
          <a:r>
            <a:rPr lang="en-GB" sz="1100" b="0">
              <a:solidFill>
                <a:schemeClr val="dk1"/>
              </a:solidFill>
              <a:effectLst/>
              <a:latin typeface="+mn-lt"/>
              <a:ea typeface="+mn-ea"/>
              <a:cs typeface="+mn-cs"/>
            </a:rPr>
            <a:t>Hospital admissions due to injury of</a:t>
          </a:r>
          <a:r>
            <a:rPr lang="en-GB" sz="1100" b="0" baseline="0">
              <a:solidFill>
                <a:schemeClr val="dk1"/>
              </a:solidFill>
              <a:effectLst/>
              <a:latin typeface="+mn-lt"/>
              <a:ea typeface="+mn-ea"/>
              <a:cs typeface="+mn-cs"/>
            </a:rPr>
            <a:t> children aged 5 and </a:t>
          </a:r>
          <a:r>
            <a:rPr lang="en-GB" sz="1100" b="0" baseline="0">
              <a:solidFill>
                <a:sysClr val="windowText" lastClr="000000"/>
              </a:solidFill>
              <a:effectLst/>
              <a:latin typeface="+mn-lt"/>
              <a:ea typeface="+mn-ea"/>
              <a:cs typeface="+mn-cs"/>
            </a:rPr>
            <a:t>under 2010/11 to 2013/14.</a:t>
          </a:r>
          <a:endParaRPr lang="en-GB" sz="1100" b="0">
            <a:solidFill>
              <a:sysClr val="windowText" lastClr="000000"/>
            </a:solidFill>
            <a:effectLst/>
            <a:latin typeface="+mn-lt"/>
            <a:ea typeface="+mn-ea"/>
            <a:cs typeface="+mn-cs"/>
          </a:endParaRPr>
        </a:p>
        <a:p>
          <a:pPr lvl="0"/>
          <a:endParaRPr lang="en-GB" sz="800" b="0">
            <a:solidFill>
              <a:schemeClr val="dk1"/>
            </a:solidFill>
            <a:effectLst/>
            <a:latin typeface="+mn-lt"/>
            <a:ea typeface="+mn-ea"/>
            <a:cs typeface="+mn-cs"/>
          </a:endParaRPr>
        </a:p>
        <a:p>
          <a:r>
            <a:rPr lang="en-GB" sz="1200" b="1">
              <a:effectLst/>
            </a:rPr>
            <a:t>How is the indicator</a:t>
          </a:r>
          <a:r>
            <a:rPr lang="en-GB" sz="1200" b="1" baseline="0">
              <a:effectLst/>
            </a:rPr>
            <a:t> defined?</a:t>
          </a:r>
        </a:p>
        <a:p>
          <a:endParaRPr lang="en-GB" sz="800" b="0">
            <a:effectLst/>
          </a:endParaRPr>
        </a:p>
        <a:p>
          <a:r>
            <a:rPr lang="en-GB" sz="1100" b="0">
              <a:effectLst/>
            </a:rPr>
            <a:t>Hospital admissions caused by unintentional and deliberate injuries in children (aged 0-4 years) Crude rate per 1,000 0-4 year olds</a:t>
          </a:r>
        </a:p>
        <a:p>
          <a:endParaRPr lang="en-GB" sz="800">
            <a:effectLst/>
          </a:endParaRPr>
        </a:p>
        <a:p>
          <a:r>
            <a:rPr lang="en-GB" sz="1200" b="1" baseline="0">
              <a:solidFill>
                <a:schemeClr val="dk1"/>
              </a:solidFill>
              <a:effectLst/>
              <a:latin typeface="+mn-lt"/>
              <a:ea typeface="+mn-ea"/>
              <a:cs typeface="+mn-cs"/>
            </a:rPr>
            <a:t>How accurate and complete is the data?</a:t>
          </a:r>
        </a:p>
        <a:p>
          <a:endParaRPr lang="en-GB" sz="800" b="1" baseline="0">
            <a:solidFill>
              <a:schemeClr val="dk1"/>
            </a:solidFill>
            <a:effectLst/>
            <a:latin typeface="+mn-lt"/>
            <a:ea typeface="+mn-ea"/>
            <a:cs typeface="+mn-cs"/>
          </a:endParaRPr>
        </a:p>
        <a:p>
          <a:r>
            <a:rPr lang="en-GB" sz="1100">
              <a:effectLst/>
            </a:rPr>
            <a:t>HES inpatient data and ONS population statistics are generally considered to be complete and robust. However, there may be a question regarding the quality of external cause coding.</a:t>
          </a:r>
        </a:p>
        <a:p>
          <a:endParaRPr lang="en-GB" sz="800">
            <a:effectLst/>
          </a:endParaRPr>
        </a:p>
        <a:p>
          <a:r>
            <a:rPr lang="en-GB" sz="1200" b="1">
              <a:effectLst/>
            </a:rPr>
            <a:t>Are</a:t>
          </a:r>
          <a:r>
            <a:rPr lang="en-GB" sz="1200" b="1" baseline="0">
              <a:effectLst/>
            </a:rPr>
            <a:t> there any other caveats/problems/weaknesses?</a:t>
          </a:r>
        </a:p>
        <a:p>
          <a:endParaRPr lang="en-GB" sz="800" b="0">
            <a:effectLst/>
          </a:endParaRPr>
        </a:p>
        <a:p>
          <a:pPr lvl="1"/>
          <a:r>
            <a:rPr lang="en-GB" sz="1100" b="0">
              <a:effectLst/>
            </a:rPr>
            <a:t>1. There may be differences in admission thresholds.</a:t>
          </a:r>
        </a:p>
        <a:p>
          <a:pPr lvl="1"/>
          <a:r>
            <a:rPr lang="en-GB" sz="1100" b="0">
              <a:effectLst/>
            </a:rPr>
            <a:t>2. There may be variation between Trusts in the way hospital admissions are coded. There may be variation in data recording completeness. Injury information could potentially be missing in the admission episode record but added instead to a subsequent episode record.</a:t>
          </a:r>
        </a:p>
        <a:p>
          <a:pPr lvl="1"/>
          <a:r>
            <a:rPr lang="en-GB" sz="1100" b="0">
              <a:effectLst/>
            </a:rPr>
            <a:t>3. The Injury Profiles indicator is based on finished admissions, whereas the Child Profiles indicator is based on episodes. The Injury Profiles indicator is based on emergency admissions only, whereas the Child Profiles indicator includes all admission methods.</a:t>
          </a:r>
        </a:p>
        <a:p>
          <a:endParaRPr lang="en-GB" sz="1100">
            <a:effectLst/>
          </a:endParaRPr>
        </a:p>
      </xdr:txBody>
    </xdr:sp>
    <xdr:clientData/>
  </xdr:twoCellAnchor>
  <xdr:twoCellAnchor editAs="oneCell">
    <xdr:from>
      <xdr:col>18</xdr:col>
      <xdr:colOff>142875</xdr:colOff>
      <xdr:row>692</xdr:row>
      <xdr:rowOff>0</xdr:rowOff>
    </xdr:from>
    <xdr:to>
      <xdr:col>20</xdr:col>
      <xdr:colOff>76200</xdr:colOff>
      <xdr:row>694</xdr:row>
      <xdr:rowOff>85724</xdr:rowOff>
    </xdr:to>
    <xdr:sp macro="" textlink="">
      <xdr:nvSpPr>
        <xdr:cNvPr id="283" name="Rectangle 282"/>
        <xdr:cNvSpPr/>
      </xdr:nvSpPr>
      <xdr:spPr>
        <a:xfrm>
          <a:off x="9029700" y="115890675"/>
          <a:ext cx="1019175" cy="447674"/>
        </a:xfrm>
        <a:prstGeom prst="rect">
          <a:avLst/>
        </a:prstGeom>
        <a:solidFill>
          <a:schemeClr val="accent1">
            <a:lumMod val="20000"/>
            <a:lumOff val="8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b="1"/>
            <a:t>OFSTED</a:t>
          </a:r>
          <a:r>
            <a:rPr lang="en-GB" sz="1100" b="1" baseline="0"/>
            <a:t> KPI</a:t>
          </a:r>
          <a:endParaRPr lang="en-GB" sz="1100" b="1"/>
        </a:p>
      </xdr:txBody>
    </xdr:sp>
    <xdr:clientData/>
  </xdr:twoCellAnchor>
  <xdr:twoCellAnchor editAs="oneCell">
    <xdr:from>
      <xdr:col>1</xdr:col>
      <xdr:colOff>104775</xdr:colOff>
      <xdr:row>708</xdr:row>
      <xdr:rowOff>76200</xdr:rowOff>
    </xdr:from>
    <xdr:to>
      <xdr:col>22</xdr:col>
      <xdr:colOff>800</xdr:colOff>
      <xdr:row>710</xdr:row>
      <xdr:rowOff>18226</xdr:rowOff>
    </xdr:to>
    <xdr:grpSp>
      <xdr:nvGrpSpPr>
        <xdr:cNvPr id="284" name="Group 283"/>
        <xdr:cNvGrpSpPr/>
      </xdr:nvGrpSpPr>
      <xdr:grpSpPr>
        <a:xfrm>
          <a:off x="200025" y="143151225"/>
          <a:ext cx="10602125" cy="303976"/>
          <a:chOff x="219752" y="16256265"/>
          <a:chExt cx="10659783" cy="299214"/>
        </a:xfrm>
      </xdr:grpSpPr>
      <xdr:sp macro="" textlink="">
        <xdr:nvSpPr>
          <xdr:cNvPr id="285" name="Rectangle 284"/>
          <xdr:cNvSpPr/>
        </xdr:nvSpPr>
        <xdr:spPr>
          <a:xfrm>
            <a:off x="219752" y="16256265"/>
            <a:ext cx="10659783"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Emergency</a:t>
            </a:r>
            <a:r>
              <a:rPr lang="en-GB" sz="1100" b="1" baseline="0"/>
              <a:t> </a:t>
            </a:r>
            <a:r>
              <a:rPr lang="en-GB" sz="1100" b="1"/>
              <a:t>Admissions 2013/14</a:t>
            </a:r>
            <a:endParaRPr lang="en-GB" sz="1100" b="1" baseline="0"/>
          </a:p>
          <a:p>
            <a:pPr algn="l"/>
            <a:endParaRPr lang="en-GB" sz="1100" b="1"/>
          </a:p>
        </xdr:txBody>
      </xdr:sp>
      <xdr:sp macro="" textlink="">
        <xdr:nvSpPr>
          <xdr:cNvPr id="286" name="TextBox 285">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523874</xdr:colOff>
      <xdr:row>728</xdr:row>
      <xdr:rowOff>66675</xdr:rowOff>
    </xdr:from>
    <xdr:to>
      <xdr:col>20</xdr:col>
      <xdr:colOff>9524</xdr:colOff>
      <xdr:row>744</xdr:row>
      <xdr:rowOff>95251</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523874</xdr:colOff>
      <xdr:row>59</xdr:row>
      <xdr:rowOff>173037</xdr:rowOff>
    </xdr:from>
    <xdr:to>
      <xdr:col>19</xdr:col>
      <xdr:colOff>343806</xdr:colOff>
      <xdr:row>75</xdr:row>
      <xdr:rowOff>163512</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xdr:col>
      <xdr:colOff>214538</xdr:colOff>
      <xdr:row>238</xdr:row>
      <xdr:rowOff>156937</xdr:rowOff>
    </xdr:from>
    <xdr:to>
      <xdr:col>20</xdr:col>
      <xdr:colOff>652840</xdr:colOff>
      <xdr:row>255</xdr:row>
      <xdr:rowOff>12853</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xdr:col>
      <xdr:colOff>215786</xdr:colOff>
      <xdr:row>256</xdr:row>
      <xdr:rowOff>183657</xdr:rowOff>
    </xdr:from>
    <xdr:to>
      <xdr:col>20</xdr:col>
      <xdr:colOff>592668</xdr:colOff>
      <xdr:row>271</xdr:row>
      <xdr:rowOff>143669</xdr:rowOff>
    </xdr:to>
    <xdr:graphicFrame macro="">
      <xdr:nvGraphicFramePr>
        <xdr:cNvPr id="129" name="Chart 1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3</xdr:col>
      <xdr:colOff>0</xdr:colOff>
      <xdr:row>237</xdr:row>
      <xdr:rowOff>154781</xdr:rowOff>
    </xdr:from>
    <xdr:to>
      <xdr:col>7</xdr:col>
      <xdr:colOff>202407</xdr:colOff>
      <xdr:row>239</xdr:row>
      <xdr:rowOff>0</xdr:rowOff>
    </xdr:to>
    <xdr:sp macro="" textlink="">
      <xdr:nvSpPr>
        <xdr:cNvPr id="57" name="TextBox 56"/>
        <xdr:cNvSpPr txBox="1"/>
      </xdr:nvSpPr>
      <xdr:spPr>
        <a:xfrm>
          <a:off x="742950" y="47160656"/>
          <a:ext cx="2374107" cy="3214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Reception</a:t>
          </a:r>
        </a:p>
      </xdr:txBody>
    </xdr:sp>
    <xdr:clientData/>
  </xdr:twoCellAnchor>
  <xdr:twoCellAnchor editAs="oneCell">
    <xdr:from>
      <xdr:col>2</xdr:col>
      <xdr:colOff>455270</xdr:colOff>
      <xdr:row>255</xdr:row>
      <xdr:rowOff>13152</xdr:rowOff>
    </xdr:from>
    <xdr:to>
      <xdr:col>7</xdr:col>
      <xdr:colOff>141665</xdr:colOff>
      <xdr:row>256</xdr:row>
      <xdr:rowOff>147145</xdr:rowOff>
    </xdr:to>
    <xdr:sp macro="" textlink="">
      <xdr:nvSpPr>
        <xdr:cNvPr id="131" name="TextBox 130"/>
        <xdr:cNvSpPr txBox="1"/>
      </xdr:nvSpPr>
      <xdr:spPr>
        <a:xfrm>
          <a:off x="666937" y="50463902"/>
          <a:ext cx="2374561" cy="3244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Year 6:</a:t>
          </a:r>
        </a:p>
      </xdr:txBody>
    </xdr:sp>
    <xdr:clientData/>
  </xdr:twoCellAnchor>
  <xdr:twoCellAnchor editAs="oneCell">
    <xdr:from>
      <xdr:col>3</xdr:col>
      <xdr:colOff>30427</xdr:colOff>
      <xdr:row>502</xdr:row>
      <xdr:rowOff>88898</xdr:rowOff>
    </xdr:from>
    <xdr:to>
      <xdr:col>19</xdr:col>
      <xdr:colOff>478102</xdr:colOff>
      <xdr:row>515</xdr:row>
      <xdr:rowOff>96154</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371475</xdr:colOff>
          <xdr:row>4</xdr:row>
          <xdr:rowOff>180975</xdr:rowOff>
        </xdr:from>
        <xdr:to>
          <xdr:col>12</xdr:col>
          <xdr:colOff>247650</xdr:colOff>
          <xdr:row>6</xdr:row>
          <xdr:rowOff>66675</xdr:rowOff>
        </xdr:to>
        <xdr:sp macro="" textlink="">
          <xdr:nvSpPr>
            <xdr:cNvPr id="5122" name="Drop Down 2" hidden="1">
              <a:extLst>
                <a:ext uri="{63B3BB69-23CF-44E3-9099-C40C66FF867C}">
                  <a14:compatExt spid="_x0000_s5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371475</xdr:colOff>
          <xdr:row>6</xdr:row>
          <xdr:rowOff>161925</xdr:rowOff>
        </xdr:from>
        <xdr:to>
          <xdr:col>12</xdr:col>
          <xdr:colOff>247650</xdr:colOff>
          <xdr:row>8</xdr:row>
          <xdr:rowOff>47625</xdr:rowOff>
        </xdr:to>
        <xdr:sp macro="" textlink="">
          <xdr:nvSpPr>
            <xdr:cNvPr id="5123" name="Drop Down 3" hidden="1">
              <a:extLst>
                <a:ext uri="{63B3BB69-23CF-44E3-9099-C40C66FF867C}">
                  <a14:compatExt spid="_x0000_s5123"/>
                </a:ext>
              </a:extLst>
            </xdr:cNvPr>
            <xdr:cNvSpPr/>
          </xdr:nvSpPr>
          <xdr:spPr>
            <a:xfrm>
              <a:off x="0" y="0"/>
              <a:ext cx="0" cy="0"/>
            </a:xfrm>
            <a:prstGeom prst="rect">
              <a:avLst/>
            </a:prstGeom>
          </xdr:spPr>
        </xdr:sp>
        <xdr:clientData/>
      </xdr:twoCellAnchor>
    </mc:Choice>
    <mc:Fallback/>
  </mc:AlternateContent>
  <xdr:twoCellAnchor editAs="oneCell">
    <xdr:from>
      <xdr:col>13</xdr:col>
      <xdr:colOff>126210</xdr:colOff>
      <xdr:row>4</xdr:row>
      <xdr:rowOff>178594</xdr:rowOff>
    </xdr:from>
    <xdr:to>
      <xdr:col>14</xdr:col>
      <xdr:colOff>126211</xdr:colOff>
      <xdr:row>6</xdr:row>
      <xdr:rowOff>111919</xdr:rowOff>
    </xdr:to>
    <xdr:sp macro="" textlink="">
      <xdr:nvSpPr>
        <xdr:cNvPr id="132" name="Left Arrow 131"/>
        <xdr:cNvSpPr/>
      </xdr:nvSpPr>
      <xdr:spPr>
        <a:xfrm>
          <a:off x="6353179" y="964407"/>
          <a:ext cx="547688" cy="314325"/>
        </a:xfrm>
        <a:prstGeom prst="leftArrow">
          <a:avLst/>
        </a:prstGeom>
        <a:solidFill>
          <a:schemeClr val="accent1">
            <a:lumMod val="40000"/>
            <a:lumOff val="6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14</xdr:col>
      <xdr:colOff>135735</xdr:colOff>
      <xdr:row>5</xdr:row>
      <xdr:rowOff>16670</xdr:rowOff>
    </xdr:from>
    <xdr:to>
      <xdr:col>20</xdr:col>
      <xdr:colOff>697709</xdr:colOff>
      <xdr:row>6</xdr:row>
      <xdr:rowOff>83344</xdr:rowOff>
    </xdr:to>
    <xdr:sp macro="" textlink="">
      <xdr:nvSpPr>
        <xdr:cNvPr id="133" name="TextBox 132"/>
        <xdr:cNvSpPr txBox="1"/>
      </xdr:nvSpPr>
      <xdr:spPr>
        <a:xfrm>
          <a:off x="6910391" y="992983"/>
          <a:ext cx="38480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Your current</a:t>
          </a:r>
          <a:r>
            <a:rPr lang="en-GB" sz="1100" b="1" baseline="0">
              <a:solidFill>
                <a:schemeClr val="bg1"/>
              </a:solidFill>
            </a:rPr>
            <a:t> selection</a:t>
          </a:r>
          <a:endParaRPr lang="en-GB" sz="1100" b="1">
            <a:solidFill>
              <a:schemeClr val="bg1"/>
            </a:solidFill>
          </a:endParaRPr>
        </a:p>
      </xdr:txBody>
    </xdr:sp>
    <xdr:clientData/>
  </xdr:twoCellAnchor>
  <xdr:twoCellAnchor editAs="oneCell">
    <xdr:from>
      <xdr:col>13</xdr:col>
      <xdr:colOff>123829</xdr:colOff>
      <xdr:row>6</xdr:row>
      <xdr:rowOff>116681</xdr:rowOff>
    </xdr:from>
    <xdr:to>
      <xdr:col>14</xdr:col>
      <xdr:colOff>123830</xdr:colOff>
      <xdr:row>8</xdr:row>
      <xdr:rowOff>50006</xdr:rowOff>
    </xdr:to>
    <xdr:sp macro="" textlink="">
      <xdr:nvSpPr>
        <xdr:cNvPr id="134" name="Left Arrow 133"/>
        <xdr:cNvSpPr/>
      </xdr:nvSpPr>
      <xdr:spPr>
        <a:xfrm>
          <a:off x="6350798" y="1283494"/>
          <a:ext cx="547688" cy="314325"/>
        </a:xfrm>
        <a:prstGeom prst="lef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14</xdr:col>
      <xdr:colOff>133355</xdr:colOff>
      <xdr:row>6</xdr:row>
      <xdr:rowOff>145256</xdr:rowOff>
    </xdr:from>
    <xdr:to>
      <xdr:col>17</xdr:col>
      <xdr:colOff>361954</xdr:colOff>
      <xdr:row>8</xdr:row>
      <xdr:rowOff>21431</xdr:rowOff>
    </xdr:to>
    <xdr:sp macro="" textlink="">
      <xdr:nvSpPr>
        <xdr:cNvPr id="135" name="TextBox 134"/>
        <xdr:cNvSpPr txBox="1"/>
      </xdr:nvSpPr>
      <xdr:spPr>
        <a:xfrm>
          <a:off x="6908011" y="1312069"/>
          <a:ext cx="1871662"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Your current selection</a:t>
          </a:r>
        </a:p>
      </xdr:txBody>
    </xdr:sp>
    <xdr:clientData/>
  </xdr:twoCellAnchor>
  <xdr:twoCellAnchor editAs="oneCell">
    <xdr:from>
      <xdr:col>2</xdr:col>
      <xdr:colOff>0</xdr:colOff>
      <xdr:row>747</xdr:row>
      <xdr:rowOff>0</xdr:rowOff>
    </xdr:from>
    <xdr:to>
      <xdr:col>22</xdr:col>
      <xdr:colOff>10325</xdr:colOff>
      <xdr:row>748</xdr:row>
      <xdr:rowOff>123002</xdr:rowOff>
    </xdr:to>
    <xdr:grpSp>
      <xdr:nvGrpSpPr>
        <xdr:cNvPr id="136" name="Group 135"/>
        <xdr:cNvGrpSpPr/>
      </xdr:nvGrpSpPr>
      <xdr:grpSpPr>
        <a:xfrm>
          <a:off x="209550" y="150637875"/>
          <a:ext cx="10602125" cy="303977"/>
          <a:chOff x="219752" y="16256265"/>
          <a:chExt cx="10659783" cy="299214"/>
        </a:xfrm>
      </xdr:grpSpPr>
      <xdr:sp macro="" textlink="">
        <xdr:nvSpPr>
          <xdr:cNvPr id="137" name="Rectangle 136"/>
          <xdr:cNvSpPr/>
        </xdr:nvSpPr>
        <xdr:spPr>
          <a:xfrm>
            <a:off x="219752" y="16256265"/>
            <a:ext cx="10659783"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Sudden Infant Death</a:t>
            </a:r>
            <a:r>
              <a:rPr lang="en-GB" sz="1100" b="1" baseline="0"/>
              <a:t> Syndrome </a:t>
            </a:r>
          </a:p>
          <a:p>
            <a:pPr algn="l"/>
            <a:endParaRPr lang="en-GB" sz="1100" b="1"/>
          </a:p>
        </xdr:txBody>
      </xdr:sp>
      <xdr:sp macro="" textlink="">
        <xdr:nvSpPr>
          <xdr:cNvPr id="138" name="TextBox 137">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3</xdr:col>
      <xdr:colOff>0</xdr:colOff>
      <xdr:row>749</xdr:row>
      <xdr:rowOff>175531</xdr:rowOff>
    </xdr:from>
    <xdr:to>
      <xdr:col>20</xdr:col>
      <xdr:colOff>390637</xdr:colOff>
      <xdr:row>784</xdr:row>
      <xdr:rowOff>123826</xdr:rowOff>
    </xdr:to>
    <xdr:sp macro="" textlink="">
      <xdr:nvSpPr>
        <xdr:cNvPr id="139" name="Rectangle 138">
          <a:hlinkClick xmlns:r="http://schemas.openxmlformats.org/officeDocument/2006/relationships" r:id="rId14"/>
        </xdr:cNvPr>
        <xdr:cNvSpPr/>
      </xdr:nvSpPr>
      <xdr:spPr>
        <a:xfrm>
          <a:off x="742950" y="126886606"/>
          <a:ext cx="9620362" cy="628242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lvl="0"/>
          <a:r>
            <a:rPr lang="en-GB" sz="1200" b="1">
              <a:solidFill>
                <a:schemeClr val="dk1"/>
              </a:solidFill>
              <a:effectLst/>
              <a:latin typeface="+mn-lt"/>
              <a:ea typeface="+mn-ea"/>
              <a:cs typeface="+mn-cs"/>
            </a:rPr>
            <a:t>Why</a:t>
          </a:r>
          <a:r>
            <a:rPr lang="en-GB" sz="1200" b="1" baseline="0">
              <a:solidFill>
                <a:schemeClr val="dk1"/>
              </a:solidFill>
              <a:effectLst/>
              <a:latin typeface="+mn-lt"/>
              <a:ea typeface="+mn-ea"/>
              <a:cs typeface="+mn-cs"/>
            </a:rPr>
            <a:t> is it important to monitor unexplained and sudden infant deaths?</a:t>
          </a:r>
        </a:p>
        <a:p>
          <a:pPr lvl="0"/>
          <a:endParaRPr lang="en-GB" sz="800" b="1">
            <a:solidFill>
              <a:schemeClr val="dk1"/>
            </a:solidFill>
            <a:effectLst/>
            <a:latin typeface="+mn-lt"/>
            <a:ea typeface="+mn-ea"/>
            <a:cs typeface="+mn-cs"/>
          </a:endParaRPr>
        </a:p>
        <a:p>
          <a:pPr lvl="0"/>
          <a:r>
            <a:rPr lang="en-GB" sz="1100" b="0">
              <a:solidFill>
                <a:schemeClr val="dk1"/>
              </a:solidFill>
              <a:effectLst/>
              <a:latin typeface="+mn-lt"/>
              <a:ea typeface="+mn-ea"/>
              <a:cs typeface="+mn-cs"/>
            </a:rPr>
            <a:t>Sudden infant death</a:t>
          </a:r>
          <a:r>
            <a:rPr lang="en-GB" sz="1100" b="0" baseline="0">
              <a:solidFill>
                <a:schemeClr val="dk1"/>
              </a:solidFill>
              <a:effectLst/>
              <a:latin typeface="+mn-lt"/>
              <a:ea typeface="+mn-ea"/>
              <a:cs typeface="+mn-cs"/>
            </a:rPr>
            <a:t> syndrome (SIDS) - also known as cot death - is the sudden, unexpected and unexplained death of an apparently well baby. Around 200-300 sudden infant deaths occur in England and Wales each year. The main risk factors for unexplained infant death include: the baby's sex, birthweight, maternal age, parental marital status and socio-economic classification. In addition, other risk factors include sleeping position and sleep environments, not breastfeeding, temperature and tobacco smoke exposure. See the ONS statistical bulletin on </a:t>
          </a:r>
          <a:r>
            <a:rPr lang="en-GB" sz="1100" b="0" u="sng" baseline="0">
              <a:solidFill>
                <a:srgbClr val="191EE1"/>
              </a:solidFill>
              <a:effectLst/>
              <a:latin typeface="+mn-lt"/>
              <a:ea typeface="+mn-ea"/>
              <a:cs typeface="+mn-cs"/>
            </a:rPr>
            <a:t>Unexplained Deaths in Infancy </a:t>
          </a:r>
          <a:r>
            <a:rPr lang="en-GB" sz="1100" b="0" baseline="0">
              <a:solidFill>
                <a:schemeClr val="dk1"/>
              </a:solidFill>
              <a:effectLst/>
              <a:latin typeface="+mn-lt"/>
              <a:ea typeface="+mn-ea"/>
              <a:cs typeface="+mn-cs"/>
            </a:rPr>
            <a:t>for further information.</a:t>
          </a:r>
        </a:p>
        <a:p>
          <a:pPr lvl="0"/>
          <a:endParaRPr lang="en-GB" sz="800" b="0">
            <a:solidFill>
              <a:schemeClr val="dk1"/>
            </a:solidFill>
            <a:effectLst/>
            <a:latin typeface="+mn-lt"/>
            <a:ea typeface="+mn-ea"/>
            <a:cs typeface="+mn-cs"/>
          </a:endParaRPr>
        </a:p>
        <a:p>
          <a:pPr lvl="0"/>
          <a:r>
            <a:rPr lang="en-GB" sz="1200" b="1">
              <a:solidFill>
                <a:schemeClr val="dk1"/>
              </a:solidFill>
              <a:effectLst/>
              <a:latin typeface="+mn-lt"/>
              <a:ea typeface="+mn-ea"/>
              <a:cs typeface="+mn-cs"/>
            </a:rPr>
            <a:t>What helps?</a:t>
          </a:r>
        </a:p>
        <a:p>
          <a:pPr lvl="0"/>
          <a:endParaRPr lang="en-GB" sz="800" b="1">
            <a:solidFill>
              <a:schemeClr val="dk1"/>
            </a:solidFill>
            <a:effectLst/>
            <a:latin typeface="+mn-lt"/>
            <a:ea typeface="+mn-ea"/>
            <a:cs typeface="+mn-cs"/>
          </a:endParaRPr>
        </a:p>
        <a:p>
          <a:pPr lvl="0"/>
          <a:r>
            <a:rPr lang="en-GB" sz="1100" b="0">
              <a:solidFill>
                <a:schemeClr val="dk1"/>
              </a:solidFill>
              <a:effectLst/>
              <a:latin typeface="+mn-lt"/>
              <a:ea typeface="+mn-ea"/>
              <a:cs typeface="+mn-cs"/>
            </a:rPr>
            <a:t>There is no advice that guarantees the prevention of SIDS  but all  parents and carers should be informed that by following the safer sleep advice, it is possible to significantly lower the chance of this tragedy occurring.</a:t>
          </a:r>
        </a:p>
        <a:p>
          <a:pPr lvl="0"/>
          <a:r>
            <a:rPr lang="en-GB" sz="1100" b="0">
              <a:solidFill>
                <a:schemeClr val="dk1"/>
              </a:solidFill>
              <a:effectLst/>
              <a:latin typeface="+mn-lt"/>
              <a:ea typeface="+mn-ea"/>
              <a:cs typeface="+mn-cs"/>
            </a:rPr>
            <a:t>It is important for the Children’s Workforce working with parents and carers during the antenatal and postnatal periods to target them by discussing the Lullaby Trust safer sleep message. It is essential that all professionals in touch with parents and carers and visiting the family home make sure that the messages are understood by them, and do not assume that someone else has already offered leaflets, etc. Staff are encouraged to revisit the safer sleep advice for example if the mode of feeding changes from breast to bottle or around holiday times.</a:t>
          </a:r>
        </a:p>
        <a:p>
          <a:pPr lvl="0"/>
          <a:endParaRPr lang="en-GB" sz="800" b="1">
            <a:solidFill>
              <a:schemeClr val="dk1"/>
            </a:solidFill>
            <a:effectLst/>
            <a:latin typeface="+mn-lt"/>
            <a:ea typeface="+mn-ea"/>
            <a:cs typeface="+mn-cs"/>
          </a:endParaRPr>
        </a:p>
        <a:p>
          <a:pPr lvl="0"/>
          <a:r>
            <a:rPr lang="en-GB" sz="1200" b="1">
              <a:solidFill>
                <a:schemeClr val="dk1"/>
              </a:solidFill>
              <a:effectLst/>
              <a:latin typeface="+mn-lt"/>
              <a:ea typeface="+mn-ea"/>
              <a:cs typeface="+mn-cs"/>
            </a:rPr>
            <a:t>Indicator</a:t>
          </a:r>
        </a:p>
        <a:p>
          <a:pPr lvl="0"/>
          <a:endParaRPr lang="en-GB" sz="800" b="0">
            <a:solidFill>
              <a:schemeClr val="dk1"/>
            </a:solidFill>
            <a:effectLst/>
            <a:latin typeface="+mn-lt"/>
            <a:ea typeface="+mn-ea"/>
            <a:cs typeface="+mn-cs"/>
          </a:endParaRPr>
        </a:p>
        <a:p>
          <a:pPr lvl="0"/>
          <a:r>
            <a:rPr lang="en-GB" sz="1100" b="0">
              <a:solidFill>
                <a:schemeClr val="dk1"/>
              </a:solidFill>
              <a:effectLst/>
              <a:latin typeface="+mn-lt"/>
              <a:ea typeface="+mn-ea"/>
              <a:cs typeface="+mn-cs"/>
            </a:rPr>
            <a:t>The ONS summarises</a:t>
          </a:r>
          <a:r>
            <a:rPr lang="en-GB" sz="1100" b="0" baseline="0">
              <a:solidFill>
                <a:schemeClr val="dk1"/>
              </a:solidFill>
              <a:effectLst/>
              <a:latin typeface="+mn-lt"/>
              <a:ea typeface="+mn-ea"/>
              <a:cs typeface="+mn-cs"/>
            </a:rPr>
            <a:t> regional and local data on the number and rate of unexplained deaths of infants under the age of 1 year. This includes sudden infant deaths, and unascertained deaths as recorded on the death certificate.</a:t>
          </a:r>
          <a:endParaRPr lang="en-GB" sz="1100" b="0">
            <a:solidFill>
              <a:sysClr val="windowText" lastClr="000000"/>
            </a:solidFill>
            <a:effectLst/>
            <a:latin typeface="+mn-lt"/>
            <a:ea typeface="+mn-ea"/>
            <a:cs typeface="+mn-cs"/>
          </a:endParaRPr>
        </a:p>
        <a:p>
          <a:pPr lvl="0"/>
          <a:endParaRPr lang="en-GB" sz="800" b="0">
            <a:solidFill>
              <a:schemeClr val="dk1"/>
            </a:solidFill>
            <a:effectLst/>
            <a:latin typeface="+mn-lt"/>
            <a:ea typeface="+mn-ea"/>
            <a:cs typeface="+mn-cs"/>
          </a:endParaRPr>
        </a:p>
        <a:p>
          <a:r>
            <a:rPr lang="en-GB" sz="1200" b="1">
              <a:effectLst/>
            </a:rPr>
            <a:t>How is the indicator</a:t>
          </a:r>
          <a:r>
            <a:rPr lang="en-GB" sz="1200" b="1" baseline="0">
              <a:effectLst/>
            </a:rPr>
            <a:t> defined?</a:t>
          </a:r>
        </a:p>
        <a:p>
          <a:endParaRPr lang="en-GB" sz="800" b="0">
            <a:effectLst/>
          </a:endParaRPr>
        </a:p>
        <a:p>
          <a:r>
            <a:rPr lang="en-GB" sz="1100" b="0">
              <a:effectLst/>
            </a:rPr>
            <a:t>Crude rate of unexplained deaths per 1,000 live births. </a:t>
          </a:r>
        </a:p>
        <a:p>
          <a:endParaRPr lang="en-GB" sz="800">
            <a:effectLst/>
          </a:endParaRPr>
        </a:p>
        <a:p>
          <a:r>
            <a:rPr lang="en-GB" sz="1200" b="1" baseline="0">
              <a:solidFill>
                <a:schemeClr val="dk1"/>
              </a:solidFill>
              <a:effectLst/>
              <a:latin typeface="+mn-lt"/>
              <a:ea typeface="+mn-ea"/>
              <a:cs typeface="+mn-cs"/>
            </a:rPr>
            <a:t>How accurate and complete is the data?</a:t>
          </a:r>
        </a:p>
        <a:p>
          <a:endParaRPr lang="en-GB" sz="800" b="1"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latin typeface="+mn-lt"/>
              <a:ea typeface="+mn-ea"/>
              <a:cs typeface="+mn-cs"/>
            </a:rPr>
            <a:t>The number of unexplained</a:t>
          </a:r>
          <a:r>
            <a:rPr lang="en-GB" sz="1100" b="0" baseline="0">
              <a:solidFill>
                <a:schemeClr val="dk1"/>
              </a:solidFill>
              <a:effectLst/>
              <a:latin typeface="+mn-lt"/>
              <a:ea typeface="+mn-ea"/>
              <a:cs typeface="+mn-cs"/>
            </a:rPr>
            <a:t> deaths for each CFC are very small so it is not possible to calculate rates at this level. Data is instead presented by the local authority of the selected CFC. In addition, d</a:t>
          </a:r>
          <a:r>
            <a:rPr lang="en-GB" sz="1100">
              <a:effectLst/>
            </a:rPr>
            <a:t>ue</a:t>
          </a:r>
          <a:r>
            <a:rPr lang="en-GB" sz="1100" baseline="0">
              <a:effectLst/>
            </a:rPr>
            <a:t> to a small number of counts, data are pooled across all available years (2004-2013).</a:t>
          </a:r>
        </a:p>
        <a:p>
          <a:endParaRPr lang="en-GB" sz="800">
            <a:effectLst/>
          </a:endParaRPr>
        </a:p>
        <a:p>
          <a:r>
            <a:rPr lang="en-GB" sz="1200" b="1">
              <a:effectLst/>
            </a:rPr>
            <a:t>Are</a:t>
          </a:r>
          <a:r>
            <a:rPr lang="en-GB" sz="1200" b="1" baseline="0">
              <a:effectLst/>
            </a:rPr>
            <a:t> there any other caveats/problems/weaknesses?</a:t>
          </a:r>
        </a:p>
        <a:p>
          <a:endParaRPr lang="en-GB" sz="800" b="0">
            <a:effectLst/>
          </a:endParaRPr>
        </a:p>
        <a:p>
          <a:pPr lvl="1"/>
          <a:r>
            <a:rPr lang="en-GB" sz="1100" b="0">
              <a:effectLst/>
            </a:rPr>
            <a:t>1. Small numbers makes</a:t>
          </a:r>
          <a:r>
            <a:rPr lang="en-GB" sz="1100" b="0" baseline="0">
              <a:effectLst/>
            </a:rPr>
            <a:t> this data volatile. This should be interpreted with caution.</a:t>
          </a:r>
        </a:p>
        <a:p>
          <a:pPr lvl="1"/>
          <a:r>
            <a:rPr lang="en-GB" sz="1100" b="0" baseline="0">
              <a:effectLst/>
            </a:rPr>
            <a:t>2. Unexplained infant deaths include "SIDs" and "unascertained deaths". "Unascertained deaths" are used by pathologists when the death does not fulfil the criteria used for SIDs and there is doubt about its cause, so it is possible that this measure overinflates the true number of SIDs. However, due to evidence that these terms are often used interchangably, both cause groups are included.</a:t>
          </a:r>
        </a:p>
        <a:p>
          <a:pPr lvl="1"/>
          <a:r>
            <a:rPr lang="en-GB" sz="1100" b="0" baseline="0">
              <a:effectLst/>
            </a:rPr>
            <a:t>3. Data for 2013 are currently provisional.</a:t>
          </a:r>
          <a:endParaRPr lang="en-GB" sz="1100">
            <a:effectLst/>
          </a:endParaRPr>
        </a:p>
      </xdr:txBody>
    </xdr:sp>
    <xdr:clientData/>
  </xdr:twoCellAnchor>
  <xdr:twoCellAnchor editAs="oneCell">
    <xdr:from>
      <xdr:col>17</xdr:col>
      <xdr:colOff>447675</xdr:colOff>
      <xdr:row>1</xdr:row>
      <xdr:rowOff>19050</xdr:rowOff>
    </xdr:from>
    <xdr:to>
      <xdr:col>20</xdr:col>
      <xdr:colOff>676275</xdr:colOff>
      <xdr:row>2</xdr:row>
      <xdr:rowOff>47625</xdr:rowOff>
    </xdr:to>
    <xdr:sp macro="" textlink="">
      <xdr:nvSpPr>
        <xdr:cNvPr id="140" name="Rectangle 139">
          <a:hlinkClick xmlns:r="http://schemas.openxmlformats.org/officeDocument/2006/relationships" r:id="rId15"/>
        </xdr:cNvPr>
        <xdr:cNvSpPr/>
      </xdr:nvSpPr>
      <xdr:spPr>
        <a:xfrm>
          <a:off x="8791575" y="209550"/>
          <a:ext cx="1857375" cy="24765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en-GB" sz="1100"/>
            <a:t>Go</a:t>
          </a:r>
          <a:r>
            <a:rPr lang="en-GB" sz="1100" baseline="0"/>
            <a:t> to the data</a:t>
          </a:r>
          <a:endParaRPr lang="en-GB" sz="1100"/>
        </a:p>
      </xdr:txBody>
    </xdr:sp>
    <xdr:clientData/>
  </xdr:twoCellAnchor>
  <xdr:twoCellAnchor editAs="oneCell">
    <xdr:from>
      <xdr:col>18</xdr:col>
      <xdr:colOff>0</xdr:colOff>
      <xdr:row>107</xdr:row>
      <xdr:rowOff>0</xdr:rowOff>
    </xdr:from>
    <xdr:to>
      <xdr:col>19</xdr:col>
      <xdr:colOff>495300</xdr:colOff>
      <xdr:row>109</xdr:row>
      <xdr:rowOff>71967</xdr:rowOff>
    </xdr:to>
    <xdr:sp macro="" textlink="">
      <xdr:nvSpPr>
        <xdr:cNvPr id="141" name="Rectangle 140"/>
        <xdr:cNvSpPr/>
      </xdr:nvSpPr>
      <xdr:spPr>
        <a:xfrm>
          <a:off x="8886825" y="19335750"/>
          <a:ext cx="1038225" cy="452967"/>
        </a:xfrm>
        <a:prstGeom prst="rect">
          <a:avLst/>
        </a:prstGeom>
        <a:solidFill>
          <a:schemeClr val="accent1">
            <a:lumMod val="20000"/>
            <a:lumOff val="8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b="1"/>
            <a:t>OFSTED</a:t>
          </a:r>
          <a:r>
            <a:rPr lang="en-GB" sz="1100" b="1" baseline="0"/>
            <a:t> KPI</a:t>
          </a:r>
          <a:endParaRPr lang="en-GB" sz="1100" b="1"/>
        </a:p>
      </xdr:txBody>
    </xdr:sp>
    <xdr:clientData/>
  </xdr:twoCellAnchor>
  <xdr:twoCellAnchor editAs="oneCell">
    <xdr:from>
      <xdr:col>18</xdr:col>
      <xdr:colOff>0</xdr:colOff>
      <xdr:row>13</xdr:row>
      <xdr:rowOff>123825</xdr:rowOff>
    </xdr:from>
    <xdr:to>
      <xdr:col>19</xdr:col>
      <xdr:colOff>495300</xdr:colOff>
      <xdr:row>16</xdr:row>
      <xdr:rowOff>0</xdr:rowOff>
    </xdr:to>
    <xdr:sp macro="" textlink="">
      <xdr:nvSpPr>
        <xdr:cNvPr id="142" name="Rectangle 141"/>
        <xdr:cNvSpPr/>
      </xdr:nvSpPr>
      <xdr:spPr>
        <a:xfrm>
          <a:off x="8886825" y="2628900"/>
          <a:ext cx="1038225" cy="447675"/>
        </a:xfrm>
        <a:prstGeom prst="rect">
          <a:avLst/>
        </a:prstGeom>
        <a:solidFill>
          <a:schemeClr val="accent1">
            <a:lumMod val="20000"/>
            <a:lumOff val="8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b="1"/>
            <a:t>OFSTED</a:t>
          </a:r>
          <a:r>
            <a:rPr lang="en-GB" sz="1100" b="1" baseline="0"/>
            <a:t> KPI</a:t>
          </a:r>
          <a:endParaRPr lang="en-GB" sz="1100" b="1"/>
        </a:p>
      </xdr:txBody>
    </xdr:sp>
    <xdr:clientData/>
  </xdr:twoCellAnchor>
  <xdr:twoCellAnchor editAs="oneCell">
    <xdr:from>
      <xdr:col>2</xdr:col>
      <xdr:colOff>0</xdr:colOff>
      <xdr:row>810</xdr:row>
      <xdr:rowOff>0</xdr:rowOff>
    </xdr:from>
    <xdr:to>
      <xdr:col>22</xdr:col>
      <xdr:colOff>10325</xdr:colOff>
      <xdr:row>811</xdr:row>
      <xdr:rowOff>113477</xdr:rowOff>
    </xdr:to>
    <xdr:grpSp>
      <xdr:nvGrpSpPr>
        <xdr:cNvPr id="143" name="Group 142"/>
        <xdr:cNvGrpSpPr/>
      </xdr:nvGrpSpPr>
      <xdr:grpSpPr>
        <a:xfrm>
          <a:off x="209550" y="162277425"/>
          <a:ext cx="10602125" cy="303977"/>
          <a:chOff x="219752" y="16256265"/>
          <a:chExt cx="10659783" cy="299214"/>
        </a:xfrm>
      </xdr:grpSpPr>
      <xdr:sp macro="" textlink="">
        <xdr:nvSpPr>
          <xdr:cNvPr id="144" name="Rectangle 143"/>
          <xdr:cNvSpPr/>
        </xdr:nvSpPr>
        <xdr:spPr>
          <a:xfrm>
            <a:off x="219752" y="16256265"/>
            <a:ext cx="10659783"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Speech</a:t>
            </a:r>
            <a:r>
              <a:rPr lang="en-GB" sz="1100" b="1" baseline="0"/>
              <a:t>, Language and Communication Needs </a:t>
            </a:r>
          </a:p>
          <a:p>
            <a:pPr algn="l"/>
            <a:endParaRPr lang="en-GB" sz="1100" b="1"/>
          </a:p>
        </xdr:txBody>
      </xdr:sp>
      <xdr:sp macro="" textlink="">
        <xdr:nvSpPr>
          <xdr:cNvPr id="145" name="TextBox 144">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514350</xdr:colOff>
      <xdr:row>813</xdr:row>
      <xdr:rowOff>38099</xdr:rowOff>
    </xdr:from>
    <xdr:to>
      <xdr:col>20</xdr:col>
      <xdr:colOff>371587</xdr:colOff>
      <xdr:row>831</xdr:row>
      <xdr:rowOff>9525</xdr:rowOff>
    </xdr:to>
    <xdr:sp macro="" textlink="">
      <xdr:nvSpPr>
        <xdr:cNvPr id="146" name="Rectangle 145">
          <a:hlinkClick xmlns:r="http://schemas.openxmlformats.org/officeDocument/2006/relationships" r:id="rId16"/>
        </xdr:cNvPr>
        <xdr:cNvSpPr/>
      </xdr:nvSpPr>
      <xdr:spPr>
        <a:xfrm>
          <a:off x="723900" y="138407774"/>
          <a:ext cx="9620362" cy="3400426"/>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Why improving children’s speech language and communication is important?</a:t>
          </a:r>
        </a:p>
        <a:p>
          <a:pPr marL="0" marR="0" lvl="0" indent="0" defTabSz="914400" eaLnBrk="1" fontAlgn="auto" latinLnBrk="0" hangingPunct="1">
            <a:lnSpc>
              <a:spcPct val="100000"/>
            </a:lnSpc>
            <a:spcBef>
              <a:spcPts val="0"/>
            </a:spcBef>
            <a:spcAft>
              <a:spcPts val="0"/>
            </a:spcAft>
            <a:buClrTx/>
            <a:buSzTx/>
            <a:buFontTx/>
            <a:buNone/>
            <a:tabLst/>
            <a:defRPr/>
          </a:pPr>
          <a:endParaRPr lang="en-GB" sz="1050" b="1">
            <a:solidFill>
              <a:schemeClr val="dk1"/>
            </a:solidFill>
            <a:effectLst/>
            <a:latin typeface="+mn-lt"/>
            <a:ea typeface="+mn-ea"/>
            <a:cs typeface="+mn-cs"/>
          </a:endParaRPr>
        </a:p>
        <a:p>
          <a:r>
            <a:rPr lang="en-GB" sz="1100">
              <a:solidFill>
                <a:schemeClr val="dk1"/>
              </a:solidFill>
              <a:effectLst/>
              <a:latin typeface="+mn-lt"/>
              <a:ea typeface="+mn-ea"/>
              <a:cs typeface="+mn-cs"/>
            </a:rPr>
            <a:t>The ability to communicate is an essential life skill for all children and young people and it underpins a child’s social, emotional and educational development.</a:t>
          </a:r>
          <a:r>
            <a:rPr lang="en-GB" sz="1100" i="1">
              <a:solidFill>
                <a:schemeClr val="dk1"/>
              </a:solidFill>
              <a:effectLst/>
              <a:latin typeface="+mn-lt"/>
              <a:ea typeface="+mn-ea"/>
              <a:cs typeface="+mn-cs"/>
            </a:rPr>
            <a:t> </a:t>
          </a:r>
          <a:r>
            <a:rPr lang="en-GB" sz="1100">
              <a:solidFill>
                <a:schemeClr val="dk1"/>
              </a:solidFill>
              <a:effectLst/>
              <a:latin typeface="+mn-lt"/>
              <a:ea typeface="+mn-ea"/>
              <a:cs typeface="+mn-cs"/>
            </a:rPr>
            <a:t>It is estimated that 23% of children and young people aged 0-19 in West Sussex have speech, language and communication needs (SLCN), with increased prevalence in the most deprived areas.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long-term social and economic costs of not addressing SLCN within the child population are highlighted in the Bercow Report (Department for Education 2008). Poor language and communication skills amongst young people in the youth justice system and the potential links between poor communications skills, poor academic attainment and numbers of young people who are not in education, training or employment are also raised.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What helps?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a:solidFill>
              <a:schemeClr val="dk1"/>
            </a:solidFill>
            <a:effectLst/>
            <a:latin typeface="+mn-lt"/>
            <a:ea typeface="+mn-ea"/>
            <a:cs typeface="+mn-cs"/>
          </a:endParaRPr>
        </a:p>
        <a:p>
          <a:r>
            <a:rPr lang="en-GB" sz="1100">
              <a:solidFill>
                <a:schemeClr val="dk1"/>
              </a:solidFill>
              <a:effectLst/>
              <a:latin typeface="+mn-lt"/>
              <a:ea typeface="+mn-ea"/>
              <a:cs typeface="+mn-cs"/>
            </a:rPr>
            <a:t>Early identification and intervention through effective joint working means recognising a child’s difficulty as early as possible. If a child receives the right help early on they have a better chance of tackling problems, communicating well and making progress. If a child does not benefit from early intervention, there are multiple risks of lower educational attainment,  behavioural problems, emotional and psychological difficulties, poorer employment prospects and challenges to mental health.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With training and support from specialist speech and language therapists, the Children’s Workforce are ideally placed to support parents and promote the need to enhance the communication skills of all children.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a:solidFill>
              <a:schemeClr val="dk1"/>
            </a:solidFill>
            <a:effectLst/>
            <a:latin typeface="+mn-lt"/>
            <a:ea typeface="+mn-ea"/>
            <a:cs typeface="+mn-cs"/>
          </a:endParaRPr>
        </a:p>
        <a:p>
          <a:pPr lvl="0"/>
          <a:endParaRPr lang="en-GB" sz="1100">
            <a:effectLst/>
          </a:endParaRPr>
        </a:p>
      </xdr:txBody>
    </xdr:sp>
    <xdr:clientData/>
  </xdr:twoCellAnchor>
  <xdr:twoCellAnchor editAs="oneCell">
    <xdr:from>
      <xdr:col>2</xdr:col>
      <xdr:colOff>0</xdr:colOff>
      <xdr:row>367</xdr:row>
      <xdr:rowOff>0</xdr:rowOff>
    </xdr:from>
    <xdr:to>
      <xdr:col>22</xdr:col>
      <xdr:colOff>4883</xdr:colOff>
      <xdr:row>368</xdr:row>
      <xdr:rowOff>113475</xdr:rowOff>
    </xdr:to>
    <xdr:grpSp>
      <xdr:nvGrpSpPr>
        <xdr:cNvPr id="147" name="Group 146"/>
        <xdr:cNvGrpSpPr/>
      </xdr:nvGrpSpPr>
      <xdr:grpSpPr>
        <a:xfrm>
          <a:off x="209550" y="74961750"/>
          <a:ext cx="10596683" cy="303975"/>
          <a:chOff x="219752" y="16256265"/>
          <a:chExt cx="10659783" cy="299214"/>
        </a:xfrm>
      </xdr:grpSpPr>
      <xdr:sp macro="" textlink="">
        <xdr:nvSpPr>
          <xdr:cNvPr id="148" name="Rectangle 147"/>
          <xdr:cNvSpPr/>
        </xdr:nvSpPr>
        <xdr:spPr>
          <a:xfrm>
            <a:off x="219752" y="16256265"/>
            <a:ext cx="10659783"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Postnatal</a:t>
            </a:r>
            <a:r>
              <a:rPr lang="en-GB" sz="1100" b="1" baseline="0"/>
              <a:t> Depression (2011 data)</a:t>
            </a:r>
          </a:p>
          <a:p>
            <a:pPr algn="l"/>
            <a:endParaRPr lang="en-GB" sz="1100" b="1"/>
          </a:p>
        </xdr:txBody>
      </xdr:sp>
      <xdr:sp macro="" textlink="">
        <xdr:nvSpPr>
          <xdr:cNvPr id="149" name="TextBox 148">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0</xdr:colOff>
      <xdr:row>417</xdr:row>
      <xdr:rowOff>47625</xdr:rowOff>
    </xdr:from>
    <xdr:to>
      <xdr:col>22</xdr:col>
      <xdr:colOff>4883</xdr:colOff>
      <xdr:row>418</xdr:row>
      <xdr:rowOff>170625</xdr:rowOff>
    </xdr:to>
    <xdr:grpSp>
      <xdr:nvGrpSpPr>
        <xdr:cNvPr id="150" name="Group 149"/>
        <xdr:cNvGrpSpPr/>
      </xdr:nvGrpSpPr>
      <xdr:grpSpPr>
        <a:xfrm>
          <a:off x="209550" y="84410550"/>
          <a:ext cx="10596683" cy="303975"/>
          <a:chOff x="219752" y="16256265"/>
          <a:chExt cx="10659783" cy="299214"/>
        </a:xfrm>
      </xdr:grpSpPr>
      <xdr:sp macro="" textlink="">
        <xdr:nvSpPr>
          <xdr:cNvPr id="151" name="Rectangle 150"/>
          <xdr:cNvSpPr/>
        </xdr:nvSpPr>
        <xdr:spPr>
          <a:xfrm>
            <a:off x="219752" y="16256265"/>
            <a:ext cx="10659783"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Postnatal</a:t>
            </a:r>
            <a:r>
              <a:rPr lang="en-GB" sz="1100" b="1" baseline="0"/>
              <a:t> Depression (2014 data)</a:t>
            </a:r>
          </a:p>
          <a:p>
            <a:pPr algn="l"/>
            <a:endParaRPr lang="en-GB" sz="1100" b="1"/>
          </a:p>
        </xdr:txBody>
      </xdr:sp>
      <xdr:sp macro="" textlink="">
        <xdr:nvSpPr>
          <xdr:cNvPr id="152" name="TextBox 151">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3</xdr:col>
      <xdr:colOff>0</xdr:colOff>
      <xdr:row>426</xdr:row>
      <xdr:rowOff>0</xdr:rowOff>
    </xdr:from>
    <xdr:to>
      <xdr:col>20</xdr:col>
      <xdr:colOff>384022</xdr:colOff>
      <xdr:row>435</xdr:row>
      <xdr:rowOff>133351</xdr:rowOff>
    </xdr:to>
    <xdr:sp macro="" textlink="">
      <xdr:nvSpPr>
        <xdr:cNvPr id="153" name="Rectangle 152"/>
        <xdr:cNvSpPr/>
      </xdr:nvSpPr>
      <xdr:spPr>
        <a:xfrm>
          <a:off x="742950" y="82981800"/>
          <a:ext cx="9613747" cy="1762126"/>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r>
            <a:rPr lang="en-GB" sz="1100">
              <a:effectLst/>
            </a:rPr>
            <a:t>The diagram below shows how women are currently being screened and identified for support via the </a:t>
          </a:r>
          <a:r>
            <a:rPr lang="en-GB" sz="1100" baseline="0">
              <a:effectLst/>
            </a:rPr>
            <a:t> 12 week </a:t>
          </a:r>
          <a:r>
            <a:rPr lang="en-GB" sz="1100">
              <a:effectLst/>
            </a:rPr>
            <a:t>check. The figures in blue represent the number of women at each stage of the process. Of the 4,353 women with recorded information, 4,329 had been screened using the Whooley questionnaire. Similarly</a:t>
          </a:r>
          <a:r>
            <a:rPr lang="en-GB" sz="1100" baseline="0">
              <a:effectLst/>
            </a:rPr>
            <a:t> to 2011 data, </a:t>
          </a:r>
          <a:r>
            <a:rPr lang="en-GB" sz="1100">
              <a:effectLst/>
            </a:rPr>
            <a:t>various paths had been followed with the screening tools</a:t>
          </a:r>
          <a:r>
            <a:rPr lang="en-GB" sz="1100" baseline="0">
              <a:effectLst/>
            </a:rPr>
            <a:t>. A smally number of </a:t>
          </a:r>
          <a:r>
            <a:rPr lang="en-GB" sz="1100">
              <a:effectLst/>
            </a:rPr>
            <a:t>women had no initial screening data but then had been assessed using the Edinburgh scale, some had been</a:t>
          </a:r>
          <a:r>
            <a:rPr lang="en-GB" sz="1100" baseline="0">
              <a:effectLst/>
            </a:rPr>
            <a:t> </a:t>
          </a:r>
          <a:r>
            <a:rPr lang="en-GB" sz="1100">
              <a:effectLst/>
            </a:rPr>
            <a:t>identified using the Whooley but then not assessed using the Edinburgh tool.</a:t>
          </a:r>
        </a:p>
        <a:p>
          <a:endParaRPr lang="en-GB" sz="1100">
            <a:effectLst/>
          </a:endParaRPr>
        </a:p>
        <a:p>
          <a:r>
            <a:rPr lang="en-GB" sz="1100">
              <a:effectLst/>
            </a:rPr>
            <a:t>The data reflect the fact that the process by which women are identified as having, or being at risk of having, post natal depression is inconsistent across West Sussex. The information below relates to 4,350</a:t>
          </a:r>
          <a:r>
            <a:rPr lang="en-GB" sz="1100" baseline="0">
              <a:effectLst/>
            </a:rPr>
            <a:t> </a:t>
          </a:r>
          <a:r>
            <a:rPr lang="en-GB" sz="1100">
              <a:effectLst/>
            </a:rPr>
            <a:t>women, this is compared to approximately 8,700 births.</a:t>
          </a:r>
        </a:p>
        <a:p>
          <a:endParaRPr lang="en-GB" sz="1100">
            <a:effectLst/>
          </a:endParaRPr>
        </a:p>
        <a:p>
          <a:r>
            <a:rPr lang="en-GB" sz="1100">
              <a:effectLst/>
            </a:rPr>
            <a:t>The diagram below shows that,of the women where the Whooley tool was used, 138</a:t>
          </a:r>
          <a:r>
            <a:rPr lang="en-GB" sz="1100" baseline="0">
              <a:effectLst/>
            </a:rPr>
            <a:t> </a:t>
          </a:r>
          <a:r>
            <a:rPr lang="en-GB" sz="1100">
              <a:effectLst/>
            </a:rPr>
            <a:t>women requested more help.</a:t>
          </a:r>
        </a:p>
      </xdr:txBody>
    </xdr:sp>
    <xdr:clientData/>
  </xdr:twoCellAnchor>
  <xdr:twoCellAnchor>
    <xdr:from>
      <xdr:col>2</xdr:col>
      <xdr:colOff>323850</xdr:colOff>
      <xdr:row>436</xdr:row>
      <xdr:rowOff>161925</xdr:rowOff>
    </xdr:from>
    <xdr:to>
      <xdr:col>20</xdr:col>
      <xdr:colOff>486406</xdr:colOff>
      <xdr:row>468</xdr:row>
      <xdr:rowOff>0</xdr:rowOff>
    </xdr:to>
    <xdr:grpSp>
      <xdr:nvGrpSpPr>
        <xdr:cNvPr id="154" name="Group 153"/>
        <xdr:cNvGrpSpPr/>
      </xdr:nvGrpSpPr>
      <xdr:grpSpPr>
        <a:xfrm>
          <a:off x="533400" y="88011000"/>
          <a:ext cx="9925681" cy="5629275"/>
          <a:chOff x="9525" y="-78793"/>
          <a:chExt cx="9925936" cy="5820817"/>
        </a:xfrm>
      </xdr:grpSpPr>
      <xdr:sp macro="" textlink="">
        <xdr:nvSpPr>
          <xdr:cNvPr id="155" name="Text Box 13"/>
          <xdr:cNvSpPr txBox="1"/>
        </xdr:nvSpPr>
        <xdr:spPr>
          <a:xfrm>
            <a:off x="7187610" y="2849525"/>
            <a:ext cx="933450" cy="4286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Less than 10</a:t>
            </a:r>
          </a:p>
          <a:p>
            <a:pPr>
              <a:lnSpc>
                <a:spcPct val="115000"/>
              </a:lnSpc>
              <a:spcAft>
                <a:spcPts val="1000"/>
              </a:spcAft>
            </a:pPr>
            <a:r>
              <a:rPr lang="en-GB" sz="1200" b="1">
                <a:solidFill>
                  <a:srgbClr val="191EE1"/>
                </a:solidFill>
                <a:effectLst/>
                <a:latin typeface="Calibri"/>
                <a:ea typeface="Calibri"/>
                <a:cs typeface="Times New Roman"/>
              </a:rPr>
              <a:t>44</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xdr:txBody>
      </xdr:sp>
      <xdr:sp macro="" textlink="">
        <xdr:nvSpPr>
          <xdr:cNvPr id="156" name="Text Box 14"/>
          <xdr:cNvSpPr txBox="1"/>
        </xdr:nvSpPr>
        <xdr:spPr>
          <a:xfrm>
            <a:off x="7187610" y="2200939"/>
            <a:ext cx="933450" cy="495300"/>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10 or more</a:t>
            </a:r>
          </a:p>
          <a:p>
            <a:pPr>
              <a:lnSpc>
                <a:spcPct val="115000"/>
              </a:lnSpc>
              <a:spcAft>
                <a:spcPts val="0"/>
              </a:spcAft>
            </a:pPr>
            <a:r>
              <a:rPr lang="en-GB" sz="1200" b="1">
                <a:solidFill>
                  <a:srgbClr val="191EE1"/>
                </a:solidFill>
                <a:effectLst/>
                <a:latin typeface="Calibri"/>
                <a:ea typeface="Calibri"/>
                <a:cs typeface="Times New Roman"/>
              </a:rPr>
              <a:t>16</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xdr:txBody>
      </xdr:sp>
      <xdr:grpSp>
        <xdr:nvGrpSpPr>
          <xdr:cNvPr id="157" name="Group 156"/>
          <xdr:cNvGrpSpPr/>
        </xdr:nvGrpSpPr>
        <xdr:grpSpPr>
          <a:xfrm>
            <a:off x="9525" y="-78793"/>
            <a:ext cx="9925936" cy="5820817"/>
            <a:chOff x="9525" y="-78793"/>
            <a:chExt cx="9925936" cy="5820817"/>
          </a:xfrm>
        </xdr:grpSpPr>
        <xdr:grpSp>
          <xdr:nvGrpSpPr>
            <xdr:cNvPr id="158" name="Group 157"/>
            <xdr:cNvGrpSpPr/>
          </xdr:nvGrpSpPr>
          <xdr:grpSpPr>
            <a:xfrm>
              <a:off x="191386" y="350874"/>
              <a:ext cx="9744075" cy="5391150"/>
              <a:chOff x="0" y="0"/>
              <a:chExt cx="9744075" cy="5391150"/>
            </a:xfrm>
          </xdr:grpSpPr>
          <xdr:sp macro="" textlink="">
            <xdr:nvSpPr>
              <xdr:cNvPr id="163" name="Text Box 2"/>
              <xdr:cNvSpPr txBox="1"/>
            </xdr:nvSpPr>
            <xdr:spPr>
              <a:xfrm>
                <a:off x="7000875" y="4238625"/>
                <a:ext cx="933450" cy="4667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Less than 10</a:t>
                </a:r>
              </a:p>
              <a:p>
                <a:pPr>
                  <a:lnSpc>
                    <a:spcPct val="115000"/>
                  </a:lnSpc>
                  <a:spcAft>
                    <a:spcPts val="1000"/>
                  </a:spcAft>
                </a:pPr>
                <a:r>
                  <a:rPr lang="en-GB" sz="1200" b="1">
                    <a:solidFill>
                      <a:srgbClr val="191EE1"/>
                    </a:solidFill>
                    <a:effectLst/>
                    <a:latin typeface="Calibri"/>
                    <a:ea typeface="Calibri"/>
                    <a:cs typeface="Times New Roman"/>
                  </a:rPr>
                  <a:t>1</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xdr:txBody>
          </xdr:sp>
          <xdr:sp macro="" textlink="">
            <xdr:nvSpPr>
              <xdr:cNvPr id="164" name="Text Box 12"/>
              <xdr:cNvSpPr txBox="1"/>
            </xdr:nvSpPr>
            <xdr:spPr>
              <a:xfrm>
                <a:off x="7000875" y="3638550"/>
                <a:ext cx="962025" cy="438150"/>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10 or more</a:t>
                </a:r>
              </a:p>
              <a:p>
                <a:pPr>
                  <a:lnSpc>
                    <a:spcPct val="115000"/>
                  </a:lnSpc>
                  <a:spcAft>
                    <a:spcPts val="0"/>
                  </a:spcAft>
                </a:pPr>
                <a:r>
                  <a:rPr lang="en-GB" sz="1200" b="1">
                    <a:solidFill>
                      <a:srgbClr val="191EE1"/>
                    </a:solidFill>
                    <a:effectLst/>
                    <a:latin typeface="Calibri"/>
                    <a:ea typeface="Calibri"/>
                    <a:cs typeface="Times New Roman"/>
                  </a:rPr>
                  <a:t>2</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xdr:txBody>
          </xdr:sp>
          <xdr:sp macro="" textlink="">
            <xdr:nvSpPr>
              <xdr:cNvPr id="165" name="Text Box 29"/>
              <xdr:cNvSpPr txBox="1"/>
            </xdr:nvSpPr>
            <xdr:spPr>
              <a:xfrm>
                <a:off x="8298440" y="3105150"/>
                <a:ext cx="1376795" cy="40957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More help required</a:t>
                </a:r>
              </a:p>
              <a:p>
                <a:pPr>
                  <a:lnSpc>
                    <a:spcPct val="115000"/>
                  </a:lnSpc>
                  <a:spcAft>
                    <a:spcPts val="0"/>
                  </a:spcAft>
                </a:pPr>
                <a:r>
                  <a:rPr lang="en-GB" sz="1200" b="1">
                    <a:solidFill>
                      <a:srgbClr val="191EE1"/>
                    </a:solidFill>
                    <a:effectLst/>
                    <a:latin typeface="Calibri"/>
                    <a:ea typeface="Calibri"/>
                    <a:cs typeface="Times New Roman"/>
                  </a:rPr>
                  <a:t>0</a:t>
                </a:r>
                <a:endParaRPr lang="en-GB" sz="1100">
                  <a:solidFill>
                    <a:srgbClr val="191EE1"/>
                  </a:solidFill>
                  <a:effectLst/>
                  <a:latin typeface="Calibri"/>
                  <a:ea typeface="Calibri"/>
                  <a:cs typeface="Times New Roman"/>
                </a:endParaRPr>
              </a:p>
            </xdr:txBody>
          </xdr:sp>
          <xdr:sp macro="" textlink="">
            <xdr:nvSpPr>
              <xdr:cNvPr id="166" name="Text Box 30"/>
              <xdr:cNvSpPr txBox="1"/>
            </xdr:nvSpPr>
            <xdr:spPr>
              <a:xfrm>
                <a:off x="8286750" y="3638550"/>
                <a:ext cx="1333500" cy="438150"/>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More help required</a:t>
                </a:r>
              </a:p>
              <a:p>
                <a:pPr>
                  <a:lnSpc>
                    <a:spcPct val="115000"/>
                  </a:lnSpc>
                  <a:spcAft>
                    <a:spcPts val="0"/>
                  </a:spcAft>
                </a:pPr>
                <a:r>
                  <a:rPr lang="en-GB" sz="1200" b="1">
                    <a:solidFill>
                      <a:srgbClr val="191EE1"/>
                    </a:solidFill>
                    <a:effectLst/>
                    <a:latin typeface="Calibri"/>
                    <a:ea typeface="Calibri"/>
                    <a:cs typeface="Times New Roman"/>
                  </a:rPr>
                  <a:t>0</a:t>
                </a:r>
                <a:endParaRPr lang="en-GB" sz="1100">
                  <a:solidFill>
                    <a:srgbClr val="191EE1"/>
                  </a:solidFill>
                  <a:effectLst/>
                  <a:latin typeface="Calibri"/>
                  <a:ea typeface="Calibri"/>
                  <a:cs typeface="Times New Roman"/>
                </a:endParaRPr>
              </a:p>
            </xdr:txBody>
          </xdr:sp>
          <xdr:sp macro="" textlink="">
            <xdr:nvSpPr>
              <xdr:cNvPr id="167" name="Text Box 31"/>
              <xdr:cNvSpPr txBox="1"/>
            </xdr:nvSpPr>
            <xdr:spPr>
              <a:xfrm>
                <a:off x="8267700" y="4286250"/>
                <a:ext cx="1390650" cy="419100"/>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More help required</a:t>
                </a:r>
              </a:p>
              <a:p>
                <a:pPr>
                  <a:lnSpc>
                    <a:spcPct val="115000"/>
                  </a:lnSpc>
                  <a:spcAft>
                    <a:spcPts val="1000"/>
                  </a:spcAft>
                </a:pPr>
                <a:r>
                  <a:rPr lang="en-GB" sz="1200" b="1">
                    <a:solidFill>
                      <a:srgbClr val="191EE1"/>
                    </a:solidFill>
                    <a:effectLst/>
                    <a:latin typeface="Calibri"/>
                    <a:ea typeface="Calibri"/>
                    <a:cs typeface="Times New Roman"/>
                  </a:rPr>
                  <a:t>0</a:t>
                </a:r>
                <a:endParaRPr lang="en-GB" sz="1100">
                  <a:solidFill>
                    <a:srgbClr val="191EE1"/>
                  </a:solidFill>
                  <a:effectLst/>
                  <a:latin typeface="Calibri"/>
                  <a:ea typeface="Calibri"/>
                  <a:cs typeface="Times New Roman"/>
                </a:endParaRPr>
              </a:p>
            </xdr:txBody>
          </xdr:sp>
          <xdr:sp macro="" textlink="">
            <xdr:nvSpPr>
              <xdr:cNvPr id="168" name="Text Box 32"/>
              <xdr:cNvSpPr txBox="1"/>
            </xdr:nvSpPr>
            <xdr:spPr>
              <a:xfrm>
                <a:off x="8277225" y="4962525"/>
                <a:ext cx="1390650" cy="4286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More help required</a:t>
                </a:r>
              </a:p>
              <a:p>
                <a:pPr>
                  <a:lnSpc>
                    <a:spcPct val="115000"/>
                  </a:lnSpc>
                  <a:spcAft>
                    <a:spcPts val="0"/>
                  </a:spcAft>
                </a:pPr>
                <a:r>
                  <a:rPr lang="en-GB" sz="1200" b="1">
                    <a:solidFill>
                      <a:srgbClr val="191EE1"/>
                    </a:solidFill>
                    <a:effectLst/>
                    <a:latin typeface="Calibri"/>
                    <a:ea typeface="Calibri"/>
                    <a:cs typeface="Times New Roman"/>
                  </a:rPr>
                  <a:t>0</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xdr:txBody>
          </xdr:sp>
          <xdr:grpSp>
            <xdr:nvGrpSpPr>
              <xdr:cNvPr id="169" name="Group 168"/>
              <xdr:cNvGrpSpPr/>
            </xdr:nvGrpSpPr>
            <xdr:grpSpPr>
              <a:xfrm>
                <a:off x="0" y="304800"/>
                <a:ext cx="8286750" cy="5029200"/>
                <a:chOff x="0" y="0"/>
                <a:chExt cx="8286750" cy="5029200"/>
              </a:xfrm>
            </xdr:grpSpPr>
            <xdr:sp macro="" textlink="">
              <xdr:nvSpPr>
                <xdr:cNvPr id="184" name="Text Box 17"/>
                <xdr:cNvSpPr txBox="1"/>
              </xdr:nvSpPr>
              <xdr:spPr>
                <a:xfrm>
                  <a:off x="5362575" y="4543425"/>
                  <a:ext cx="1343025" cy="48577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Not asked EPNDS</a:t>
                  </a:r>
                </a:p>
                <a:p>
                  <a:pPr>
                    <a:lnSpc>
                      <a:spcPct val="115000"/>
                    </a:lnSpc>
                    <a:spcAft>
                      <a:spcPts val="1000"/>
                    </a:spcAft>
                  </a:pPr>
                  <a:r>
                    <a:rPr lang="en-GB" sz="1200" b="1">
                      <a:solidFill>
                        <a:srgbClr val="191EE1"/>
                      </a:solidFill>
                      <a:effectLst/>
                      <a:latin typeface="Calibri"/>
                      <a:ea typeface="Calibri"/>
                      <a:cs typeface="Times New Roman"/>
                    </a:rPr>
                    <a:t>21</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xdr:txBody>
            </xdr:sp>
            <xdr:sp macro="" textlink="">
              <xdr:nvSpPr>
                <xdr:cNvPr id="185" name="Text Box 18"/>
                <xdr:cNvSpPr txBox="1"/>
              </xdr:nvSpPr>
              <xdr:spPr>
                <a:xfrm>
                  <a:off x="5362575" y="3609975"/>
                  <a:ext cx="1343025" cy="476250"/>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Asked EPNDS</a:t>
                  </a:r>
                </a:p>
                <a:p>
                  <a:pPr>
                    <a:lnSpc>
                      <a:spcPct val="115000"/>
                    </a:lnSpc>
                    <a:spcAft>
                      <a:spcPts val="0"/>
                    </a:spcAft>
                  </a:pPr>
                  <a:r>
                    <a:rPr lang="en-GB" sz="1200" b="1">
                      <a:solidFill>
                        <a:srgbClr val="191EE1"/>
                      </a:solidFill>
                      <a:effectLst/>
                      <a:latin typeface="Calibri"/>
                      <a:ea typeface="Calibri"/>
                      <a:cs typeface="Times New Roman"/>
                    </a:rPr>
                    <a:t>3</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xdr:txBody>
            </xdr:sp>
            <xdr:sp macro="" textlink="">
              <xdr:nvSpPr>
                <xdr:cNvPr id="186" name="Text Box 19"/>
                <xdr:cNvSpPr txBox="1"/>
              </xdr:nvSpPr>
              <xdr:spPr>
                <a:xfrm>
                  <a:off x="5314950" y="2800350"/>
                  <a:ext cx="1343025" cy="4667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Not asked EPNDS</a:t>
                  </a:r>
                </a:p>
                <a:p>
                  <a:pPr>
                    <a:lnSpc>
                      <a:spcPct val="115000"/>
                    </a:lnSpc>
                    <a:spcAft>
                      <a:spcPts val="1000"/>
                    </a:spcAft>
                  </a:pPr>
                  <a:r>
                    <a:rPr lang="en-GB" sz="1200" b="1">
                      <a:solidFill>
                        <a:srgbClr val="191EE1"/>
                      </a:solidFill>
                      <a:effectLst/>
                      <a:latin typeface="Calibri"/>
                      <a:ea typeface="Calibri"/>
                      <a:cs typeface="Times New Roman"/>
                    </a:rPr>
                    <a:t>3885</a:t>
                  </a:r>
                  <a:endParaRPr lang="en-GB" sz="1100">
                    <a:solidFill>
                      <a:srgbClr val="191EE1"/>
                    </a:solidFill>
                    <a:effectLst/>
                    <a:latin typeface="Calibri"/>
                    <a:ea typeface="Calibri"/>
                    <a:cs typeface="Times New Roman"/>
                  </a:endParaRPr>
                </a:p>
                <a:p>
                  <a:pPr>
                    <a:lnSpc>
                      <a:spcPct val="115000"/>
                    </a:lnSpc>
                    <a:spcAft>
                      <a:spcPts val="0"/>
                    </a:spcAft>
                  </a:pPr>
                  <a:r>
                    <a:rPr lang="en-GB" sz="1100">
                      <a:effectLst/>
                      <a:latin typeface="Calibri"/>
                      <a:ea typeface="Calibri"/>
                      <a:cs typeface="Times New Roman"/>
                    </a:rPr>
                    <a:t> </a:t>
                  </a:r>
                </a:p>
              </xdr:txBody>
            </xdr:sp>
            <xdr:sp macro="" textlink="">
              <xdr:nvSpPr>
                <xdr:cNvPr id="187" name="Text Box 20"/>
                <xdr:cNvSpPr txBox="1"/>
              </xdr:nvSpPr>
              <xdr:spPr>
                <a:xfrm>
                  <a:off x="5314950" y="1933575"/>
                  <a:ext cx="1219200" cy="44767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Asked EPNDS</a:t>
                  </a:r>
                </a:p>
                <a:p>
                  <a:pPr>
                    <a:lnSpc>
                      <a:spcPct val="115000"/>
                    </a:lnSpc>
                    <a:spcAft>
                      <a:spcPts val="0"/>
                    </a:spcAft>
                  </a:pPr>
                  <a:r>
                    <a:rPr lang="en-GB" sz="1200" b="1">
                      <a:solidFill>
                        <a:srgbClr val="191EE1"/>
                      </a:solidFill>
                      <a:effectLst/>
                      <a:latin typeface="Calibri"/>
                      <a:ea typeface="Calibri"/>
                      <a:cs typeface="Times New Roman"/>
                    </a:rPr>
                    <a:t>60</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xdr:txBody>
            </xdr:sp>
            <xdr:sp macro="" textlink="">
              <xdr:nvSpPr>
                <xdr:cNvPr id="188" name="Text Box 21"/>
                <xdr:cNvSpPr txBox="1"/>
              </xdr:nvSpPr>
              <xdr:spPr>
                <a:xfrm>
                  <a:off x="5314950" y="942975"/>
                  <a:ext cx="1343025" cy="4667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Not asked EPNDS</a:t>
                  </a:r>
                </a:p>
                <a:p>
                  <a:pPr>
                    <a:lnSpc>
                      <a:spcPct val="115000"/>
                    </a:lnSpc>
                    <a:spcAft>
                      <a:spcPts val="1000"/>
                    </a:spcAft>
                  </a:pPr>
                  <a:r>
                    <a:rPr lang="en-GB" sz="1200" b="1">
                      <a:solidFill>
                        <a:srgbClr val="191EE1"/>
                      </a:solidFill>
                      <a:effectLst/>
                      <a:latin typeface="Calibri"/>
                      <a:ea typeface="Calibri"/>
                      <a:cs typeface="Times New Roman"/>
                    </a:rPr>
                    <a:t>187</a:t>
                  </a:r>
                  <a:endParaRPr lang="en-GB" sz="1100">
                    <a:solidFill>
                      <a:srgbClr val="191EE1"/>
                    </a:solidFill>
                    <a:effectLst/>
                    <a:latin typeface="Calibri"/>
                    <a:ea typeface="Calibri"/>
                    <a:cs typeface="Times New Roman"/>
                  </a:endParaRPr>
                </a:p>
              </xdr:txBody>
            </xdr:sp>
            <xdr:sp macro="" textlink="">
              <xdr:nvSpPr>
                <xdr:cNvPr id="189" name="Text Box 22"/>
                <xdr:cNvSpPr txBox="1"/>
              </xdr:nvSpPr>
              <xdr:spPr>
                <a:xfrm>
                  <a:off x="5314950" y="85725"/>
                  <a:ext cx="1343025" cy="44767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Asked EPNDS</a:t>
                  </a:r>
                </a:p>
                <a:p>
                  <a:pPr>
                    <a:lnSpc>
                      <a:spcPct val="115000"/>
                    </a:lnSpc>
                    <a:spcAft>
                      <a:spcPts val="0"/>
                    </a:spcAft>
                  </a:pPr>
                  <a:r>
                    <a:rPr lang="en-GB" sz="1200" b="1">
                      <a:solidFill>
                        <a:srgbClr val="191EE1"/>
                      </a:solidFill>
                      <a:effectLst/>
                      <a:latin typeface="Calibri"/>
                      <a:ea typeface="Calibri"/>
                      <a:cs typeface="Times New Roman"/>
                    </a:rPr>
                    <a:t>197</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xdr:txBody>
            </xdr:sp>
            <xdr:sp macro="" textlink="">
              <xdr:nvSpPr>
                <xdr:cNvPr id="190" name="Text Box 25"/>
                <xdr:cNvSpPr txBox="1"/>
              </xdr:nvSpPr>
              <xdr:spPr>
                <a:xfrm>
                  <a:off x="3552825" y="457200"/>
                  <a:ext cx="1476375" cy="4286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Yes to either question</a:t>
                  </a:r>
                </a:p>
                <a:p>
                  <a:pPr>
                    <a:lnSpc>
                      <a:spcPct val="115000"/>
                    </a:lnSpc>
                    <a:spcAft>
                      <a:spcPts val="0"/>
                    </a:spcAft>
                  </a:pPr>
                  <a:r>
                    <a:rPr lang="en-GB" sz="1200" b="1">
                      <a:solidFill>
                        <a:srgbClr val="191EE1"/>
                      </a:solidFill>
                      <a:effectLst/>
                      <a:latin typeface="Calibri"/>
                      <a:ea typeface="Calibri"/>
                      <a:cs typeface="Times New Roman"/>
                    </a:rPr>
                    <a:t>384</a:t>
                  </a:r>
                  <a:endParaRPr lang="en-GB" sz="1100">
                    <a:solidFill>
                      <a:srgbClr val="191EE1"/>
                    </a:solidFill>
                    <a:effectLst/>
                    <a:latin typeface="Calibri"/>
                    <a:ea typeface="Calibri"/>
                    <a:cs typeface="Times New Roman"/>
                  </a:endParaRPr>
                </a:p>
              </xdr:txBody>
            </xdr:sp>
            <xdr:grpSp>
              <xdr:nvGrpSpPr>
                <xdr:cNvPr id="191" name="Group 190"/>
                <xdr:cNvGrpSpPr/>
              </xdr:nvGrpSpPr>
              <xdr:grpSpPr>
                <a:xfrm>
                  <a:off x="0" y="1314450"/>
                  <a:ext cx="4914900" cy="3181350"/>
                  <a:chOff x="0" y="0"/>
                  <a:chExt cx="4914900" cy="3181350"/>
                </a:xfrm>
              </xdr:grpSpPr>
              <xdr:sp macro="" textlink="">
                <xdr:nvSpPr>
                  <xdr:cNvPr id="211" name="Text Box 1"/>
                  <xdr:cNvSpPr txBox="1"/>
                </xdr:nvSpPr>
                <xdr:spPr>
                  <a:xfrm>
                    <a:off x="0" y="876300"/>
                    <a:ext cx="1714500" cy="723900"/>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ea typeface="Calibri"/>
                        <a:cs typeface="Times New Roman"/>
                      </a:rPr>
                      <a:t>Women with record in HV 12 week check database</a:t>
                    </a:r>
                  </a:p>
                  <a:p>
                    <a:pPr>
                      <a:lnSpc>
                        <a:spcPct val="115000"/>
                      </a:lnSpc>
                      <a:spcAft>
                        <a:spcPts val="0"/>
                      </a:spcAft>
                    </a:pPr>
                    <a:r>
                      <a:rPr lang="en-GB" sz="1200" b="1">
                        <a:solidFill>
                          <a:srgbClr val="191EE1"/>
                        </a:solidFill>
                        <a:effectLst/>
                        <a:ea typeface="Calibri"/>
                        <a:cs typeface="Times New Roman"/>
                      </a:rPr>
                      <a:t>4353</a:t>
                    </a:r>
                    <a:endParaRPr lang="en-GB" sz="1100">
                      <a:solidFill>
                        <a:srgbClr val="191EE1"/>
                      </a:solidFill>
                      <a:effectLst/>
                      <a:ea typeface="Calibri"/>
                      <a:cs typeface="Times New Roman"/>
                    </a:endParaRPr>
                  </a:p>
                  <a:p>
                    <a:pPr>
                      <a:lnSpc>
                        <a:spcPct val="115000"/>
                      </a:lnSpc>
                      <a:spcAft>
                        <a:spcPts val="1000"/>
                      </a:spcAft>
                    </a:pPr>
                    <a:r>
                      <a:rPr lang="en-GB" sz="1100">
                        <a:effectLst/>
                        <a:ea typeface="Calibri"/>
                        <a:cs typeface="Times New Roman"/>
                      </a:rPr>
                      <a:t> </a:t>
                    </a:r>
                  </a:p>
                  <a:p>
                    <a:pPr>
                      <a:lnSpc>
                        <a:spcPct val="115000"/>
                      </a:lnSpc>
                      <a:spcAft>
                        <a:spcPts val="1000"/>
                      </a:spcAft>
                    </a:pPr>
                    <a:r>
                      <a:rPr lang="en-GB" sz="1100">
                        <a:effectLst/>
                        <a:ea typeface="Calibri"/>
                        <a:cs typeface="Times New Roman"/>
                      </a:rPr>
                      <a:t> </a:t>
                    </a:r>
                  </a:p>
                </xdr:txBody>
              </xdr:sp>
              <xdr:sp macro="" textlink="">
                <xdr:nvSpPr>
                  <xdr:cNvPr id="212" name="Text Box 24"/>
                  <xdr:cNvSpPr txBox="1"/>
                </xdr:nvSpPr>
                <xdr:spPr>
                  <a:xfrm>
                    <a:off x="3409950" y="1019175"/>
                    <a:ext cx="1504950" cy="4667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No to both questions</a:t>
                    </a:r>
                  </a:p>
                  <a:p>
                    <a:pPr>
                      <a:lnSpc>
                        <a:spcPct val="115000"/>
                      </a:lnSpc>
                      <a:spcAft>
                        <a:spcPts val="0"/>
                      </a:spcAft>
                    </a:pPr>
                    <a:r>
                      <a:rPr lang="en-GB" sz="1200" b="1">
                        <a:solidFill>
                          <a:srgbClr val="191EE1"/>
                        </a:solidFill>
                        <a:effectLst/>
                        <a:latin typeface="Calibri"/>
                        <a:ea typeface="Calibri"/>
                        <a:cs typeface="Times New Roman"/>
                      </a:rPr>
                      <a:t>3945</a:t>
                    </a:r>
                    <a:endParaRPr lang="en-GB" sz="1100">
                      <a:solidFill>
                        <a:srgbClr val="191EE1"/>
                      </a:solidFill>
                      <a:effectLst/>
                      <a:latin typeface="Calibri"/>
                      <a:ea typeface="Calibri"/>
                      <a:cs typeface="Times New Roman"/>
                    </a:endParaRPr>
                  </a:p>
                </xdr:txBody>
              </xdr:sp>
              <xdr:sp macro="" textlink="">
                <xdr:nvSpPr>
                  <xdr:cNvPr id="213" name="Text Box 26"/>
                  <xdr:cNvSpPr txBox="1"/>
                </xdr:nvSpPr>
                <xdr:spPr>
                  <a:xfrm>
                    <a:off x="1828800" y="2524125"/>
                    <a:ext cx="1990725" cy="6572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Women not asked the Whooley screening questions</a:t>
                    </a:r>
                  </a:p>
                  <a:p>
                    <a:pPr>
                      <a:lnSpc>
                        <a:spcPct val="115000"/>
                      </a:lnSpc>
                      <a:spcAft>
                        <a:spcPts val="0"/>
                      </a:spcAft>
                    </a:pPr>
                    <a:r>
                      <a:rPr lang="en-GB" sz="1200" b="1">
                        <a:solidFill>
                          <a:srgbClr val="191EE1"/>
                        </a:solidFill>
                        <a:effectLst/>
                        <a:latin typeface="Calibri"/>
                        <a:ea typeface="Calibri"/>
                        <a:cs typeface="Times New Roman"/>
                      </a:rPr>
                      <a:t>24</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xdr:txBody>
              </xdr:sp>
              <xdr:sp macro="" textlink="">
                <xdr:nvSpPr>
                  <xdr:cNvPr id="214" name="Text Box 27"/>
                  <xdr:cNvSpPr txBox="1"/>
                </xdr:nvSpPr>
                <xdr:spPr>
                  <a:xfrm>
                    <a:off x="1771650" y="0"/>
                    <a:ext cx="1876425" cy="63817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Women asked the Whooley screening questions</a:t>
                    </a:r>
                  </a:p>
                  <a:p>
                    <a:pPr>
                      <a:lnSpc>
                        <a:spcPct val="115000"/>
                      </a:lnSpc>
                      <a:spcAft>
                        <a:spcPts val="0"/>
                      </a:spcAft>
                    </a:pPr>
                    <a:r>
                      <a:rPr lang="en-GB" sz="1100" b="1">
                        <a:solidFill>
                          <a:srgbClr val="191EE1"/>
                        </a:solidFill>
                        <a:effectLst/>
                        <a:latin typeface="Calibri"/>
                        <a:ea typeface="Calibri"/>
                        <a:cs typeface="Times New Roman"/>
                      </a:rPr>
                      <a:t>4329</a:t>
                    </a:r>
                    <a:endParaRPr lang="en-GB" sz="1100">
                      <a:solidFill>
                        <a:srgbClr val="191EE1"/>
                      </a:solidFill>
                      <a:effectLst/>
                      <a:latin typeface="Calibri"/>
                      <a:ea typeface="Calibri"/>
                      <a:cs typeface="Times New Roman"/>
                    </a:endParaRPr>
                  </a:p>
                </xdr:txBody>
              </xdr:sp>
            </xdr:grpSp>
            <xdr:cxnSp macro="">
              <xdr:nvCxnSpPr>
                <xdr:cNvPr id="192" name="Straight Arrow Connector 191"/>
                <xdr:cNvCxnSpPr/>
              </xdr:nvCxnSpPr>
              <xdr:spPr>
                <a:xfrm flipV="1">
                  <a:off x="1047750" y="1724026"/>
                  <a:ext cx="723900" cy="466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3" name="Straight Arrow Connector 192"/>
                <xdr:cNvCxnSpPr/>
              </xdr:nvCxnSpPr>
              <xdr:spPr>
                <a:xfrm>
                  <a:off x="1323975" y="2914650"/>
                  <a:ext cx="1162050" cy="9239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4" name="Straight Arrow Connector 193"/>
                <xdr:cNvCxnSpPr/>
              </xdr:nvCxnSpPr>
              <xdr:spPr>
                <a:xfrm flipV="1">
                  <a:off x="3076575" y="885826"/>
                  <a:ext cx="571500" cy="428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5" name="Straight Arrow Connector 194"/>
                <xdr:cNvCxnSpPr/>
              </xdr:nvCxnSpPr>
              <xdr:spPr>
                <a:xfrm>
                  <a:off x="3257550" y="1952625"/>
                  <a:ext cx="447675"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6" name="Straight Arrow Connector 195"/>
                <xdr:cNvCxnSpPr/>
              </xdr:nvCxnSpPr>
              <xdr:spPr>
                <a:xfrm flipV="1">
                  <a:off x="4772025" y="276225"/>
                  <a:ext cx="542925" cy="180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7" name="Straight Arrow Connector 196"/>
                <xdr:cNvCxnSpPr/>
              </xdr:nvCxnSpPr>
              <xdr:spPr>
                <a:xfrm>
                  <a:off x="4572000" y="885825"/>
                  <a:ext cx="742950" cy="266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8" name="Straight Arrow Connector 197"/>
                <xdr:cNvCxnSpPr/>
              </xdr:nvCxnSpPr>
              <xdr:spPr>
                <a:xfrm flipV="1">
                  <a:off x="4714875" y="2038351"/>
                  <a:ext cx="600075" cy="295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9" name="Straight Arrow Connector 198"/>
                <xdr:cNvCxnSpPr/>
              </xdr:nvCxnSpPr>
              <xdr:spPr>
                <a:xfrm>
                  <a:off x="4772025" y="2800350"/>
                  <a:ext cx="542925"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0" name="Straight Arrow Connector 199"/>
                <xdr:cNvCxnSpPr/>
              </xdr:nvCxnSpPr>
              <xdr:spPr>
                <a:xfrm flipV="1">
                  <a:off x="3819525" y="3771901"/>
                  <a:ext cx="1543050" cy="1619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1" name="Straight Arrow Connector 200"/>
                <xdr:cNvCxnSpPr/>
              </xdr:nvCxnSpPr>
              <xdr:spPr>
                <a:xfrm>
                  <a:off x="3819525" y="4400550"/>
                  <a:ext cx="1543050" cy="390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2" name="Straight Arrow Connector 201"/>
                <xdr:cNvCxnSpPr/>
              </xdr:nvCxnSpPr>
              <xdr:spPr>
                <a:xfrm flipV="1">
                  <a:off x="6657975" y="0"/>
                  <a:ext cx="400050" cy="180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3" name="Straight Arrow Connector 202"/>
                <xdr:cNvCxnSpPr/>
              </xdr:nvCxnSpPr>
              <xdr:spPr>
                <a:xfrm>
                  <a:off x="6657975" y="457200"/>
                  <a:ext cx="400050" cy="123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4" name="Straight Arrow Connector 203"/>
                <xdr:cNvCxnSpPr/>
              </xdr:nvCxnSpPr>
              <xdr:spPr>
                <a:xfrm flipV="1">
                  <a:off x="6534150" y="1809750"/>
                  <a:ext cx="466725"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5" name="Straight Arrow Connector 204"/>
                <xdr:cNvCxnSpPr/>
              </xdr:nvCxnSpPr>
              <xdr:spPr>
                <a:xfrm>
                  <a:off x="6534150" y="2266950"/>
                  <a:ext cx="466725" cy="1143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6" name="Straight Arrow Connector 205"/>
                <xdr:cNvCxnSpPr/>
              </xdr:nvCxnSpPr>
              <xdr:spPr>
                <a:xfrm flipV="1">
                  <a:off x="6705600" y="3524251"/>
                  <a:ext cx="295275" cy="247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7" name="Straight Arrow Connector 206"/>
                <xdr:cNvCxnSpPr/>
              </xdr:nvCxnSpPr>
              <xdr:spPr>
                <a:xfrm>
                  <a:off x="6705600" y="3933825"/>
                  <a:ext cx="295275" cy="200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8" name="Straight Arrow Connector 207"/>
                <xdr:cNvCxnSpPr/>
              </xdr:nvCxnSpPr>
              <xdr:spPr>
                <a:xfrm>
                  <a:off x="6705600" y="4905375"/>
                  <a:ext cx="15811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9" name="Straight Arrow Connector 208"/>
                <xdr:cNvCxnSpPr/>
              </xdr:nvCxnSpPr>
              <xdr:spPr>
                <a:xfrm>
                  <a:off x="6657975" y="1152525"/>
                  <a:ext cx="16287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10" name="Straight Arrow Connector 209"/>
                <xdr:cNvCxnSpPr/>
              </xdr:nvCxnSpPr>
              <xdr:spPr>
                <a:xfrm>
                  <a:off x="6657975" y="3019425"/>
                  <a:ext cx="157162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xnSp macro="">
            <xdr:nvCxnSpPr>
              <xdr:cNvPr id="170" name="Straight Arrow Connector 169"/>
              <xdr:cNvCxnSpPr/>
            </xdr:nvCxnSpPr>
            <xdr:spPr>
              <a:xfrm>
                <a:off x="7962900" y="3829050"/>
                <a:ext cx="3238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71" name="Straight Arrow Connector 170"/>
              <xdr:cNvCxnSpPr/>
            </xdr:nvCxnSpPr>
            <xdr:spPr>
              <a:xfrm>
                <a:off x="7934325" y="4438650"/>
                <a:ext cx="3333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nvGrpSpPr>
              <xdr:cNvPr id="172" name="Group 171"/>
              <xdr:cNvGrpSpPr/>
            </xdr:nvGrpSpPr>
            <xdr:grpSpPr>
              <a:xfrm>
                <a:off x="7058025" y="0"/>
                <a:ext cx="2686050" cy="2924175"/>
                <a:chOff x="0" y="0"/>
                <a:chExt cx="2686050" cy="2924175"/>
              </a:xfrm>
            </xdr:grpSpPr>
            <xdr:sp macro="" textlink="">
              <xdr:nvSpPr>
                <xdr:cNvPr id="173" name="Text Box 15"/>
                <xdr:cNvSpPr txBox="1"/>
              </xdr:nvSpPr>
              <xdr:spPr>
                <a:xfrm>
                  <a:off x="0" y="685800"/>
                  <a:ext cx="933450" cy="4286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Less than 10</a:t>
                  </a:r>
                </a:p>
                <a:p>
                  <a:pPr>
                    <a:lnSpc>
                      <a:spcPct val="115000"/>
                    </a:lnSpc>
                    <a:spcAft>
                      <a:spcPts val="1000"/>
                    </a:spcAft>
                  </a:pPr>
                  <a:r>
                    <a:rPr lang="en-GB" sz="1200" b="1">
                      <a:solidFill>
                        <a:srgbClr val="191EE1"/>
                      </a:solidFill>
                      <a:effectLst/>
                      <a:latin typeface="Calibri"/>
                      <a:ea typeface="Calibri"/>
                      <a:cs typeface="Times New Roman"/>
                    </a:rPr>
                    <a:t>71</a:t>
                  </a:r>
                  <a:endParaRPr lang="en-GB" sz="1100">
                    <a:solidFill>
                      <a:srgbClr val="191EE1"/>
                    </a:solidFill>
                    <a:effectLst/>
                    <a:latin typeface="Calibri"/>
                    <a:ea typeface="Calibri"/>
                    <a:cs typeface="Times New Roman"/>
                  </a:endParaRPr>
                </a:p>
              </xdr:txBody>
            </xdr:sp>
            <xdr:sp macro="" textlink="">
              <xdr:nvSpPr>
                <xdr:cNvPr id="174" name="Text Box 16"/>
                <xdr:cNvSpPr txBox="1"/>
              </xdr:nvSpPr>
              <xdr:spPr>
                <a:xfrm>
                  <a:off x="0" y="0"/>
                  <a:ext cx="933450" cy="48577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10 or more</a:t>
                  </a:r>
                </a:p>
                <a:p>
                  <a:pPr>
                    <a:lnSpc>
                      <a:spcPct val="115000"/>
                    </a:lnSpc>
                    <a:spcAft>
                      <a:spcPts val="0"/>
                    </a:spcAft>
                  </a:pPr>
                  <a:r>
                    <a:rPr lang="en-GB" sz="1200" b="1">
                      <a:solidFill>
                        <a:srgbClr val="191EE1"/>
                      </a:solidFill>
                      <a:effectLst/>
                      <a:latin typeface="Calibri"/>
                      <a:ea typeface="Calibri"/>
                      <a:cs typeface="Times New Roman"/>
                    </a:rPr>
                    <a:t>126</a:t>
                  </a:r>
                  <a:endParaRPr lang="en-GB" sz="1100">
                    <a:solidFill>
                      <a:srgbClr val="191EE1"/>
                    </a:solidFill>
                    <a:effectLst/>
                    <a:latin typeface="Calibri"/>
                    <a:ea typeface="Calibri"/>
                    <a:cs typeface="Times New Roman"/>
                  </a:endParaRPr>
                </a:p>
              </xdr:txBody>
            </xdr:sp>
            <xdr:sp macro="" textlink="">
              <xdr:nvSpPr>
                <xdr:cNvPr id="175" name="Text Box 28"/>
                <xdr:cNvSpPr txBox="1"/>
              </xdr:nvSpPr>
              <xdr:spPr>
                <a:xfrm>
                  <a:off x="1143000" y="2495550"/>
                  <a:ext cx="1457325" cy="4286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More help required</a:t>
                  </a:r>
                </a:p>
                <a:p>
                  <a:pPr>
                    <a:lnSpc>
                      <a:spcPct val="115000"/>
                    </a:lnSpc>
                    <a:spcAft>
                      <a:spcPts val="0"/>
                    </a:spcAft>
                  </a:pPr>
                  <a:r>
                    <a:rPr lang="en-GB" sz="1200" b="1">
                      <a:solidFill>
                        <a:srgbClr val="191EE1"/>
                      </a:solidFill>
                      <a:effectLst/>
                      <a:latin typeface="Calibri"/>
                      <a:ea typeface="Calibri"/>
                      <a:cs typeface="Times New Roman"/>
                    </a:rPr>
                    <a:t>0</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a:p>
                  <a:pPr>
                    <a:lnSpc>
                      <a:spcPct val="115000"/>
                    </a:lnSpc>
                    <a:spcAft>
                      <a:spcPts val="0"/>
                    </a:spcAft>
                  </a:pPr>
                  <a:r>
                    <a:rPr lang="en-GB" sz="1100">
                      <a:effectLst/>
                      <a:latin typeface="Calibri"/>
                      <a:ea typeface="Calibri"/>
                      <a:cs typeface="Times New Roman"/>
                    </a:rPr>
                    <a:t> </a:t>
                  </a:r>
                </a:p>
              </xdr:txBody>
            </xdr:sp>
            <xdr:sp macro="" textlink="">
              <xdr:nvSpPr>
                <xdr:cNvPr id="176" name="Text Box 55"/>
                <xdr:cNvSpPr txBox="1"/>
              </xdr:nvSpPr>
              <xdr:spPr>
                <a:xfrm>
                  <a:off x="1171575" y="1914525"/>
                  <a:ext cx="1457325" cy="4286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More help required</a:t>
                  </a:r>
                </a:p>
                <a:p>
                  <a:pPr>
                    <a:lnSpc>
                      <a:spcPct val="115000"/>
                    </a:lnSpc>
                    <a:spcAft>
                      <a:spcPts val="0"/>
                    </a:spcAft>
                  </a:pPr>
                  <a:r>
                    <a:rPr lang="en-GB" sz="1200" b="1">
                      <a:solidFill>
                        <a:srgbClr val="191EE1"/>
                      </a:solidFill>
                      <a:effectLst/>
                      <a:latin typeface="Calibri"/>
                      <a:ea typeface="Calibri"/>
                      <a:cs typeface="Times New Roman"/>
                    </a:rPr>
                    <a:t>14</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a:p>
                  <a:pPr>
                    <a:lnSpc>
                      <a:spcPct val="115000"/>
                    </a:lnSpc>
                    <a:spcAft>
                      <a:spcPts val="0"/>
                    </a:spcAft>
                  </a:pPr>
                  <a:r>
                    <a:rPr lang="en-GB" sz="1100">
                      <a:solidFill>
                        <a:srgbClr val="191EE1"/>
                      </a:solidFill>
                      <a:effectLst/>
                      <a:latin typeface="Calibri"/>
                      <a:ea typeface="Calibri"/>
                      <a:cs typeface="Times New Roman"/>
                    </a:rPr>
                    <a:t> </a:t>
                  </a:r>
                </a:p>
              </xdr:txBody>
            </xdr:sp>
            <xdr:sp macro="" textlink="">
              <xdr:nvSpPr>
                <xdr:cNvPr id="177" name="Text Box 56"/>
                <xdr:cNvSpPr txBox="1"/>
              </xdr:nvSpPr>
              <xdr:spPr>
                <a:xfrm>
                  <a:off x="1228725" y="1285875"/>
                  <a:ext cx="1457325" cy="4286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More help required</a:t>
                  </a:r>
                </a:p>
                <a:p>
                  <a:pPr>
                    <a:lnSpc>
                      <a:spcPct val="115000"/>
                    </a:lnSpc>
                    <a:spcAft>
                      <a:spcPts val="0"/>
                    </a:spcAft>
                  </a:pPr>
                  <a:r>
                    <a:rPr lang="en-GB" sz="1200" b="1">
                      <a:solidFill>
                        <a:srgbClr val="191EE1"/>
                      </a:solidFill>
                      <a:effectLst/>
                      <a:latin typeface="Calibri"/>
                      <a:ea typeface="Calibri"/>
                      <a:cs typeface="Times New Roman"/>
                    </a:rPr>
                    <a:t>33</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a:p>
                  <a:pPr>
                    <a:lnSpc>
                      <a:spcPct val="115000"/>
                    </a:lnSpc>
                    <a:spcAft>
                      <a:spcPts val="0"/>
                    </a:spcAft>
                  </a:pPr>
                  <a:r>
                    <a:rPr lang="en-GB" sz="1100">
                      <a:effectLst/>
                      <a:latin typeface="Calibri"/>
                      <a:ea typeface="Calibri"/>
                      <a:cs typeface="Times New Roman"/>
                    </a:rPr>
                    <a:t> </a:t>
                  </a:r>
                </a:p>
              </xdr:txBody>
            </xdr:sp>
            <xdr:sp macro="" textlink="">
              <xdr:nvSpPr>
                <xdr:cNvPr id="178" name="Text Box 57"/>
                <xdr:cNvSpPr txBox="1"/>
              </xdr:nvSpPr>
              <xdr:spPr>
                <a:xfrm>
                  <a:off x="1228725" y="685800"/>
                  <a:ext cx="1457325" cy="4286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More help required</a:t>
                  </a:r>
                </a:p>
                <a:p>
                  <a:pPr>
                    <a:lnSpc>
                      <a:spcPct val="115000"/>
                    </a:lnSpc>
                    <a:spcAft>
                      <a:spcPts val="0"/>
                    </a:spcAft>
                  </a:pPr>
                  <a:r>
                    <a:rPr lang="en-GB" sz="1200" b="1">
                      <a:solidFill>
                        <a:srgbClr val="191EE1"/>
                      </a:solidFill>
                      <a:effectLst/>
                      <a:latin typeface="Calibri"/>
                      <a:ea typeface="Calibri"/>
                      <a:cs typeface="Times New Roman"/>
                    </a:rPr>
                    <a:t>16</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a:p>
                  <a:pPr>
                    <a:lnSpc>
                      <a:spcPct val="115000"/>
                    </a:lnSpc>
                    <a:spcAft>
                      <a:spcPts val="0"/>
                    </a:spcAft>
                  </a:pPr>
                  <a:r>
                    <a:rPr lang="en-GB" sz="1100">
                      <a:effectLst/>
                      <a:latin typeface="Calibri"/>
                      <a:ea typeface="Calibri"/>
                      <a:cs typeface="Times New Roman"/>
                    </a:rPr>
                    <a:t> </a:t>
                  </a:r>
                </a:p>
              </xdr:txBody>
            </xdr:sp>
            <xdr:sp macro="" textlink="">
              <xdr:nvSpPr>
                <xdr:cNvPr id="179" name="Text Box 58"/>
                <xdr:cNvSpPr txBox="1"/>
              </xdr:nvSpPr>
              <xdr:spPr>
                <a:xfrm>
                  <a:off x="1209675" y="57150"/>
                  <a:ext cx="1457325" cy="4286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More help required</a:t>
                  </a:r>
                </a:p>
                <a:p>
                  <a:pPr>
                    <a:lnSpc>
                      <a:spcPct val="115000"/>
                    </a:lnSpc>
                    <a:spcAft>
                      <a:spcPts val="0"/>
                    </a:spcAft>
                  </a:pPr>
                  <a:r>
                    <a:rPr lang="en-GB" sz="1200" b="1">
                      <a:solidFill>
                        <a:srgbClr val="191EE1"/>
                      </a:solidFill>
                      <a:effectLst/>
                      <a:latin typeface="Calibri"/>
                      <a:ea typeface="Calibri"/>
                      <a:cs typeface="Times New Roman"/>
                    </a:rPr>
                    <a:t>75</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a:p>
                  <a:pPr>
                    <a:lnSpc>
                      <a:spcPct val="115000"/>
                    </a:lnSpc>
                    <a:spcAft>
                      <a:spcPts val="0"/>
                    </a:spcAft>
                  </a:pPr>
                  <a:r>
                    <a:rPr lang="en-GB" sz="1100">
                      <a:effectLst/>
                      <a:latin typeface="Calibri"/>
                      <a:ea typeface="Calibri"/>
                      <a:cs typeface="Times New Roman"/>
                    </a:rPr>
                    <a:t> </a:t>
                  </a:r>
                </a:p>
              </xdr:txBody>
            </xdr:sp>
            <xdr:cxnSp macro="">
              <xdr:nvCxnSpPr>
                <xdr:cNvPr id="180" name="Straight Arrow Connector 179"/>
                <xdr:cNvCxnSpPr/>
              </xdr:nvCxnSpPr>
              <xdr:spPr>
                <a:xfrm>
                  <a:off x="933450" y="304800"/>
                  <a:ext cx="2571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81" name="Straight Arrow Connector 180"/>
                <xdr:cNvCxnSpPr/>
              </xdr:nvCxnSpPr>
              <xdr:spPr>
                <a:xfrm>
                  <a:off x="933450" y="885825"/>
                  <a:ext cx="2952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82" name="Straight Arrow Connector 181"/>
                <xdr:cNvCxnSpPr/>
              </xdr:nvCxnSpPr>
              <xdr:spPr>
                <a:xfrm>
                  <a:off x="876300" y="2114550"/>
                  <a:ext cx="3048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83" name="Straight Arrow Connector 182"/>
                <xdr:cNvCxnSpPr/>
              </xdr:nvCxnSpPr>
              <xdr:spPr>
                <a:xfrm>
                  <a:off x="876300" y="2686050"/>
                  <a:ext cx="2667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grpSp>
        <xdr:grpSp>
          <xdr:nvGrpSpPr>
            <xdr:cNvPr id="159" name="Group 158"/>
            <xdr:cNvGrpSpPr/>
          </xdr:nvGrpSpPr>
          <xdr:grpSpPr>
            <a:xfrm>
              <a:off x="9525" y="-78793"/>
              <a:ext cx="8172450" cy="1466850"/>
              <a:chOff x="9525" y="-78793"/>
              <a:chExt cx="8172450" cy="1466850"/>
            </a:xfrm>
          </xdr:grpSpPr>
          <xdr:sp macro="" textlink="">
            <xdr:nvSpPr>
              <xdr:cNvPr id="160" name="Text Box 63"/>
              <xdr:cNvSpPr txBox="1"/>
            </xdr:nvSpPr>
            <xdr:spPr>
              <a:xfrm>
                <a:off x="9525" y="-78793"/>
                <a:ext cx="3505200" cy="1466850"/>
              </a:xfrm>
              <a:prstGeom prst="rect">
                <a:avLst/>
              </a:prstGeom>
              <a:solidFill>
                <a:schemeClr val="accent6">
                  <a:lumMod val="40000"/>
                  <a:lumOff val="60000"/>
                </a:schemeClr>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ea typeface="Calibri"/>
                    <a:cs typeface="Times New Roman"/>
                  </a:rPr>
                  <a:t>Whooley screening questions</a:t>
                </a:r>
              </a:p>
              <a:p>
                <a:pPr>
                  <a:lnSpc>
                    <a:spcPct val="115000"/>
                  </a:lnSpc>
                  <a:spcAft>
                    <a:spcPts val="0"/>
                  </a:spcAft>
                </a:pPr>
                <a:r>
                  <a:rPr lang="en-GB" sz="1100">
                    <a:effectLst/>
                    <a:ea typeface="Calibri"/>
                    <a:cs typeface="Times New Roman"/>
                  </a:rPr>
                  <a:t> </a:t>
                </a:r>
              </a:p>
              <a:p>
                <a:pPr>
                  <a:lnSpc>
                    <a:spcPct val="115000"/>
                  </a:lnSpc>
                  <a:spcAft>
                    <a:spcPts val="0"/>
                  </a:spcAft>
                </a:pPr>
                <a:r>
                  <a:rPr lang="en-GB" sz="1100">
                    <a:effectLst/>
                    <a:ea typeface="Calibri"/>
                    <a:cs typeface="Times New Roman"/>
                  </a:rPr>
                  <a:t>During the past month have you often been bothered by feeling down, depressed or hopeless?</a:t>
                </a:r>
              </a:p>
              <a:p>
                <a:pPr>
                  <a:lnSpc>
                    <a:spcPct val="115000"/>
                  </a:lnSpc>
                  <a:spcAft>
                    <a:spcPts val="0"/>
                  </a:spcAft>
                </a:pPr>
                <a:r>
                  <a:rPr lang="en-GB" sz="1100">
                    <a:effectLst/>
                    <a:ea typeface="Calibri"/>
                    <a:cs typeface="Times New Roman"/>
                  </a:rPr>
                  <a:t> </a:t>
                </a:r>
              </a:p>
              <a:p>
                <a:pPr>
                  <a:lnSpc>
                    <a:spcPct val="115000"/>
                  </a:lnSpc>
                  <a:spcAft>
                    <a:spcPts val="0"/>
                  </a:spcAft>
                </a:pPr>
                <a:r>
                  <a:rPr lang="en-GB" sz="1100">
                    <a:effectLst/>
                    <a:ea typeface="Calibri"/>
                    <a:cs typeface="Times New Roman"/>
                  </a:rPr>
                  <a:t>During the past month, have you often been bothered by having little interest or pleasure in doing things?</a:t>
                </a:r>
              </a:p>
            </xdr:txBody>
          </xdr:sp>
          <xdr:sp macro="" textlink="">
            <xdr:nvSpPr>
              <xdr:cNvPr id="161" name="Text Box 64"/>
              <xdr:cNvSpPr txBox="1"/>
            </xdr:nvSpPr>
            <xdr:spPr>
              <a:xfrm>
                <a:off x="4095750" y="-68944"/>
                <a:ext cx="2457450" cy="728833"/>
              </a:xfrm>
              <a:prstGeom prst="rect">
                <a:avLst/>
              </a:prstGeom>
              <a:solidFill>
                <a:schemeClr val="tx2">
                  <a:lumMod val="20000"/>
                  <a:lumOff val="80000"/>
                </a:schemeClr>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ea typeface="Calibri"/>
                    <a:cs typeface="Times New Roman"/>
                  </a:rPr>
                  <a:t>Edinburgh Postnatal Depression Scale</a:t>
                </a:r>
              </a:p>
            </xdr:txBody>
          </xdr:sp>
          <xdr:sp macro="" textlink="">
            <xdr:nvSpPr>
              <xdr:cNvPr id="162" name="Text Box 71"/>
              <xdr:cNvSpPr txBox="1"/>
            </xdr:nvSpPr>
            <xdr:spPr>
              <a:xfrm>
                <a:off x="7248525" y="-59095"/>
                <a:ext cx="933450" cy="257175"/>
              </a:xfrm>
              <a:prstGeom prst="rect">
                <a:avLst/>
              </a:prstGeom>
              <a:solidFill>
                <a:schemeClr val="tx2">
                  <a:lumMod val="20000"/>
                  <a:lumOff val="80000"/>
                </a:schemeClr>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1000"/>
                  </a:spcAft>
                </a:pPr>
                <a:r>
                  <a:rPr lang="en-GB" sz="1100">
                    <a:effectLst/>
                    <a:ea typeface="Calibri"/>
                    <a:cs typeface="Times New Roman"/>
                  </a:rPr>
                  <a:t>EPNDS score</a:t>
                </a:r>
              </a:p>
            </xdr:txBody>
          </xdr:sp>
        </xdr:grpSp>
      </xdr:grpSp>
    </xdr:grpSp>
    <xdr:clientData/>
  </xdr:twoCellAnchor>
  <mc:AlternateContent xmlns:mc="http://schemas.openxmlformats.org/markup-compatibility/2006">
    <mc:Choice xmlns:a14="http://schemas.microsoft.com/office/drawing/2010/main" Requires="a14">
      <xdr:twoCellAnchor>
        <xdr:from>
          <xdr:col>10</xdr:col>
          <xdr:colOff>76200</xdr:colOff>
          <xdr:row>438</xdr:row>
          <xdr:rowOff>38100</xdr:rowOff>
        </xdr:from>
        <xdr:to>
          <xdr:col>11</xdr:col>
          <xdr:colOff>504825</xdr:colOff>
          <xdr:row>441</xdr:row>
          <xdr:rowOff>133350</xdr:rowOff>
        </xdr:to>
        <xdr:sp macro="" textlink="">
          <xdr:nvSpPr>
            <xdr:cNvPr id="5124" name="Object 4" hidden="1">
              <a:extLst>
                <a:ext uri="{63B3BB69-23CF-44E3-9099-C40C66FF867C}">
                  <a14:compatExt spid="_x0000_s5124"/>
                </a:ext>
              </a:extLst>
            </xdr:cNvPr>
            <xdr:cNvSpPr/>
          </xdr:nvSpPr>
          <xdr:spPr>
            <a:xfrm>
              <a:off x="0" y="0"/>
              <a:ext cx="0" cy="0"/>
            </a:xfrm>
            <a:prstGeom prst="rect">
              <a:avLst/>
            </a:prstGeom>
          </xdr:spPr>
        </xdr:sp>
        <xdr:clientData/>
      </xdr:twoCellAnchor>
    </mc:Choice>
    <mc:Fallback/>
  </mc:AlternateContent>
  <xdr:twoCellAnchor editAs="oneCell">
    <xdr:from>
      <xdr:col>2</xdr:col>
      <xdr:colOff>0</xdr:colOff>
      <xdr:row>487</xdr:row>
      <xdr:rowOff>180975</xdr:rowOff>
    </xdr:from>
    <xdr:to>
      <xdr:col>22</xdr:col>
      <xdr:colOff>4883</xdr:colOff>
      <xdr:row>489</xdr:row>
      <xdr:rowOff>103952</xdr:rowOff>
    </xdr:to>
    <xdr:grpSp>
      <xdr:nvGrpSpPr>
        <xdr:cNvPr id="215" name="Group 214"/>
        <xdr:cNvGrpSpPr/>
      </xdr:nvGrpSpPr>
      <xdr:grpSpPr>
        <a:xfrm>
          <a:off x="209550" y="97412175"/>
          <a:ext cx="10596683" cy="303977"/>
          <a:chOff x="219752" y="16256265"/>
          <a:chExt cx="10659783" cy="299214"/>
        </a:xfrm>
      </xdr:grpSpPr>
      <xdr:sp macro="" textlink="">
        <xdr:nvSpPr>
          <xdr:cNvPr id="216" name="Rectangle 215"/>
          <xdr:cNvSpPr/>
        </xdr:nvSpPr>
        <xdr:spPr>
          <a:xfrm>
            <a:off x="219752" y="16256265"/>
            <a:ext cx="10659783"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baseline="0"/>
              <a:t>Maternal Smoking (2012 data)</a:t>
            </a:r>
          </a:p>
          <a:p>
            <a:pPr algn="l"/>
            <a:endParaRPr lang="en-GB" sz="1100" b="1"/>
          </a:p>
        </xdr:txBody>
      </xdr:sp>
      <xdr:sp macro="" textlink="">
        <xdr:nvSpPr>
          <xdr:cNvPr id="217" name="TextBox 216">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1</xdr:col>
      <xdr:colOff>104775</xdr:colOff>
      <xdr:row>516</xdr:row>
      <xdr:rowOff>161925</xdr:rowOff>
    </xdr:from>
    <xdr:to>
      <xdr:col>22</xdr:col>
      <xdr:colOff>800</xdr:colOff>
      <xdr:row>518</xdr:row>
      <xdr:rowOff>84902</xdr:rowOff>
    </xdr:to>
    <xdr:grpSp>
      <xdr:nvGrpSpPr>
        <xdr:cNvPr id="218" name="Group 217"/>
        <xdr:cNvGrpSpPr/>
      </xdr:nvGrpSpPr>
      <xdr:grpSpPr>
        <a:xfrm>
          <a:off x="200025" y="103936800"/>
          <a:ext cx="10602125" cy="303977"/>
          <a:chOff x="219752" y="16256265"/>
          <a:chExt cx="10659783" cy="299214"/>
        </a:xfrm>
      </xdr:grpSpPr>
      <xdr:sp macro="" textlink="">
        <xdr:nvSpPr>
          <xdr:cNvPr id="219" name="Rectangle 218"/>
          <xdr:cNvSpPr/>
        </xdr:nvSpPr>
        <xdr:spPr>
          <a:xfrm>
            <a:off x="219752" y="16256265"/>
            <a:ext cx="10659783"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baseline="0"/>
              <a:t>Maternal Smoking (2014 data)</a:t>
            </a:r>
          </a:p>
          <a:p>
            <a:pPr algn="l"/>
            <a:endParaRPr lang="en-GB" sz="1100" b="1"/>
          </a:p>
        </xdr:txBody>
      </xdr:sp>
      <xdr:sp macro="" textlink="">
        <xdr:nvSpPr>
          <xdr:cNvPr id="287" name="TextBox 286">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xdr:from>
      <xdr:col>2</xdr:col>
      <xdr:colOff>523874</xdr:colOff>
      <xdr:row>542</xdr:row>
      <xdr:rowOff>57150</xdr:rowOff>
    </xdr:from>
    <xdr:to>
      <xdr:col>19</xdr:col>
      <xdr:colOff>57150</xdr:colOff>
      <xdr:row>558</xdr:row>
      <xdr:rowOff>171450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xdr:colOff>
      <xdr:row>176</xdr:row>
      <xdr:rowOff>156181</xdr:rowOff>
    </xdr:from>
    <xdr:to>
      <xdr:col>20</xdr:col>
      <xdr:colOff>103426</xdr:colOff>
      <xdr:row>178</xdr:row>
      <xdr:rowOff>108556</xdr:rowOff>
    </xdr:to>
    <xdr:grpSp>
      <xdr:nvGrpSpPr>
        <xdr:cNvPr id="2" name="Group 1"/>
        <xdr:cNvGrpSpPr/>
      </xdr:nvGrpSpPr>
      <xdr:grpSpPr>
        <a:xfrm>
          <a:off x="95251" y="37179856"/>
          <a:ext cx="10800000" cy="314325"/>
          <a:chOff x="9524" y="6115049"/>
          <a:chExt cx="10963276" cy="314325"/>
        </a:xfrm>
      </xdr:grpSpPr>
      <xdr:sp macro="" textlink="">
        <xdr:nvSpPr>
          <xdr:cNvPr id="3" name="Round Same Side Corner Rectangle 2"/>
          <xdr:cNvSpPr/>
        </xdr:nvSpPr>
        <xdr:spPr>
          <a:xfrm flipV="1">
            <a:off x="9524" y="6124573"/>
            <a:ext cx="10958850" cy="238125"/>
          </a:xfrm>
          <a:prstGeom prst="round2SameRect">
            <a:avLst/>
          </a:prstGeom>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GB" sz="1100"/>
          </a:p>
        </xdr:txBody>
      </xdr:sp>
      <xdr:sp macro="" textlink="$X$1">
        <xdr:nvSpPr>
          <xdr:cNvPr id="4" name="TextBox 3"/>
          <xdr:cNvSpPr txBox="1"/>
        </xdr:nvSpPr>
        <xdr:spPr>
          <a:xfrm>
            <a:off x="7357963" y="6115049"/>
            <a:ext cx="3614837"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3B1BCF6-4FA2-4300-A41F-12861E9D32B9}" type="TxLink">
              <a:rPr lang="en-US" sz="1200" b="0" i="0" u="none" strike="noStrike">
                <a:solidFill>
                  <a:schemeClr val="bg1"/>
                </a:solidFill>
                <a:latin typeface="Calibri"/>
                <a:ea typeface="Verdana"/>
                <a:cs typeface="Calibri"/>
              </a:rPr>
              <a:pPr algn="r"/>
              <a:t>12:39PM Friday 18 December 2015</a:t>
            </a:fld>
            <a:endParaRPr lang="en-GB" sz="1200" b="0">
              <a:solidFill>
                <a:schemeClr val="bg1"/>
              </a:solidFill>
            </a:endParaRPr>
          </a:p>
        </xdr:txBody>
      </xdr:sp>
    </xdr:grpSp>
    <xdr:clientData/>
  </xdr:twoCellAnchor>
  <xdr:twoCellAnchor editAs="absolute">
    <xdr:from>
      <xdr:col>1</xdr:col>
      <xdr:colOff>0</xdr:colOff>
      <xdr:row>0</xdr:row>
      <xdr:rowOff>123825</xdr:rowOff>
    </xdr:from>
    <xdr:to>
      <xdr:col>20</xdr:col>
      <xdr:colOff>103425</xdr:colOff>
      <xdr:row>4</xdr:row>
      <xdr:rowOff>9525</xdr:rowOff>
    </xdr:to>
    <xdr:grpSp>
      <xdr:nvGrpSpPr>
        <xdr:cNvPr id="5" name="Group 4"/>
        <xdr:cNvGrpSpPr/>
      </xdr:nvGrpSpPr>
      <xdr:grpSpPr>
        <a:xfrm>
          <a:off x="95250" y="123825"/>
          <a:ext cx="10800000" cy="676275"/>
          <a:chOff x="95250" y="123825"/>
          <a:chExt cx="10803225" cy="666750"/>
        </a:xfrm>
      </xdr:grpSpPr>
      <xdr:sp macro="" textlink="">
        <xdr:nvSpPr>
          <xdr:cNvPr id="6" name="Round Same Side Corner Rectangle 5"/>
          <xdr:cNvSpPr/>
        </xdr:nvSpPr>
        <xdr:spPr>
          <a:xfrm>
            <a:off x="95250" y="123825"/>
            <a:ext cx="10800000" cy="666750"/>
          </a:xfrm>
          <a:prstGeom prst="round2SameRect">
            <a:avLst>
              <a:gd name="adj1" fmla="val 50000"/>
              <a:gd name="adj2" fmla="val 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000"/>
          </a:p>
        </xdr:txBody>
      </xdr:sp>
      <xdr:sp macro="" textlink="">
        <xdr:nvSpPr>
          <xdr:cNvPr id="7" name="Snip Single Corner Rectangle 6">
            <a:hlinkClick xmlns:r="http://schemas.openxmlformats.org/officeDocument/2006/relationships" r:id="rId1"/>
          </xdr:cNvPr>
          <xdr:cNvSpPr/>
        </xdr:nvSpPr>
        <xdr:spPr>
          <a:xfrm>
            <a:off x="10477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b="0"/>
              <a:t>Population</a:t>
            </a:r>
          </a:p>
        </xdr:txBody>
      </xdr:sp>
      <xdr:sp macro="" textlink="">
        <xdr:nvSpPr>
          <xdr:cNvPr id="8" name="Snip Single Corner Rectangle 7">
            <a:hlinkClick xmlns:r="http://schemas.openxmlformats.org/officeDocument/2006/relationships" r:id="rId2"/>
          </xdr:cNvPr>
          <xdr:cNvSpPr/>
        </xdr:nvSpPr>
        <xdr:spPr>
          <a:xfrm>
            <a:off x="191071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Family Structure</a:t>
            </a:r>
          </a:p>
        </xdr:txBody>
      </xdr:sp>
      <xdr:sp macro="" textlink="">
        <xdr:nvSpPr>
          <xdr:cNvPr id="9" name="Snip Single Corner Rectangle 8">
            <a:hlinkClick xmlns:r="http://schemas.openxmlformats.org/officeDocument/2006/relationships" r:id="rId3"/>
          </xdr:cNvPr>
          <xdr:cNvSpPr/>
        </xdr:nvSpPr>
        <xdr:spPr>
          <a:xfrm>
            <a:off x="371665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Health Indicators</a:t>
            </a:r>
          </a:p>
        </xdr:txBody>
      </xdr:sp>
      <xdr:sp macro="" textlink="">
        <xdr:nvSpPr>
          <xdr:cNvPr id="10" name="Snip Single Corner Rectangle 9"/>
          <xdr:cNvSpPr/>
        </xdr:nvSpPr>
        <xdr:spPr>
          <a:xfrm>
            <a:off x="5522594" y="514350"/>
            <a:ext cx="1764000" cy="247649"/>
          </a:xfrm>
          <a:prstGeom prst="snip1Rect">
            <a:avLst>
              <a:gd name="adj" fmla="val 50000"/>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b"/>
          <a:lstStyle/>
          <a:p>
            <a:pPr algn="ctr"/>
            <a:r>
              <a:rPr lang="en-GB" sz="1100" b="1"/>
              <a:t>Births and Early Years</a:t>
            </a:r>
          </a:p>
        </xdr:txBody>
      </xdr:sp>
      <xdr:sp macro="" textlink="">
        <xdr:nvSpPr>
          <xdr:cNvPr id="11" name="Snip Single Corner Rectangle 10">
            <a:hlinkClick xmlns:r="http://schemas.openxmlformats.org/officeDocument/2006/relationships" r:id="rId4"/>
          </xdr:cNvPr>
          <xdr:cNvSpPr/>
        </xdr:nvSpPr>
        <xdr:spPr>
          <a:xfrm>
            <a:off x="732853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Deprivation</a:t>
            </a:r>
          </a:p>
        </xdr:txBody>
      </xdr:sp>
      <xdr:sp macro="" textlink="">
        <xdr:nvSpPr>
          <xdr:cNvPr id="12" name="Snip Single Corner Rectangle 11">
            <a:hlinkClick xmlns:r="http://schemas.openxmlformats.org/officeDocument/2006/relationships" r:id="rId5"/>
          </xdr:cNvPr>
          <xdr:cNvSpPr/>
        </xdr:nvSpPr>
        <xdr:spPr>
          <a:xfrm>
            <a:off x="9134475"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EYFS</a:t>
            </a:r>
          </a:p>
        </xdr:txBody>
      </xdr:sp>
      <xdr:cxnSp macro="">
        <xdr:nvCxnSpPr>
          <xdr:cNvPr id="13" name="Straight Connector 12"/>
          <xdr:cNvCxnSpPr/>
        </xdr:nvCxnSpPr>
        <xdr:spPr>
          <a:xfrm>
            <a:off x="95250" y="781050"/>
            <a:ext cx="10800000" cy="1"/>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14" name="TextBox 13"/>
          <xdr:cNvSpPr txBox="1"/>
        </xdr:nvSpPr>
        <xdr:spPr>
          <a:xfrm>
            <a:off x="361949" y="152400"/>
            <a:ext cx="5411897"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Children's Workforce Public Health Profiles : </a:t>
            </a:r>
            <a:r>
              <a:rPr lang="en-GB" sz="1400" b="0"/>
              <a:t>Births and Early</a:t>
            </a:r>
            <a:r>
              <a:rPr lang="en-GB" sz="1400" b="0" baseline="0"/>
              <a:t> Years</a:t>
            </a:r>
            <a:endParaRPr lang="en-GB" sz="1400" b="0"/>
          </a:p>
        </xdr:txBody>
      </xdr:sp>
    </xdr:grpSp>
    <xdr:clientData/>
  </xdr:twoCellAnchor>
  <xdr:twoCellAnchor editAs="absolute">
    <xdr:from>
      <xdr:col>2</xdr:col>
      <xdr:colOff>2294</xdr:colOff>
      <xdr:row>84</xdr:row>
      <xdr:rowOff>0</xdr:rowOff>
    </xdr:from>
    <xdr:to>
      <xdr:col>19</xdr:col>
      <xdr:colOff>140495</xdr:colOff>
      <xdr:row>141</xdr:row>
      <xdr:rowOff>133348</xdr:rowOff>
    </xdr:to>
    <xdr:grpSp>
      <xdr:nvGrpSpPr>
        <xdr:cNvPr id="19" name="Group 18"/>
        <xdr:cNvGrpSpPr/>
      </xdr:nvGrpSpPr>
      <xdr:grpSpPr>
        <a:xfrm>
          <a:off x="202319" y="17364075"/>
          <a:ext cx="10587126" cy="12096748"/>
          <a:chOff x="204657" y="1004888"/>
          <a:chExt cx="10731168" cy="11906835"/>
        </a:xfrm>
      </xdr:grpSpPr>
      <xdr:sp macro="" textlink="">
        <xdr:nvSpPr>
          <xdr:cNvPr id="22" name="Rectangle 21"/>
          <xdr:cNvSpPr/>
        </xdr:nvSpPr>
        <xdr:spPr>
          <a:xfrm>
            <a:off x="652463" y="1766887"/>
            <a:ext cx="9748837" cy="3067051"/>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r>
              <a:rPr lang="en-GB" sz="1200" b="1">
                <a:solidFill>
                  <a:schemeClr val="dk1"/>
                </a:solidFill>
                <a:effectLst/>
                <a:latin typeface="+mn-lt"/>
                <a:ea typeface="+mn-ea"/>
                <a:cs typeface="+mn-cs"/>
              </a:rPr>
              <a:t>Why is teenage pregnancy important?</a:t>
            </a:r>
          </a:p>
          <a:p>
            <a:endParaRPr lang="en-GB" sz="800" b="1">
              <a:solidFill>
                <a:schemeClr val="dk1"/>
              </a:solidFill>
              <a:effectLst/>
              <a:latin typeface="+mn-lt"/>
              <a:ea typeface="+mn-ea"/>
              <a:cs typeface="+mn-cs"/>
            </a:endParaRPr>
          </a:p>
          <a:p>
            <a:r>
              <a:rPr lang="en-GB" sz="1100">
                <a:solidFill>
                  <a:schemeClr val="dk1"/>
                </a:solidFill>
                <a:effectLst/>
                <a:latin typeface="+mn-lt"/>
                <a:ea typeface="+mn-ea"/>
                <a:cs typeface="+mn-cs"/>
              </a:rPr>
              <a:t>Babies born to young women under 20 years have a 25% risk of a low birth weight, 41% higher risk of infant mortality and a 63% higher risk of experiencing child poverty. Mothers under 20 are much more likely to smoke throughout pregnancy and less likely to breastfeed. They are also at a higher risk of postnatal depression or subsequent poor mental health</a:t>
            </a:r>
          </a:p>
          <a:p>
            <a:endParaRPr lang="en-GB" sz="800" b="1">
              <a:solidFill>
                <a:schemeClr val="dk1"/>
              </a:solidFill>
              <a:effectLst/>
              <a:latin typeface="+mn-lt"/>
              <a:ea typeface="+mn-ea"/>
              <a:cs typeface="+mn-cs"/>
            </a:endParaRPr>
          </a:p>
          <a:p>
            <a:r>
              <a:rPr lang="en-GB" sz="1200" b="1">
                <a:solidFill>
                  <a:schemeClr val="dk1"/>
                </a:solidFill>
                <a:effectLst/>
                <a:latin typeface="+mn-lt"/>
                <a:ea typeface="+mn-ea"/>
                <a:cs typeface="+mn-cs"/>
              </a:rPr>
              <a:t>Rational</a:t>
            </a:r>
            <a:r>
              <a:rPr lang="en-GB" sz="1200" b="1" baseline="0">
                <a:solidFill>
                  <a:schemeClr val="dk1"/>
                </a:solidFill>
                <a:effectLst/>
                <a:latin typeface="+mn-lt"/>
                <a:ea typeface="+mn-ea"/>
                <a:cs typeface="+mn-cs"/>
              </a:rPr>
              <a:t>e for the Indicator:</a:t>
            </a:r>
          </a:p>
          <a:p>
            <a:endParaRPr lang="en-GB" sz="800">
              <a:effectLst/>
            </a:endParaRPr>
          </a:p>
          <a:p>
            <a:r>
              <a:rPr lang="en-GB" sz="1100" b="0">
                <a:solidFill>
                  <a:schemeClr val="dk1"/>
                </a:solidFill>
                <a:effectLst/>
                <a:latin typeface="+mn-lt"/>
                <a:ea typeface="+mn-ea"/>
                <a:cs typeface="+mn-cs"/>
              </a:rPr>
              <a:t>Teenage pregnancy is associated with deprivation and poverty and the overall rate in West Sussex, an affluent county, is low.  However there is variation around the county and children and family centres need to be aware of the needs of their local populations.  This indicator shows the number of teenage parents within the catchment area of the centre so that centres can ensure they have capacity to proactively provide appropriate support.</a:t>
            </a:r>
            <a:endParaRPr lang="en-GB">
              <a:effectLst/>
            </a:endParaRPr>
          </a:p>
          <a:p>
            <a:endParaRPr lang="en-GB" sz="1100" b="1">
              <a:solidFill>
                <a:schemeClr val="dk1"/>
              </a:solidFill>
              <a:effectLst/>
              <a:latin typeface="+mn-lt"/>
              <a:ea typeface="+mn-ea"/>
              <a:cs typeface="+mn-cs"/>
            </a:endParaRPr>
          </a:p>
          <a:p>
            <a:r>
              <a:rPr lang="en-GB" sz="1200" b="1">
                <a:solidFill>
                  <a:schemeClr val="dk1"/>
                </a:solidFill>
                <a:effectLst/>
                <a:latin typeface="+mn-lt"/>
                <a:ea typeface="+mn-ea"/>
                <a:cs typeface="+mn-cs"/>
              </a:rPr>
              <a:t>What helps?</a:t>
            </a:r>
          </a:p>
          <a:p>
            <a:endParaRPr lang="en-GB" sz="800">
              <a:effectLst/>
            </a:endParaRPr>
          </a:p>
          <a:p>
            <a:r>
              <a:rPr lang="en-GB" sz="1100">
                <a:solidFill>
                  <a:schemeClr val="dk1"/>
                </a:solidFill>
                <a:effectLst/>
                <a:latin typeface="+mn-lt"/>
                <a:ea typeface="+mn-ea"/>
                <a:cs typeface="+mn-cs"/>
              </a:rPr>
              <a:t>Young people need access to unbiased advice on pregnancy options and swift referral to antenatal care to identify other supportive services that may be required, for example enrolment on the Family Nurse Partnership Programme.  It is important that services are integrated to make sure that young parents don’t slip though the gaps. Children and Family Centres have an invaluable role in supporting young parents within a welcoming environment focussing on improving health, social and economic outcomes for them and their children and in preventing subsequent pregnancies.</a:t>
            </a:r>
            <a:endParaRPr lang="en-GB" sz="1100"/>
          </a:p>
        </xdr:txBody>
      </xdr:sp>
      <xdr:grpSp>
        <xdr:nvGrpSpPr>
          <xdr:cNvPr id="15" name="Group 14"/>
          <xdr:cNvGrpSpPr/>
        </xdr:nvGrpSpPr>
        <xdr:grpSpPr>
          <a:xfrm>
            <a:off x="207825" y="1004888"/>
            <a:ext cx="10728000" cy="561976"/>
            <a:chOff x="95249" y="904875"/>
            <a:chExt cx="10863836" cy="561976"/>
          </a:xfrm>
        </xdr:grpSpPr>
        <xdr:sp macro="" textlink="">
          <xdr:nvSpPr>
            <xdr:cNvPr id="16" name="TextBox 15"/>
            <xdr:cNvSpPr txBox="1"/>
          </xdr:nvSpPr>
          <xdr:spPr>
            <a:xfrm>
              <a:off x="95251" y="1190627"/>
              <a:ext cx="10362628" cy="2762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Reducing</a:t>
              </a:r>
              <a:r>
                <a:rPr lang="en-GB" sz="1200" b="1" baseline="0"/>
                <a:t> Teenage Pregnancy and Supporting Teenage Parents</a:t>
              </a:r>
            </a:p>
            <a:p>
              <a:endParaRPr lang="en-GB" sz="400" b="1"/>
            </a:p>
            <a:p>
              <a:endParaRPr lang="en-GB" sz="400" b="1"/>
            </a:p>
            <a:p>
              <a:pPr lvl="1"/>
              <a:endParaRPr lang="en-GB" sz="1100" b="0"/>
            </a:p>
            <a:p>
              <a:pPr lvl="0"/>
              <a:endParaRPr lang="en-GB" sz="1100" b="0"/>
            </a:p>
          </xdr:txBody>
        </xdr:sp>
        <xdr:sp macro="" textlink="">
          <xdr:nvSpPr>
            <xdr:cNvPr id="17" name="Rectangle 16"/>
            <xdr:cNvSpPr/>
          </xdr:nvSpPr>
          <xdr:spPr>
            <a:xfrm>
              <a:off x="95249" y="904875"/>
              <a:ext cx="10863836"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l"/>
              <a:r>
                <a:rPr lang="en-GB" sz="1100" b="1"/>
                <a:t>Pregnancy</a:t>
              </a:r>
            </a:p>
          </xdr:txBody>
        </xdr:sp>
      </xdr:grpSp>
      <xdr:cxnSp macro="">
        <xdr:nvCxnSpPr>
          <xdr:cNvPr id="20" name="Straight Connector 19"/>
          <xdr:cNvCxnSpPr/>
        </xdr:nvCxnSpPr>
        <xdr:spPr>
          <a:xfrm>
            <a:off x="300038" y="1528763"/>
            <a:ext cx="4672012" cy="0"/>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26" name="Rectangle 25"/>
          <xdr:cNvSpPr/>
        </xdr:nvSpPr>
        <xdr:spPr>
          <a:xfrm>
            <a:off x="204657" y="5195888"/>
            <a:ext cx="10728000"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l"/>
            <a:r>
              <a:rPr lang="en-GB" sz="1100" b="1"/>
              <a:t>Teenage Conceptions</a:t>
            </a:r>
          </a:p>
        </xdr:txBody>
      </xdr:sp>
      <xdr:graphicFrame macro="">
        <xdr:nvGraphicFramePr>
          <xdr:cNvPr id="18" name="Chart 17"/>
          <xdr:cNvGraphicFramePr/>
        </xdr:nvGraphicFramePr>
        <xdr:xfrm>
          <a:off x="677053" y="10016124"/>
          <a:ext cx="9144000" cy="2895599"/>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absolute">
    <xdr:from>
      <xdr:col>2</xdr:col>
      <xdr:colOff>0</xdr:colOff>
      <xdr:row>9</xdr:row>
      <xdr:rowOff>45243</xdr:rowOff>
    </xdr:from>
    <xdr:to>
      <xdr:col>19</xdr:col>
      <xdr:colOff>135075</xdr:colOff>
      <xdr:row>10</xdr:row>
      <xdr:rowOff>140493</xdr:rowOff>
    </xdr:to>
    <xdr:sp macro="" textlink="">
      <xdr:nvSpPr>
        <xdr:cNvPr id="28" name="Rectangle 27"/>
        <xdr:cNvSpPr/>
      </xdr:nvSpPr>
      <xdr:spPr>
        <a:xfrm>
          <a:off x="202406" y="1783556"/>
          <a:ext cx="10660200"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l"/>
          <a:r>
            <a:rPr lang="en-GB" sz="1100" b="1"/>
            <a:t>Births</a:t>
          </a:r>
        </a:p>
      </xdr:txBody>
    </xdr:sp>
    <xdr:clientData/>
  </xdr:twoCellAnchor>
  <xdr:twoCellAnchor editAs="absolute">
    <xdr:from>
      <xdr:col>2</xdr:col>
      <xdr:colOff>0</xdr:colOff>
      <xdr:row>13</xdr:row>
      <xdr:rowOff>152400</xdr:rowOff>
    </xdr:from>
    <xdr:to>
      <xdr:col>19</xdr:col>
      <xdr:colOff>135075</xdr:colOff>
      <xdr:row>15</xdr:row>
      <xdr:rowOff>57150</xdr:rowOff>
    </xdr:to>
    <xdr:sp macro="" textlink="">
      <xdr:nvSpPr>
        <xdr:cNvPr id="29" name="Rectangle 28"/>
        <xdr:cNvSpPr/>
      </xdr:nvSpPr>
      <xdr:spPr>
        <a:xfrm>
          <a:off x="200025" y="1933575"/>
          <a:ext cx="10584000"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l"/>
          <a:r>
            <a:rPr lang="en-GB" sz="1100" b="1"/>
            <a:t>All Births</a:t>
          </a:r>
        </a:p>
      </xdr:txBody>
    </xdr:sp>
    <xdr:clientData/>
  </xdr:twoCellAnchor>
  <xdr:twoCellAnchor editAs="absolute">
    <xdr:from>
      <xdr:col>2</xdr:col>
      <xdr:colOff>9524</xdr:colOff>
      <xdr:row>17</xdr:row>
      <xdr:rowOff>76199</xdr:rowOff>
    </xdr:from>
    <xdr:to>
      <xdr:col>19</xdr:col>
      <xdr:colOff>104774</xdr:colOff>
      <xdr:row>20</xdr:row>
      <xdr:rowOff>47625</xdr:rowOff>
    </xdr:to>
    <xdr:sp macro="" textlink="">
      <xdr:nvSpPr>
        <xdr:cNvPr id="21" name="TextBox 20"/>
        <xdr:cNvSpPr txBox="1"/>
      </xdr:nvSpPr>
      <xdr:spPr>
        <a:xfrm>
          <a:off x="209549" y="3038474"/>
          <a:ext cx="10544175" cy="8763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Statistical Issues: </a:t>
          </a:r>
          <a:r>
            <a:rPr lang="en-GB" sz="1100" b="0"/>
            <a:t>The data</a:t>
          </a:r>
          <a:r>
            <a:rPr lang="en-GB" sz="1100" b="0" baseline="0"/>
            <a:t> presented for CFCs is sourced directly from the Child Health Bureau.</a:t>
          </a:r>
          <a:r>
            <a:rPr lang="en-GB" sz="1100" b="0"/>
            <a:t> </a:t>
          </a:r>
          <a:r>
            <a:rPr lang="en-GB" sz="1100"/>
            <a:t>The full postcode of usual residence</a:t>
          </a:r>
          <a:r>
            <a:rPr lang="en-GB" sz="1100" baseline="0"/>
            <a:t> is required to allocate individual births to each CFC catchment area. </a:t>
          </a:r>
          <a:r>
            <a:rPr lang="en-GB" sz="1100"/>
            <a:t>As a result,</a:t>
          </a:r>
          <a:r>
            <a:rPr lang="en-GB" sz="1100" baseline="0"/>
            <a:t> there are</a:t>
          </a:r>
          <a:r>
            <a:rPr lang="en-GB" sz="1100"/>
            <a:t> a number of records where postcodes were incomplete or missing. This means that the total number of births reported for each CFC/CFC group is likely to be slightly lower than actually occurred.  This data</a:t>
          </a:r>
          <a:r>
            <a:rPr lang="en-GB" sz="1100" baseline="0"/>
            <a:t> may differ slightly from previous years due to changes in CFC catchment areas. </a:t>
          </a:r>
        </a:p>
        <a:p>
          <a:endParaRPr lang="en-GB" sz="400" baseline="0"/>
        </a:p>
        <a:p>
          <a:r>
            <a:rPr lang="en-GB" sz="1100" baseline="0"/>
            <a:t>Data for local authorities, West Sussex, the South East and England are sourced from the ONS.</a:t>
          </a:r>
        </a:p>
      </xdr:txBody>
    </xdr:sp>
    <xdr:clientData/>
  </xdr:twoCellAnchor>
  <xdr:twoCellAnchor editAs="absolute">
    <xdr:from>
      <xdr:col>2</xdr:col>
      <xdr:colOff>447675</xdr:colOff>
      <xdr:row>11</xdr:row>
      <xdr:rowOff>161925</xdr:rowOff>
    </xdr:from>
    <xdr:to>
      <xdr:col>18</xdr:col>
      <xdr:colOff>153675</xdr:colOff>
      <xdr:row>12</xdr:row>
      <xdr:rowOff>342900</xdr:rowOff>
    </xdr:to>
    <xdr:sp macro="" textlink="">
      <xdr:nvSpPr>
        <xdr:cNvPr id="23" name="TextBox 22"/>
        <xdr:cNvSpPr txBox="1"/>
      </xdr:nvSpPr>
      <xdr:spPr>
        <a:xfrm>
          <a:off x="647700" y="1524000"/>
          <a:ext cx="9612000" cy="600075"/>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ctr"/>
        <a:lstStyle/>
        <a:p>
          <a:r>
            <a:rPr lang="en-GB" sz="1100"/>
            <a:t>Information on births at a local level can vary hugely. They are included in this profile to provide scale (approximate number of children per year) and general direction (increasing/decreasing) over a number of years.</a:t>
          </a:r>
        </a:p>
      </xdr:txBody>
    </xdr:sp>
    <xdr:clientData/>
  </xdr:twoCellAnchor>
  <xdr:twoCellAnchor editAs="absolute">
    <xdr:from>
      <xdr:col>2</xdr:col>
      <xdr:colOff>0</xdr:colOff>
      <xdr:row>34</xdr:row>
      <xdr:rowOff>0</xdr:rowOff>
    </xdr:from>
    <xdr:to>
      <xdr:col>19</xdr:col>
      <xdr:colOff>141683</xdr:colOff>
      <xdr:row>35</xdr:row>
      <xdr:rowOff>107025</xdr:rowOff>
    </xdr:to>
    <xdr:grpSp>
      <xdr:nvGrpSpPr>
        <xdr:cNvPr id="24" name="Group 23"/>
        <xdr:cNvGrpSpPr/>
      </xdr:nvGrpSpPr>
      <xdr:grpSpPr>
        <a:xfrm>
          <a:off x="200025" y="7334250"/>
          <a:ext cx="10590608" cy="297525"/>
          <a:chOff x="200025" y="6572250"/>
          <a:chExt cx="10590608" cy="297525"/>
        </a:xfrm>
      </xdr:grpSpPr>
      <xdr:sp macro="" textlink="">
        <xdr:nvSpPr>
          <xdr:cNvPr id="32" name="Rectangle 31"/>
          <xdr:cNvSpPr/>
        </xdr:nvSpPr>
        <xdr:spPr>
          <a:xfrm>
            <a:off x="200025" y="6572250"/>
            <a:ext cx="10584001" cy="285462"/>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l"/>
            <a:r>
              <a:rPr lang="en-GB" sz="1100" b="1"/>
              <a:t>Estimated</a:t>
            </a:r>
            <a:r>
              <a:rPr lang="en-GB" sz="1100" b="1" baseline="0"/>
              <a:t> Number of Births to Mothers Under the Age of 20</a:t>
            </a:r>
            <a:endParaRPr lang="en-GB" sz="1100" b="1"/>
          </a:p>
        </xdr:txBody>
      </xdr:sp>
      <xdr:sp macro="" textlink="">
        <xdr:nvSpPr>
          <xdr:cNvPr id="33" name="TextBox 32">
            <a:hlinkClick xmlns:r="http://schemas.openxmlformats.org/officeDocument/2006/relationships" r:id="rId7"/>
          </xdr:cNvPr>
          <xdr:cNvSpPr txBox="1"/>
        </xdr:nvSpPr>
        <xdr:spPr>
          <a:xfrm>
            <a:off x="9467850" y="6581775"/>
            <a:ext cx="1322783"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absolute">
    <xdr:from>
      <xdr:col>16</xdr:col>
      <xdr:colOff>542925</xdr:colOff>
      <xdr:row>84</xdr:row>
      <xdr:rowOff>19050</xdr:rowOff>
    </xdr:from>
    <xdr:to>
      <xdr:col>19</xdr:col>
      <xdr:colOff>141683</xdr:colOff>
      <xdr:row>85</xdr:row>
      <xdr:rowOff>116550</xdr:rowOff>
    </xdr:to>
    <xdr:sp macro="" textlink="">
      <xdr:nvSpPr>
        <xdr:cNvPr id="34" name="TextBox 33">
          <a:hlinkClick xmlns:r="http://schemas.openxmlformats.org/officeDocument/2006/relationships" r:id="rId7"/>
        </xdr:cNvPr>
        <xdr:cNvSpPr txBox="1"/>
      </xdr:nvSpPr>
      <xdr:spPr>
        <a:xfrm>
          <a:off x="9467850" y="16621125"/>
          <a:ext cx="1322783"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clientData/>
  </xdr:twoCellAnchor>
  <xdr:twoCellAnchor editAs="absolute">
    <xdr:from>
      <xdr:col>16</xdr:col>
      <xdr:colOff>542925</xdr:colOff>
      <xdr:row>106</xdr:row>
      <xdr:rowOff>85725</xdr:rowOff>
    </xdr:from>
    <xdr:to>
      <xdr:col>19</xdr:col>
      <xdr:colOff>141683</xdr:colOff>
      <xdr:row>107</xdr:row>
      <xdr:rowOff>183225</xdr:rowOff>
    </xdr:to>
    <xdr:sp macro="" textlink="">
      <xdr:nvSpPr>
        <xdr:cNvPr id="35" name="TextBox 34">
          <a:hlinkClick xmlns:r="http://schemas.openxmlformats.org/officeDocument/2006/relationships" r:id="rId7"/>
        </xdr:cNvPr>
        <xdr:cNvSpPr txBox="1"/>
      </xdr:nvSpPr>
      <xdr:spPr>
        <a:xfrm>
          <a:off x="9467850" y="20878800"/>
          <a:ext cx="1322783"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clientData/>
  </xdr:twoCellAnchor>
  <xdr:twoCellAnchor editAs="absolute">
    <xdr:from>
      <xdr:col>2</xdr:col>
      <xdr:colOff>0</xdr:colOff>
      <xdr:row>144</xdr:row>
      <xdr:rowOff>0</xdr:rowOff>
    </xdr:from>
    <xdr:to>
      <xdr:col>19</xdr:col>
      <xdr:colOff>141683</xdr:colOff>
      <xdr:row>145</xdr:row>
      <xdr:rowOff>116550</xdr:rowOff>
    </xdr:to>
    <xdr:grpSp>
      <xdr:nvGrpSpPr>
        <xdr:cNvPr id="37" name="Group 36"/>
        <xdr:cNvGrpSpPr/>
      </xdr:nvGrpSpPr>
      <xdr:grpSpPr>
        <a:xfrm>
          <a:off x="200025" y="29870400"/>
          <a:ext cx="10590608" cy="297525"/>
          <a:chOff x="200025" y="6572250"/>
          <a:chExt cx="10590608" cy="297525"/>
        </a:xfrm>
      </xdr:grpSpPr>
      <xdr:sp macro="" textlink="">
        <xdr:nvSpPr>
          <xdr:cNvPr id="38" name="Rectangle 37"/>
          <xdr:cNvSpPr/>
        </xdr:nvSpPr>
        <xdr:spPr>
          <a:xfrm>
            <a:off x="200025" y="6572250"/>
            <a:ext cx="10584001" cy="285462"/>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l"/>
            <a:r>
              <a:rPr lang="en-GB" sz="1100" b="1"/>
              <a:t>Low Birth Weight</a:t>
            </a:r>
          </a:p>
        </xdr:txBody>
      </xdr:sp>
      <xdr:sp macro="" textlink="">
        <xdr:nvSpPr>
          <xdr:cNvPr id="39" name="TextBox 38">
            <a:hlinkClick xmlns:r="http://schemas.openxmlformats.org/officeDocument/2006/relationships" r:id="rId7"/>
          </xdr:cNvPr>
          <xdr:cNvSpPr txBox="1"/>
        </xdr:nvSpPr>
        <xdr:spPr>
          <a:xfrm>
            <a:off x="9467850" y="6581775"/>
            <a:ext cx="1322783"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absolute">
    <xdr:from>
      <xdr:col>2</xdr:col>
      <xdr:colOff>9525</xdr:colOff>
      <xdr:row>37</xdr:row>
      <xdr:rowOff>76200</xdr:rowOff>
    </xdr:from>
    <xdr:to>
      <xdr:col>19</xdr:col>
      <xdr:colOff>104775</xdr:colOff>
      <xdr:row>38</xdr:row>
      <xdr:rowOff>114300</xdr:rowOff>
    </xdr:to>
    <xdr:sp macro="" textlink="">
      <xdr:nvSpPr>
        <xdr:cNvPr id="36" name="TextBox 35"/>
        <xdr:cNvSpPr txBox="1"/>
      </xdr:nvSpPr>
      <xdr:spPr>
        <a:xfrm>
          <a:off x="209550" y="7219950"/>
          <a:ext cx="10544175"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Statistical Issues</a:t>
          </a:r>
          <a:r>
            <a:rPr lang="en-GB" sz="1100" b="0"/>
            <a:t>:  First time mothers under the age of 20 are a target group for the work of Family Nurse Partnerships. Not all maternity records used a "flag" for first time mothers under the age of 20, therefore the information provided below relates to </a:t>
          </a:r>
          <a:r>
            <a:rPr lang="en-GB" sz="1100" b="1" u="sng"/>
            <a:t>all </a:t>
          </a:r>
          <a:r>
            <a:rPr lang="en-GB" sz="1100" b="0" u="none" baseline="0"/>
            <a:t> mothers under the age of 20. The majority of these mothers will be first time mothers.  </a:t>
          </a:r>
          <a:endParaRPr lang="en-GB" sz="1100" b="1" u="sng" baseline="0"/>
        </a:p>
      </xdr:txBody>
    </xdr:sp>
    <xdr:clientData/>
  </xdr:twoCellAnchor>
  <xdr:twoCellAnchor editAs="absolute">
    <xdr:from>
      <xdr:col>2</xdr:col>
      <xdr:colOff>135732</xdr:colOff>
      <xdr:row>49</xdr:row>
      <xdr:rowOff>59530</xdr:rowOff>
    </xdr:from>
    <xdr:to>
      <xdr:col>10</xdr:col>
      <xdr:colOff>246544</xdr:colOff>
      <xdr:row>63</xdr:row>
      <xdr:rowOff>128530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10</xdr:col>
      <xdr:colOff>235743</xdr:colOff>
      <xdr:row>49</xdr:row>
      <xdr:rowOff>66675</xdr:rowOff>
    </xdr:from>
    <xdr:to>
      <xdr:col>18</xdr:col>
      <xdr:colOff>227493</xdr:colOff>
      <xdr:row>63</xdr:row>
      <xdr:rowOff>135675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2</xdr:col>
      <xdr:colOff>0</xdr:colOff>
      <xdr:row>65</xdr:row>
      <xdr:rowOff>179911</xdr:rowOff>
    </xdr:from>
    <xdr:to>
      <xdr:col>19</xdr:col>
      <xdr:colOff>141683</xdr:colOff>
      <xdr:row>67</xdr:row>
      <xdr:rowOff>96436</xdr:rowOff>
    </xdr:to>
    <xdr:grpSp>
      <xdr:nvGrpSpPr>
        <xdr:cNvPr id="41" name="Group 40"/>
        <xdr:cNvGrpSpPr/>
      </xdr:nvGrpSpPr>
      <xdr:grpSpPr>
        <a:xfrm>
          <a:off x="200025" y="13657786"/>
          <a:ext cx="10590608" cy="297525"/>
          <a:chOff x="200025" y="6572250"/>
          <a:chExt cx="10590608" cy="297525"/>
        </a:xfrm>
      </xdr:grpSpPr>
      <xdr:sp macro="" textlink="">
        <xdr:nvSpPr>
          <xdr:cNvPr id="42" name="Rectangle 41"/>
          <xdr:cNvSpPr/>
        </xdr:nvSpPr>
        <xdr:spPr>
          <a:xfrm>
            <a:off x="200025" y="6572250"/>
            <a:ext cx="10584001" cy="285462"/>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l"/>
            <a:r>
              <a:rPr lang="en-GB" sz="1100" b="1"/>
              <a:t>Estimation</a:t>
            </a:r>
            <a:r>
              <a:rPr lang="en-GB" sz="1100" b="1" baseline="0"/>
              <a:t> of the number of teenage mothers in the CFC catchment area</a:t>
            </a:r>
            <a:endParaRPr lang="en-GB" sz="1100" b="1"/>
          </a:p>
        </xdr:txBody>
      </xdr:sp>
      <xdr:sp macro="" textlink="">
        <xdr:nvSpPr>
          <xdr:cNvPr id="43" name="TextBox 42">
            <a:hlinkClick xmlns:r="http://schemas.openxmlformats.org/officeDocument/2006/relationships" r:id="rId7"/>
          </xdr:cNvPr>
          <xdr:cNvSpPr txBox="1"/>
        </xdr:nvSpPr>
        <xdr:spPr>
          <a:xfrm>
            <a:off x="9467850" y="6581775"/>
            <a:ext cx="1322783"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absolute">
    <xdr:from>
      <xdr:col>2</xdr:col>
      <xdr:colOff>0</xdr:colOff>
      <xdr:row>69</xdr:row>
      <xdr:rowOff>57150</xdr:rowOff>
    </xdr:from>
    <xdr:to>
      <xdr:col>19</xdr:col>
      <xdr:colOff>95250</xdr:colOff>
      <xdr:row>72</xdr:row>
      <xdr:rowOff>142875</xdr:rowOff>
    </xdr:to>
    <xdr:sp macro="" textlink="">
      <xdr:nvSpPr>
        <xdr:cNvPr id="44" name="TextBox 43"/>
        <xdr:cNvSpPr txBox="1"/>
      </xdr:nvSpPr>
      <xdr:spPr>
        <a:xfrm>
          <a:off x="200025" y="13535025"/>
          <a:ext cx="10544175" cy="657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Statistical Issues</a:t>
          </a:r>
          <a:r>
            <a:rPr lang="en-GB" sz="1100" b="0"/>
            <a:t>:  There is no reliable data source</a:t>
          </a:r>
          <a:r>
            <a:rPr lang="en-GB" sz="1100" b="0" baseline="0"/>
            <a:t> providing an estimate of the total number of teenage mothers in a CFC catchment area. The figures below relate to the total number of births mapped in an area where the mothers age was known, and the home postcodes at the time of birth was within the CFC catchment area. </a:t>
          </a:r>
          <a:r>
            <a:rPr lang="en-GB" sz="1100" b="1" u="sng" baseline="0"/>
            <a:t>This data should be used with caution. </a:t>
          </a:r>
          <a:r>
            <a:rPr lang="en-GB" sz="1100" b="0" u="none" baseline="0"/>
            <a:t>There may be some double counting of mothers (where women have a number of births in their teenage years) and this is likely  to be a fairly mobile population.</a:t>
          </a:r>
        </a:p>
        <a:p>
          <a:endParaRPr lang="en-GB" sz="1100" b="1" u="sng" baseline="0"/>
        </a:p>
      </xdr:txBody>
    </xdr:sp>
    <xdr:clientData/>
  </xdr:twoCellAnchor>
  <xdr:twoCellAnchor editAs="absolute">
    <xdr:from>
      <xdr:col>12</xdr:col>
      <xdr:colOff>200024</xdr:colOff>
      <xdr:row>147</xdr:row>
      <xdr:rowOff>242887</xdr:rowOff>
    </xdr:from>
    <xdr:to>
      <xdr:col>18</xdr:col>
      <xdr:colOff>466725</xdr:colOff>
      <xdr:row>160</xdr:row>
      <xdr:rowOff>95250</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2</xdr:col>
      <xdr:colOff>0</xdr:colOff>
      <xdr:row>163</xdr:row>
      <xdr:rowOff>28575</xdr:rowOff>
    </xdr:from>
    <xdr:to>
      <xdr:col>19</xdr:col>
      <xdr:colOff>141683</xdr:colOff>
      <xdr:row>164</xdr:row>
      <xdr:rowOff>145125</xdr:rowOff>
    </xdr:to>
    <xdr:grpSp>
      <xdr:nvGrpSpPr>
        <xdr:cNvPr id="45" name="Group 44"/>
        <xdr:cNvGrpSpPr/>
      </xdr:nvGrpSpPr>
      <xdr:grpSpPr>
        <a:xfrm>
          <a:off x="200025" y="33747075"/>
          <a:ext cx="10590608" cy="297525"/>
          <a:chOff x="200025" y="6572250"/>
          <a:chExt cx="10590608" cy="297525"/>
        </a:xfrm>
      </xdr:grpSpPr>
      <xdr:sp macro="" textlink="">
        <xdr:nvSpPr>
          <xdr:cNvPr id="46" name="Rectangle 45"/>
          <xdr:cNvSpPr/>
        </xdr:nvSpPr>
        <xdr:spPr>
          <a:xfrm>
            <a:off x="200025" y="6572250"/>
            <a:ext cx="10584001" cy="285462"/>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l"/>
            <a:r>
              <a:rPr lang="en-GB" sz="1100" b="1"/>
              <a:t>Long</a:t>
            </a:r>
            <a:r>
              <a:rPr lang="en-GB" sz="1100" b="1" baseline="0"/>
              <a:t> term limiting illness </a:t>
            </a:r>
            <a:endParaRPr lang="en-GB" sz="1100" b="1"/>
          </a:p>
        </xdr:txBody>
      </xdr:sp>
      <xdr:sp macro="" textlink="">
        <xdr:nvSpPr>
          <xdr:cNvPr id="47" name="TextBox 46">
            <a:hlinkClick xmlns:r="http://schemas.openxmlformats.org/officeDocument/2006/relationships" r:id="rId7"/>
          </xdr:cNvPr>
          <xdr:cNvSpPr txBox="1"/>
        </xdr:nvSpPr>
        <xdr:spPr>
          <a:xfrm>
            <a:off x="9467850" y="6581775"/>
            <a:ext cx="1322783"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mc:AlternateContent xmlns:mc="http://schemas.openxmlformats.org/markup-compatibility/2006">
    <mc:Choice xmlns:a14="http://schemas.microsoft.com/office/drawing/2010/main" Requires="a14">
      <xdr:twoCellAnchor editAs="absolute">
        <xdr:from>
          <xdr:col>6</xdr:col>
          <xdr:colOff>200025</xdr:colOff>
          <xdr:row>5</xdr:row>
          <xdr:rowOff>0</xdr:rowOff>
        </xdr:from>
        <xdr:to>
          <xdr:col>11</xdr:col>
          <xdr:colOff>152400</xdr:colOff>
          <xdr:row>6</xdr:row>
          <xdr:rowOff>76200</xdr:rowOff>
        </xdr:to>
        <xdr:sp macro="" textlink="">
          <xdr:nvSpPr>
            <xdr:cNvPr id="6148" name="Drop Down 4" hidden="1">
              <a:extLst>
                <a:ext uri="{63B3BB69-23CF-44E3-9099-C40C66FF867C}">
                  <a14:compatExt spid="_x0000_s6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6</xdr:col>
          <xdr:colOff>200025</xdr:colOff>
          <xdr:row>6</xdr:row>
          <xdr:rowOff>161925</xdr:rowOff>
        </xdr:from>
        <xdr:to>
          <xdr:col>11</xdr:col>
          <xdr:colOff>152400</xdr:colOff>
          <xdr:row>8</xdr:row>
          <xdr:rowOff>47625</xdr:rowOff>
        </xdr:to>
        <xdr:sp macro="" textlink="">
          <xdr:nvSpPr>
            <xdr:cNvPr id="6149" name="Drop Down 5" hidden="1">
              <a:extLst>
                <a:ext uri="{63B3BB69-23CF-44E3-9099-C40C66FF867C}">
                  <a14:compatExt spid="_x0000_s6149"/>
                </a:ext>
              </a:extLst>
            </xdr:cNvPr>
            <xdr:cNvSpPr/>
          </xdr:nvSpPr>
          <xdr:spPr>
            <a:xfrm>
              <a:off x="0" y="0"/>
              <a:ext cx="0" cy="0"/>
            </a:xfrm>
            <a:prstGeom prst="rect">
              <a:avLst/>
            </a:prstGeom>
          </xdr:spPr>
        </xdr:sp>
        <xdr:clientData/>
      </xdr:twoCellAnchor>
    </mc:Choice>
    <mc:Fallback/>
  </mc:AlternateContent>
  <xdr:twoCellAnchor editAs="absolute">
    <xdr:from>
      <xdr:col>11</xdr:col>
      <xdr:colOff>578641</xdr:colOff>
      <xdr:row>4</xdr:row>
      <xdr:rowOff>178595</xdr:rowOff>
    </xdr:from>
    <xdr:to>
      <xdr:col>12</xdr:col>
      <xdr:colOff>483391</xdr:colOff>
      <xdr:row>6</xdr:row>
      <xdr:rowOff>111920</xdr:rowOff>
    </xdr:to>
    <xdr:sp macro="" textlink="">
      <xdr:nvSpPr>
        <xdr:cNvPr id="55" name="Left Arrow 54"/>
        <xdr:cNvSpPr/>
      </xdr:nvSpPr>
      <xdr:spPr>
        <a:xfrm>
          <a:off x="6353172" y="964408"/>
          <a:ext cx="547688" cy="314325"/>
        </a:xfrm>
        <a:prstGeom prst="leftArrow">
          <a:avLst/>
        </a:prstGeom>
        <a:solidFill>
          <a:schemeClr val="accent1">
            <a:lumMod val="40000"/>
            <a:lumOff val="6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twoCellAnchor editAs="absolute">
    <xdr:from>
      <xdr:col>12</xdr:col>
      <xdr:colOff>492915</xdr:colOff>
      <xdr:row>5</xdr:row>
      <xdr:rowOff>16671</xdr:rowOff>
    </xdr:from>
    <xdr:to>
      <xdr:col>19</xdr:col>
      <xdr:colOff>30952</xdr:colOff>
      <xdr:row>6</xdr:row>
      <xdr:rowOff>83345</xdr:rowOff>
    </xdr:to>
    <xdr:sp macro="" textlink="">
      <xdr:nvSpPr>
        <xdr:cNvPr id="56" name="TextBox 55"/>
        <xdr:cNvSpPr txBox="1"/>
      </xdr:nvSpPr>
      <xdr:spPr>
        <a:xfrm>
          <a:off x="6910384" y="992984"/>
          <a:ext cx="38480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Your current</a:t>
          </a:r>
          <a:r>
            <a:rPr lang="en-GB" sz="1100" b="1" baseline="0">
              <a:solidFill>
                <a:schemeClr val="bg1"/>
              </a:solidFill>
            </a:rPr>
            <a:t> selection</a:t>
          </a:r>
          <a:endParaRPr lang="en-GB" sz="1100" b="1">
            <a:solidFill>
              <a:schemeClr val="bg1"/>
            </a:solidFill>
          </a:endParaRPr>
        </a:p>
      </xdr:txBody>
    </xdr:sp>
    <xdr:clientData/>
  </xdr:twoCellAnchor>
  <xdr:twoCellAnchor editAs="absolute">
    <xdr:from>
      <xdr:col>11</xdr:col>
      <xdr:colOff>576260</xdr:colOff>
      <xdr:row>6</xdr:row>
      <xdr:rowOff>116682</xdr:rowOff>
    </xdr:from>
    <xdr:to>
      <xdr:col>12</xdr:col>
      <xdr:colOff>481010</xdr:colOff>
      <xdr:row>8</xdr:row>
      <xdr:rowOff>50007</xdr:rowOff>
    </xdr:to>
    <xdr:sp macro="" textlink="">
      <xdr:nvSpPr>
        <xdr:cNvPr id="57" name="Left Arrow 56"/>
        <xdr:cNvSpPr/>
      </xdr:nvSpPr>
      <xdr:spPr>
        <a:xfrm>
          <a:off x="6350791" y="1283495"/>
          <a:ext cx="547688" cy="314325"/>
        </a:xfrm>
        <a:prstGeom prst="lef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twoCellAnchor editAs="absolute">
    <xdr:from>
      <xdr:col>12</xdr:col>
      <xdr:colOff>490535</xdr:colOff>
      <xdr:row>6</xdr:row>
      <xdr:rowOff>145257</xdr:rowOff>
    </xdr:from>
    <xdr:to>
      <xdr:col>15</xdr:col>
      <xdr:colOff>433385</xdr:colOff>
      <xdr:row>8</xdr:row>
      <xdr:rowOff>21432</xdr:rowOff>
    </xdr:to>
    <xdr:sp macro="" textlink="">
      <xdr:nvSpPr>
        <xdr:cNvPr id="58" name="TextBox 57"/>
        <xdr:cNvSpPr txBox="1"/>
      </xdr:nvSpPr>
      <xdr:spPr>
        <a:xfrm>
          <a:off x="6908004" y="1312070"/>
          <a:ext cx="1871662"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Your current selection</a:t>
          </a:r>
        </a:p>
      </xdr:txBody>
    </xdr:sp>
    <xdr:clientData/>
  </xdr:twoCellAnchor>
  <xdr:twoCellAnchor editAs="absolute">
    <xdr:from>
      <xdr:col>15</xdr:col>
      <xdr:colOff>504825</xdr:colOff>
      <xdr:row>1</xdr:row>
      <xdr:rowOff>19050</xdr:rowOff>
    </xdr:from>
    <xdr:to>
      <xdr:col>19</xdr:col>
      <xdr:colOff>0</xdr:colOff>
      <xdr:row>2</xdr:row>
      <xdr:rowOff>47625</xdr:rowOff>
    </xdr:to>
    <xdr:sp macro="" textlink="">
      <xdr:nvSpPr>
        <xdr:cNvPr id="53" name="Rectangle 52">
          <a:hlinkClick xmlns:r="http://schemas.openxmlformats.org/officeDocument/2006/relationships" r:id="rId11"/>
        </xdr:cNvPr>
        <xdr:cNvSpPr/>
      </xdr:nvSpPr>
      <xdr:spPr>
        <a:xfrm>
          <a:off x="8791575" y="209550"/>
          <a:ext cx="1857375" cy="24765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en-GB" sz="1100"/>
            <a:t>Go</a:t>
          </a:r>
          <a:r>
            <a:rPr lang="en-GB" sz="1100" baseline="0"/>
            <a:t> to the data</a:t>
          </a:r>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121</xdr:row>
      <xdr:rowOff>19050</xdr:rowOff>
    </xdr:from>
    <xdr:to>
      <xdr:col>18</xdr:col>
      <xdr:colOff>103426</xdr:colOff>
      <xdr:row>122</xdr:row>
      <xdr:rowOff>142875</xdr:rowOff>
    </xdr:to>
    <xdr:grpSp>
      <xdr:nvGrpSpPr>
        <xdr:cNvPr id="2" name="Group 1"/>
        <xdr:cNvGrpSpPr/>
      </xdr:nvGrpSpPr>
      <xdr:grpSpPr>
        <a:xfrm>
          <a:off x="95250" y="25727025"/>
          <a:ext cx="10800001" cy="314325"/>
          <a:chOff x="9524" y="6115049"/>
          <a:chExt cx="10963277" cy="314325"/>
        </a:xfrm>
      </xdr:grpSpPr>
      <xdr:sp macro="" textlink="">
        <xdr:nvSpPr>
          <xdr:cNvPr id="3" name="Round Same Side Corner Rectangle 2"/>
          <xdr:cNvSpPr/>
        </xdr:nvSpPr>
        <xdr:spPr>
          <a:xfrm flipV="1">
            <a:off x="9524" y="6124573"/>
            <a:ext cx="10958850" cy="238125"/>
          </a:xfrm>
          <a:prstGeom prst="round2SameRect">
            <a:avLst/>
          </a:prstGeom>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GB" sz="1100"/>
          </a:p>
        </xdr:txBody>
      </xdr:sp>
      <xdr:sp macro="" textlink="$R$1">
        <xdr:nvSpPr>
          <xdr:cNvPr id="4" name="TextBox 3"/>
          <xdr:cNvSpPr txBox="1"/>
        </xdr:nvSpPr>
        <xdr:spPr>
          <a:xfrm>
            <a:off x="7377303" y="6115049"/>
            <a:ext cx="3595498"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3B1BCF6-4FA2-4300-A41F-12861E9D32B9}" type="TxLink">
              <a:rPr lang="en-US" sz="1200" b="0" i="0" u="none" strike="noStrike">
                <a:solidFill>
                  <a:schemeClr val="bg1"/>
                </a:solidFill>
                <a:latin typeface="Calibri"/>
                <a:ea typeface="Verdana"/>
                <a:cs typeface="Calibri"/>
              </a:rPr>
              <a:pPr algn="r"/>
              <a:t>12:39PM Friday 18 December 2015</a:t>
            </a:fld>
            <a:endParaRPr lang="en-GB" sz="1200" b="0">
              <a:solidFill>
                <a:schemeClr val="bg1"/>
              </a:solidFill>
            </a:endParaRPr>
          </a:p>
        </xdr:txBody>
      </xdr:sp>
    </xdr:grpSp>
    <xdr:clientData/>
  </xdr:twoCellAnchor>
  <xdr:twoCellAnchor editAs="oneCell">
    <xdr:from>
      <xdr:col>1</xdr:col>
      <xdr:colOff>0</xdr:colOff>
      <xdr:row>0</xdr:row>
      <xdr:rowOff>123825</xdr:rowOff>
    </xdr:from>
    <xdr:to>
      <xdr:col>18</xdr:col>
      <xdr:colOff>103425</xdr:colOff>
      <xdr:row>4</xdr:row>
      <xdr:rowOff>9525</xdr:rowOff>
    </xdr:to>
    <xdr:grpSp>
      <xdr:nvGrpSpPr>
        <xdr:cNvPr id="5" name="Group 4"/>
        <xdr:cNvGrpSpPr/>
      </xdr:nvGrpSpPr>
      <xdr:grpSpPr>
        <a:xfrm>
          <a:off x="95250" y="123825"/>
          <a:ext cx="10800000" cy="676275"/>
          <a:chOff x="95250" y="123825"/>
          <a:chExt cx="10803225" cy="666750"/>
        </a:xfrm>
      </xdr:grpSpPr>
      <xdr:sp macro="" textlink="">
        <xdr:nvSpPr>
          <xdr:cNvPr id="6" name="Round Same Side Corner Rectangle 5"/>
          <xdr:cNvSpPr/>
        </xdr:nvSpPr>
        <xdr:spPr>
          <a:xfrm>
            <a:off x="95250" y="123825"/>
            <a:ext cx="10800000" cy="666750"/>
          </a:xfrm>
          <a:prstGeom prst="round2SameRect">
            <a:avLst>
              <a:gd name="adj1" fmla="val 50000"/>
              <a:gd name="adj2" fmla="val 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000"/>
          </a:p>
        </xdr:txBody>
      </xdr:sp>
      <xdr:sp macro="" textlink="">
        <xdr:nvSpPr>
          <xdr:cNvPr id="7" name="Snip Single Corner Rectangle 6">
            <a:hlinkClick xmlns:r="http://schemas.openxmlformats.org/officeDocument/2006/relationships" r:id="rId1"/>
          </xdr:cNvPr>
          <xdr:cNvSpPr/>
        </xdr:nvSpPr>
        <xdr:spPr>
          <a:xfrm>
            <a:off x="10477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b="0"/>
              <a:t>Population</a:t>
            </a:r>
          </a:p>
        </xdr:txBody>
      </xdr:sp>
      <xdr:sp macro="" textlink="">
        <xdr:nvSpPr>
          <xdr:cNvPr id="8" name="Snip Single Corner Rectangle 7">
            <a:hlinkClick xmlns:r="http://schemas.openxmlformats.org/officeDocument/2006/relationships" r:id="rId2"/>
          </xdr:cNvPr>
          <xdr:cNvSpPr/>
        </xdr:nvSpPr>
        <xdr:spPr>
          <a:xfrm>
            <a:off x="191071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Family Structure</a:t>
            </a:r>
          </a:p>
        </xdr:txBody>
      </xdr:sp>
      <xdr:sp macro="" textlink="">
        <xdr:nvSpPr>
          <xdr:cNvPr id="9" name="Snip Single Corner Rectangle 8">
            <a:hlinkClick xmlns:r="http://schemas.openxmlformats.org/officeDocument/2006/relationships" r:id="rId3"/>
          </xdr:cNvPr>
          <xdr:cNvSpPr/>
        </xdr:nvSpPr>
        <xdr:spPr>
          <a:xfrm>
            <a:off x="371665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Health Indicators</a:t>
            </a:r>
          </a:p>
        </xdr:txBody>
      </xdr:sp>
      <xdr:sp macro="" textlink="">
        <xdr:nvSpPr>
          <xdr:cNvPr id="10" name="Snip Single Corner Rectangle 9">
            <a:hlinkClick xmlns:r="http://schemas.openxmlformats.org/officeDocument/2006/relationships" r:id="rId4"/>
          </xdr:cNvPr>
          <xdr:cNvSpPr/>
        </xdr:nvSpPr>
        <xdr:spPr>
          <a:xfrm>
            <a:off x="552259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Births and Early Years</a:t>
            </a:r>
          </a:p>
        </xdr:txBody>
      </xdr:sp>
      <xdr:sp macro="" textlink="">
        <xdr:nvSpPr>
          <xdr:cNvPr id="11" name="Snip Single Corner Rectangle 10"/>
          <xdr:cNvSpPr/>
        </xdr:nvSpPr>
        <xdr:spPr>
          <a:xfrm>
            <a:off x="7328534" y="514350"/>
            <a:ext cx="1764000" cy="247649"/>
          </a:xfrm>
          <a:prstGeom prst="snip1Rect">
            <a:avLst>
              <a:gd name="adj" fmla="val 50000"/>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b"/>
          <a:lstStyle/>
          <a:p>
            <a:pPr algn="ctr"/>
            <a:r>
              <a:rPr lang="en-GB" sz="1100" b="1"/>
              <a:t>Deprivation</a:t>
            </a:r>
          </a:p>
        </xdr:txBody>
      </xdr:sp>
      <xdr:sp macro="" textlink="">
        <xdr:nvSpPr>
          <xdr:cNvPr id="12" name="Snip Single Corner Rectangle 11">
            <a:hlinkClick xmlns:r="http://schemas.openxmlformats.org/officeDocument/2006/relationships" r:id="rId5"/>
          </xdr:cNvPr>
          <xdr:cNvSpPr/>
        </xdr:nvSpPr>
        <xdr:spPr>
          <a:xfrm>
            <a:off x="9134475"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EYFS</a:t>
            </a:r>
          </a:p>
        </xdr:txBody>
      </xdr:sp>
      <xdr:cxnSp macro="">
        <xdr:nvCxnSpPr>
          <xdr:cNvPr id="13" name="Straight Connector 12"/>
          <xdr:cNvCxnSpPr/>
        </xdr:nvCxnSpPr>
        <xdr:spPr>
          <a:xfrm>
            <a:off x="95250" y="781050"/>
            <a:ext cx="10800000" cy="1"/>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14" name="TextBox 13"/>
          <xdr:cNvSpPr txBox="1"/>
        </xdr:nvSpPr>
        <xdr:spPr>
          <a:xfrm>
            <a:off x="361950" y="152400"/>
            <a:ext cx="4630612"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Children's Workforce Public Health Profiles : </a:t>
            </a:r>
            <a:r>
              <a:rPr lang="en-GB" sz="1400" b="0"/>
              <a:t>Deprivation</a:t>
            </a:r>
          </a:p>
        </xdr:txBody>
      </xdr:sp>
    </xdr:grpSp>
    <xdr:clientData/>
  </xdr:twoCellAnchor>
  <xdr:twoCellAnchor editAs="oneCell">
    <xdr:from>
      <xdr:col>2</xdr:col>
      <xdr:colOff>0</xdr:colOff>
      <xdr:row>9</xdr:row>
      <xdr:rowOff>45243</xdr:rowOff>
    </xdr:from>
    <xdr:to>
      <xdr:col>18</xdr:col>
      <xdr:colOff>1725</xdr:colOff>
      <xdr:row>17</xdr:row>
      <xdr:rowOff>1</xdr:rowOff>
    </xdr:to>
    <xdr:grpSp>
      <xdr:nvGrpSpPr>
        <xdr:cNvPr id="25" name="Group 24"/>
        <xdr:cNvGrpSpPr/>
      </xdr:nvGrpSpPr>
      <xdr:grpSpPr>
        <a:xfrm>
          <a:off x="209550" y="1788318"/>
          <a:ext cx="10584000" cy="1478758"/>
          <a:chOff x="95249" y="904875"/>
          <a:chExt cx="10800001" cy="1185933"/>
        </a:xfrm>
      </xdr:grpSpPr>
      <xdr:sp macro="" textlink="">
        <xdr:nvSpPr>
          <xdr:cNvPr id="26" name="TextBox 25"/>
          <xdr:cNvSpPr txBox="1"/>
        </xdr:nvSpPr>
        <xdr:spPr>
          <a:xfrm>
            <a:off x="95250" y="1106597"/>
            <a:ext cx="10800000" cy="9842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400" b="1"/>
          </a:p>
          <a:p>
            <a:r>
              <a:rPr lang="en-GB" sz="1100" b="1"/>
              <a:t>Source:</a:t>
            </a:r>
            <a:r>
              <a:rPr lang="en-GB" sz="1100" b="0" baseline="0"/>
              <a:t> 2010 and 2015 Index of Multiple Deprivation</a:t>
            </a:r>
          </a:p>
          <a:p>
            <a:endParaRPr lang="en-GB" sz="400" b="0" baseline="0"/>
          </a:p>
          <a:p>
            <a:r>
              <a:rPr lang="en-GB" sz="1100" b="0" baseline="0"/>
              <a:t>CFCs are ranked 1-10 in relation to the rest of the CFCs in the county. The higher the number the lower the deprivation (i.e. 10 = least deprived, 1 = most deprived). Areas with deprivation deciles of 2 or less are in the 20% most deprived in West Sussex.</a:t>
            </a:r>
          </a:p>
          <a:p>
            <a:endParaRPr lang="en-GB" sz="500" b="0" baseline="0"/>
          </a:p>
          <a:p>
            <a:r>
              <a:rPr lang="en-GB" sz="1100" b="0" baseline="0"/>
              <a:t>Note that the changes in deprivation over time (2010 to 2015) are relative to other areas. Therefore it is not necessarily correct to state that a CFC has increased/decreased in deprivation on some absolute scale, as it may be that it has become more/less deprived at a different rate to the other CFCs in the county</a:t>
            </a:r>
            <a:r>
              <a:rPr lang="en-GB" sz="1100" b="1" baseline="0"/>
              <a:t>.</a:t>
            </a:r>
            <a:endParaRPr lang="en-GB" sz="1100" b="0" baseline="0"/>
          </a:p>
        </xdr:txBody>
      </xdr:sp>
      <xdr:sp macro="" textlink="">
        <xdr:nvSpPr>
          <xdr:cNvPr id="27" name="Rectangle 26"/>
          <xdr:cNvSpPr/>
        </xdr:nvSpPr>
        <xdr:spPr>
          <a:xfrm>
            <a:off x="95249" y="904875"/>
            <a:ext cx="10800000" cy="228083"/>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Deprivation -</a:t>
            </a:r>
            <a:r>
              <a:rPr lang="en-GB" sz="1100" b="1" baseline="0"/>
              <a:t> Index of Multiple Deprivation</a:t>
            </a:r>
            <a:endParaRPr lang="en-GB" sz="1100" b="1"/>
          </a:p>
        </xdr:txBody>
      </xdr:sp>
    </xdr:grpSp>
    <xdr:clientData/>
  </xdr:twoCellAnchor>
  <xdr:twoCellAnchor editAs="oneCell">
    <xdr:from>
      <xdr:col>2</xdr:col>
      <xdr:colOff>476250</xdr:colOff>
      <xdr:row>55</xdr:row>
      <xdr:rowOff>57151</xdr:rowOff>
    </xdr:from>
    <xdr:to>
      <xdr:col>17</xdr:col>
      <xdr:colOff>0</xdr:colOff>
      <xdr:row>61</xdr:row>
      <xdr:rowOff>9525</xdr:rowOff>
    </xdr:to>
    <xdr:sp macro="" textlink="">
      <xdr:nvSpPr>
        <xdr:cNvPr id="28" name="TextBox 27">
          <a:hlinkClick xmlns:r="http://schemas.openxmlformats.org/officeDocument/2006/relationships" r:id="rId6"/>
        </xdr:cNvPr>
        <xdr:cNvSpPr txBox="1"/>
      </xdr:nvSpPr>
      <xdr:spPr>
        <a:xfrm>
          <a:off x="685800" y="10220326"/>
          <a:ext cx="9382125" cy="1095374"/>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Why supporting</a:t>
          </a:r>
          <a:r>
            <a:rPr lang="en-GB" sz="1100" b="1" baseline="0">
              <a:solidFill>
                <a:schemeClr val="dk1"/>
              </a:solidFill>
              <a:effectLst/>
              <a:latin typeface="+mn-lt"/>
              <a:ea typeface="+mn-ea"/>
              <a:cs typeface="+mn-cs"/>
            </a:rPr>
            <a:t> parents into employment is important:</a:t>
          </a:r>
        </a:p>
        <a:p>
          <a:endParaRPr lang="en-GB" sz="800">
            <a:effectLst/>
          </a:endParaRPr>
        </a:p>
        <a:p>
          <a:r>
            <a:rPr lang="en-GB" sz="1100">
              <a:solidFill>
                <a:schemeClr val="dk1"/>
              </a:solidFill>
              <a:effectLst/>
              <a:latin typeface="+mn-lt"/>
              <a:ea typeface="+mn-ea"/>
              <a:cs typeface="+mn-cs"/>
            </a:rPr>
            <a:t>Long-term worklessness and low-earnings are principal drivers of child poverty. Research suggests an association between growing up</a:t>
          </a:r>
        </a:p>
        <a:p>
          <a:r>
            <a:rPr lang="en-GB" sz="1100">
              <a:solidFill>
                <a:schemeClr val="dk1"/>
              </a:solidFill>
              <a:effectLst/>
              <a:latin typeface="+mn-lt"/>
              <a:ea typeface="+mn-ea"/>
              <a:cs typeface="+mn-cs"/>
            </a:rPr>
            <a:t>in a workless or low income household and poorer outcomes for children, however, there is no clear evidence for a direct causal</a:t>
          </a:r>
        </a:p>
        <a:p>
          <a:r>
            <a:rPr lang="en-GB" sz="1100">
              <a:solidFill>
                <a:schemeClr val="dk1"/>
              </a:solidFill>
              <a:effectLst/>
              <a:latin typeface="+mn-lt"/>
              <a:ea typeface="+mn-ea"/>
              <a:cs typeface="+mn-cs"/>
            </a:rPr>
            <a:t>relationship. See  the government</a:t>
          </a:r>
          <a:r>
            <a:rPr lang="en-GB" sz="1100" baseline="0">
              <a:solidFill>
                <a:schemeClr val="dk1"/>
              </a:solidFill>
              <a:effectLst/>
              <a:latin typeface="+mn-lt"/>
              <a:ea typeface="+mn-ea"/>
              <a:cs typeface="+mn-cs"/>
            </a:rPr>
            <a:t> report by the Department for Work and Pensions on </a:t>
          </a:r>
          <a:r>
            <a:rPr lang="en-GB" sz="1100" u="sng" baseline="0">
              <a:solidFill>
                <a:srgbClr val="191EE1"/>
              </a:solidFill>
              <a:effectLst/>
              <a:latin typeface="+mn-lt"/>
              <a:ea typeface="+mn-ea"/>
              <a:cs typeface="+mn-cs"/>
            </a:rPr>
            <a:t>Child Poverty </a:t>
          </a:r>
          <a:r>
            <a:rPr lang="en-GB" sz="1100" baseline="0">
              <a:solidFill>
                <a:schemeClr val="dk1"/>
              </a:solidFill>
              <a:effectLst/>
              <a:latin typeface="+mn-lt"/>
              <a:ea typeface="+mn-ea"/>
              <a:cs typeface="+mn-cs"/>
            </a:rPr>
            <a:t>for further information. </a:t>
          </a:r>
          <a:endParaRPr lang="en-GB" sz="1100">
            <a:solidFill>
              <a:schemeClr val="dk1"/>
            </a:solidFill>
            <a:effectLst/>
            <a:latin typeface="+mn-lt"/>
            <a:ea typeface="+mn-ea"/>
            <a:cs typeface="+mn-cs"/>
          </a:endParaRPr>
        </a:p>
      </xdr:txBody>
    </xdr:sp>
    <xdr:clientData/>
  </xdr:twoCellAnchor>
  <xdr:twoCellAnchor editAs="oneCell">
    <xdr:from>
      <xdr:col>2</xdr:col>
      <xdr:colOff>0</xdr:colOff>
      <xdr:row>53</xdr:row>
      <xdr:rowOff>0</xdr:rowOff>
    </xdr:from>
    <xdr:to>
      <xdr:col>18</xdr:col>
      <xdr:colOff>4816</xdr:colOff>
      <xdr:row>54</xdr:row>
      <xdr:rowOff>102099</xdr:rowOff>
    </xdr:to>
    <xdr:grpSp>
      <xdr:nvGrpSpPr>
        <xdr:cNvPr id="7168" name="Group 7167"/>
        <xdr:cNvGrpSpPr/>
      </xdr:nvGrpSpPr>
      <xdr:grpSpPr>
        <a:xfrm>
          <a:off x="209550" y="10925175"/>
          <a:ext cx="10587091" cy="292599"/>
          <a:chOff x="209550" y="9020175"/>
          <a:chExt cx="10587091" cy="292599"/>
        </a:xfrm>
      </xdr:grpSpPr>
      <xdr:sp macro="" textlink="">
        <xdr:nvSpPr>
          <xdr:cNvPr id="21" name="Rectangle 20"/>
          <xdr:cNvSpPr/>
        </xdr:nvSpPr>
        <xdr:spPr>
          <a:xfrm>
            <a:off x="209550" y="9020175"/>
            <a:ext cx="10583999" cy="287374"/>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Children</a:t>
            </a:r>
            <a:r>
              <a:rPr lang="en-GB" sz="1100" b="1" baseline="0"/>
              <a:t> aged 0-4 in households on workless benefits  (OFSTED KPI)</a:t>
            </a:r>
            <a:endParaRPr lang="en-GB" sz="1100" b="1"/>
          </a:p>
        </xdr:txBody>
      </xdr:sp>
      <xdr:sp macro="" textlink="">
        <xdr:nvSpPr>
          <xdr:cNvPr id="29" name="TextBox 28">
            <a:hlinkClick xmlns:r="http://schemas.openxmlformats.org/officeDocument/2006/relationships" r:id="rId7"/>
          </xdr:cNvPr>
          <xdr:cNvSpPr txBox="1"/>
        </xdr:nvSpPr>
        <xdr:spPr>
          <a:xfrm>
            <a:off x="9477375" y="9020175"/>
            <a:ext cx="1319266"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0</xdr:colOff>
      <xdr:row>29</xdr:row>
      <xdr:rowOff>161925</xdr:rowOff>
    </xdr:from>
    <xdr:to>
      <xdr:col>18</xdr:col>
      <xdr:colOff>4816</xdr:colOff>
      <xdr:row>40</xdr:row>
      <xdr:rowOff>47625</xdr:rowOff>
    </xdr:to>
    <xdr:grpSp>
      <xdr:nvGrpSpPr>
        <xdr:cNvPr id="7170" name="Group 7169"/>
        <xdr:cNvGrpSpPr/>
      </xdr:nvGrpSpPr>
      <xdr:grpSpPr>
        <a:xfrm>
          <a:off x="209550" y="5715000"/>
          <a:ext cx="10587091" cy="1981200"/>
          <a:chOff x="209550" y="3810000"/>
          <a:chExt cx="10587091" cy="1981200"/>
        </a:xfrm>
      </xdr:grpSpPr>
      <xdr:grpSp>
        <xdr:nvGrpSpPr>
          <xdr:cNvPr id="15" name="Group 14"/>
          <xdr:cNvGrpSpPr/>
        </xdr:nvGrpSpPr>
        <xdr:grpSpPr>
          <a:xfrm>
            <a:off x="209550" y="3810000"/>
            <a:ext cx="10584000" cy="1981200"/>
            <a:chOff x="95249" y="904875"/>
            <a:chExt cx="10800001" cy="1809667"/>
          </a:xfrm>
        </xdr:grpSpPr>
        <xdr:sp macro="" textlink="">
          <xdr:nvSpPr>
            <xdr:cNvPr id="16" name="TextBox 15"/>
            <xdr:cNvSpPr txBox="1"/>
          </xdr:nvSpPr>
          <xdr:spPr>
            <a:xfrm>
              <a:off x="95250" y="1190624"/>
              <a:ext cx="10800000" cy="15239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An update of the DCLG Index of Deprivation is due for publication</a:t>
              </a:r>
              <a:r>
                <a:rPr lang="en-GB" sz="1100" baseline="0"/>
                <a:t> in 2015. This means that the ID2010 is becoming increasingly out of date. More recent data from the 2011 Census has been used to estimate local level deprivation, data are grouped into 4 main issues:</a:t>
              </a:r>
            </a:p>
            <a:p>
              <a:endParaRPr lang="en-GB" sz="1100" baseline="0"/>
            </a:p>
            <a:p>
              <a:r>
                <a:rPr lang="en-GB" sz="1100" baseline="0"/>
                <a:t>	1. </a:t>
              </a:r>
              <a:r>
                <a:rPr lang="en-GB" sz="1100" b="1" baseline="0"/>
                <a:t>Employment</a:t>
              </a:r>
              <a:r>
                <a:rPr lang="en-GB" sz="1100" b="0" baseline="0"/>
                <a:t>: Deprivation identified where any member of the household not a full-time student is either unemployed or long-term sick.</a:t>
              </a:r>
            </a:p>
            <a:p>
              <a:endParaRPr lang="en-GB" sz="300" b="0" baseline="0"/>
            </a:p>
            <a:p>
              <a:r>
                <a:rPr lang="en-GB" sz="1100" b="0" baseline="0"/>
                <a:t>	2. </a:t>
              </a:r>
              <a:r>
                <a:rPr lang="en-GB" sz="1100" b="1" baseline="0"/>
                <a:t>Education: </a:t>
              </a:r>
              <a:r>
                <a:rPr lang="en-GB" sz="1100" b="0" baseline="0"/>
                <a:t>Deprivation identified where no person in the household has at least level 2 education, and no person aged 16-18 is a full-time student</a:t>
              </a:r>
            </a:p>
            <a:p>
              <a:endParaRPr lang="en-GB" sz="300" b="0" baseline="0"/>
            </a:p>
            <a:p>
              <a:r>
                <a:rPr lang="en-GB" sz="1100" b="0" baseline="0"/>
                <a:t>	3. </a:t>
              </a:r>
              <a:r>
                <a:rPr lang="en-GB" sz="1100" b="1" baseline="0"/>
                <a:t>Health and disability: </a:t>
              </a:r>
              <a:r>
                <a:rPr lang="en-GB" sz="1100" b="0" baseline="0"/>
                <a:t>Deprivation identified where any person in the household has at least level 2 education, and no persons aged 16-18 is a full-time student</a:t>
              </a:r>
            </a:p>
            <a:p>
              <a:endParaRPr lang="en-GB" sz="300" b="0" baseline="0"/>
            </a:p>
            <a:p>
              <a:r>
                <a:rPr lang="en-GB" sz="1100" b="0" baseline="0"/>
                <a:t>	4. </a:t>
              </a:r>
              <a:r>
                <a:rPr lang="en-GB" sz="1100" b="1" baseline="0"/>
                <a:t>Household overcrowding: </a:t>
              </a:r>
              <a:r>
                <a:rPr lang="en-GB" sz="1100" b="0" baseline="0"/>
                <a:t>Deprivation identified when the household accommodation is either overcrowded, with an occupancy rating -1 or less, or is in a shared </a:t>
              </a:r>
            </a:p>
            <a:p>
              <a:r>
                <a:rPr lang="en-GB" sz="1100" b="0" baseline="0"/>
                <a:t>	dwelling, or has no central heating.</a:t>
              </a:r>
              <a:endParaRPr lang="en-GB" sz="1100"/>
            </a:p>
          </xdr:txBody>
        </xdr:sp>
        <xdr:sp macro="" textlink="">
          <xdr:nvSpPr>
            <xdr:cNvPr id="17" name="Rectangle 16"/>
            <xdr:cNvSpPr/>
          </xdr:nvSpPr>
          <xdr:spPr>
            <a:xfrm>
              <a:off x="95249" y="904875"/>
              <a:ext cx="10800000"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Deprivation - Data Collated from the 2011 Census</a:t>
              </a:r>
            </a:p>
          </xdr:txBody>
        </xdr:sp>
      </xdr:grpSp>
      <xdr:sp macro="" textlink="">
        <xdr:nvSpPr>
          <xdr:cNvPr id="30" name="TextBox 29">
            <a:hlinkClick xmlns:r="http://schemas.openxmlformats.org/officeDocument/2006/relationships" r:id="rId7"/>
          </xdr:cNvPr>
          <xdr:cNvSpPr txBox="1"/>
        </xdr:nvSpPr>
        <xdr:spPr>
          <a:xfrm>
            <a:off x="9477375" y="3819525"/>
            <a:ext cx="1319266"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0</xdr:colOff>
      <xdr:row>79</xdr:row>
      <xdr:rowOff>95250</xdr:rowOff>
    </xdr:from>
    <xdr:to>
      <xdr:col>18</xdr:col>
      <xdr:colOff>4816</xdr:colOff>
      <xdr:row>88</xdr:row>
      <xdr:rowOff>142876</xdr:rowOff>
    </xdr:to>
    <xdr:grpSp>
      <xdr:nvGrpSpPr>
        <xdr:cNvPr id="18" name="Group 17"/>
        <xdr:cNvGrpSpPr/>
      </xdr:nvGrpSpPr>
      <xdr:grpSpPr>
        <a:xfrm>
          <a:off x="209550" y="16830675"/>
          <a:ext cx="10587091" cy="1762126"/>
          <a:chOff x="209550" y="13439775"/>
          <a:chExt cx="10587091" cy="1762126"/>
        </a:xfrm>
      </xdr:grpSpPr>
      <xdr:grpSp>
        <xdr:nvGrpSpPr>
          <xdr:cNvPr id="22" name="Group 21"/>
          <xdr:cNvGrpSpPr/>
        </xdr:nvGrpSpPr>
        <xdr:grpSpPr>
          <a:xfrm>
            <a:off x="209550" y="13439775"/>
            <a:ext cx="10584000" cy="1762126"/>
            <a:chOff x="95249" y="904875"/>
            <a:chExt cx="10800001" cy="1676401"/>
          </a:xfrm>
        </xdr:grpSpPr>
        <xdr:sp macro="" textlink="">
          <xdr:nvSpPr>
            <xdr:cNvPr id="23" name="TextBox 22"/>
            <xdr:cNvSpPr txBox="1"/>
          </xdr:nvSpPr>
          <xdr:spPr>
            <a:xfrm>
              <a:off x="95250" y="1190626"/>
              <a:ext cx="10800000" cy="1390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sp macro="" textlink="">
          <xdr:nvSpPr>
            <xdr:cNvPr id="24" name="Rectangle 23"/>
            <xdr:cNvSpPr/>
          </xdr:nvSpPr>
          <xdr:spPr>
            <a:xfrm>
              <a:off x="95249" y="904875"/>
              <a:ext cx="10800000"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Child Poverty</a:t>
              </a:r>
            </a:p>
          </xdr:txBody>
        </xdr:sp>
      </xdr:grpSp>
      <xdr:sp macro="" textlink="">
        <xdr:nvSpPr>
          <xdr:cNvPr id="31" name="TextBox 30">
            <a:hlinkClick xmlns:r="http://schemas.openxmlformats.org/officeDocument/2006/relationships" r:id="rId7"/>
          </xdr:cNvPr>
          <xdr:cNvSpPr txBox="1"/>
        </xdr:nvSpPr>
        <xdr:spPr>
          <a:xfrm>
            <a:off x="9477375" y="13449300"/>
            <a:ext cx="1319266"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11</xdr:col>
      <xdr:colOff>66675</xdr:colOff>
      <xdr:row>65</xdr:row>
      <xdr:rowOff>123825</xdr:rowOff>
    </xdr:from>
    <xdr:to>
      <xdr:col>17</xdr:col>
      <xdr:colOff>695325</xdr:colOff>
      <xdr:row>76</xdr:row>
      <xdr:rowOff>85725</xdr:rowOff>
    </xdr:to>
    <xdr:graphicFrame macro="">
      <xdr:nvGraphicFramePr>
        <xdr:cNvPr id="7173" name="Chart 717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28575</xdr:colOff>
      <xdr:row>63</xdr:row>
      <xdr:rowOff>1</xdr:rowOff>
    </xdr:from>
    <xdr:to>
      <xdr:col>17</xdr:col>
      <xdr:colOff>609600</xdr:colOff>
      <xdr:row>65</xdr:row>
      <xdr:rowOff>57151</xdr:rowOff>
    </xdr:to>
    <xdr:sp macro="" textlink="">
      <xdr:nvSpPr>
        <xdr:cNvPr id="7174" name="TextBox 7173"/>
        <xdr:cNvSpPr txBox="1"/>
      </xdr:nvSpPr>
      <xdr:spPr>
        <a:xfrm>
          <a:off x="6810375" y="10353676"/>
          <a:ext cx="3867150" cy="438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t>Number of Children living in all Out-of-work Benefit Claimant Households by Local Authority and Age (at May 31st)</a:t>
          </a:r>
        </a:p>
      </xdr:txBody>
    </xdr:sp>
    <xdr:clientData/>
  </xdr:twoCellAnchor>
  <xdr:twoCellAnchor editAs="oneCell">
    <xdr:from>
      <xdr:col>2</xdr:col>
      <xdr:colOff>447675</xdr:colOff>
      <xdr:row>82</xdr:row>
      <xdr:rowOff>57150</xdr:rowOff>
    </xdr:from>
    <xdr:to>
      <xdr:col>17</xdr:col>
      <xdr:colOff>201300</xdr:colOff>
      <xdr:row>88</xdr:row>
      <xdr:rowOff>95250</xdr:rowOff>
    </xdr:to>
    <xdr:sp macro="" textlink="">
      <xdr:nvSpPr>
        <xdr:cNvPr id="35" name="TextBox 34">
          <a:hlinkClick xmlns:r="http://schemas.openxmlformats.org/officeDocument/2006/relationships" r:id="rId9"/>
        </xdr:cNvPr>
        <xdr:cNvSpPr txBox="1"/>
      </xdr:nvSpPr>
      <xdr:spPr>
        <a:xfrm>
          <a:off x="657225" y="16030575"/>
          <a:ext cx="9612000" cy="118110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lang="en-GB" sz="1100" b="1"/>
            <a:t>Why</a:t>
          </a:r>
          <a:r>
            <a:rPr lang="en-GB" sz="1100" b="1" baseline="0"/>
            <a:t> is child poverty important?</a:t>
          </a:r>
        </a:p>
        <a:p>
          <a:endParaRPr lang="en-GB" sz="400" b="0" baseline="0"/>
        </a:p>
        <a:p>
          <a:r>
            <a:rPr lang="en-GB" sz="1100">
              <a:solidFill>
                <a:schemeClr val="dk1"/>
              </a:solidFill>
              <a:effectLst/>
              <a:latin typeface="+mn-lt"/>
              <a:ea typeface="+mn-ea"/>
              <a:cs typeface="+mn-cs"/>
            </a:rPr>
            <a:t>Children growing up in poverty are more likely to experience a poorer quality of life, both as a child and later as an adult. The impact of poverty includes poor health throughout life, including dying younger than expected; low educational achievement; lower levels of employment and income; living in poorer housing and community environments; long term financial and social exclusion; and can lead to behavioural problems including a high risk lifestyle. See the</a:t>
          </a:r>
          <a:r>
            <a:rPr lang="en-GB" sz="1100" baseline="0">
              <a:solidFill>
                <a:schemeClr val="dk1"/>
              </a:solidFill>
              <a:effectLst/>
              <a:latin typeface="+mn-lt"/>
              <a:ea typeface="+mn-ea"/>
              <a:cs typeface="+mn-cs"/>
            </a:rPr>
            <a:t> </a:t>
          </a:r>
          <a:r>
            <a:rPr lang="en-GB" sz="1100" u="sng" baseline="0">
              <a:solidFill>
                <a:srgbClr val="191EE1"/>
              </a:solidFill>
              <a:effectLst/>
              <a:latin typeface="+mn-lt"/>
              <a:ea typeface="+mn-ea"/>
              <a:cs typeface="+mn-cs"/>
            </a:rPr>
            <a:t>Field Review:  The Foundation Years: Preventing Poor Children Becoming Poor Adults </a:t>
          </a:r>
          <a:r>
            <a:rPr lang="en-GB" sz="1100" u="none" baseline="0">
              <a:solidFill>
                <a:sysClr val="windowText" lastClr="000000"/>
              </a:solidFill>
              <a:effectLst/>
              <a:latin typeface="+mn-lt"/>
              <a:ea typeface="+mn-ea"/>
              <a:cs typeface="+mn-cs"/>
            </a:rPr>
            <a:t> for further information.</a:t>
          </a:r>
          <a:endParaRPr lang="en-GB" sz="1100" u="sng">
            <a:solidFill>
              <a:srgbClr val="191EE1"/>
            </a:solidFill>
            <a:effectLst/>
            <a:latin typeface="+mn-lt"/>
            <a:ea typeface="+mn-ea"/>
            <a:cs typeface="+mn-cs"/>
          </a:endParaRPr>
        </a:p>
      </xdr:txBody>
    </xdr:sp>
    <xdr:clientData/>
  </xdr:twoCellAnchor>
  <xdr:twoCellAnchor editAs="oneCell">
    <xdr:from>
      <xdr:col>2</xdr:col>
      <xdr:colOff>581024</xdr:colOff>
      <xdr:row>103</xdr:row>
      <xdr:rowOff>166687</xdr:rowOff>
    </xdr:from>
    <xdr:to>
      <xdr:col>17</xdr:col>
      <xdr:colOff>161924</xdr:colOff>
      <xdr:row>118</xdr:row>
      <xdr:rowOff>52387</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15</xdr:col>
      <xdr:colOff>9525</xdr:colOff>
      <xdr:row>56</xdr:row>
      <xdr:rowOff>171450</xdr:rowOff>
    </xdr:from>
    <xdr:to>
      <xdr:col>16</xdr:col>
      <xdr:colOff>384175</xdr:colOff>
      <xdr:row>59</xdr:row>
      <xdr:rowOff>47625</xdr:rowOff>
    </xdr:to>
    <xdr:sp macro="" textlink="">
      <xdr:nvSpPr>
        <xdr:cNvPr id="37" name="Rectangle 36"/>
        <xdr:cNvSpPr/>
      </xdr:nvSpPr>
      <xdr:spPr>
        <a:xfrm>
          <a:off x="8763000" y="10525125"/>
          <a:ext cx="1031875" cy="447675"/>
        </a:xfrm>
        <a:prstGeom prst="rect">
          <a:avLst/>
        </a:prstGeom>
        <a:solidFill>
          <a:schemeClr val="accent1">
            <a:lumMod val="20000"/>
            <a:lumOff val="8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b="1"/>
            <a:t>OFSTED</a:t>
          </a:r>
          <a:r>
            <a:rPr lang="en-GB" sz="1100" b="1" baseline="0"/>
            <a:t> KPI</a:t>
          </a:r>
          <a:endParaRPr lang="en-GB" sz="1100" b="1"/>
        </a:p>
      </xdr:txBody>
    </xdr:sp>
    <xdr:clientData/>
  </xdr:twoCellAnchor>
  <mc:AlternateContent xmlns:mc="http://schemas.openxmlformats.org/markup-compatibility/2006">
    <mc:Choice xmlns:a14="http://schemas.microsoft.com/office/drawing/2010/main" Requires="a14">
      <xdr:twoCellAnchor editAs="oneCell">
        <xdr:from>
          <xdr:col>5</xdr:col>
          <xdr:colOff>561975</xdr:colOff>
          <xdr:row>4</xdr:row>
          <xdr:rowOff>180975</xdr:rowOff>
        </xdr:from>
        <xdr:to>
          <xdr:col>10</xdr:col>
          <xdr:colOff>447675</xdr:colOff>
          <xdr:row>6</xdr:row>
          <xdr:rowOff>66675</xdr:rowOff>
        </xdr:to>
        <xdr:sp macro="" textlink="">
          <xdr:nvSpPr>
            <xdr:cNvPr id="7172" name="Drop Down 4" hidden="1">
              <a:extLst>
                <a:ext uri="{63B3BB69-23CF-44E3-9099-C40C66FF867C}">
                  <a14:compatExt spid="_x0000_s7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561975</xdr:colOff>
          <xdr:row>6</xdr:row>
          <xdr:rowOff>161925</xdr:rowOff>
        </xdr:from>
        <xdr:to>
          <xdr:col>10</xdr:col>
          <xdr:colOff>447675</xdr:colOff>
          <xdr:row>8</xdr:row>
          <xdr:rowOff>47625</xdr:rowOff>
        </xdr:to>
        <xdr:sp macro="" textlink="">
          <xdr:nvSpPr>
            <xdr:cNvPr id="20" name="Drop Down 5" hidden="1">
              <a:extLst>
                <a:ext uri="{63B3BB69-23CF-44E3-9099-C40C66FF867C}">
                  <a14:compatExt spid="_x0000_s7173"/>
                </a:ext>
              </a:extLst>
            </xdr:cNvPr>
            <xdr:cNvSpPr/>
          </xdr:nvSpPr>
          <xdr:spPr>
            <a:xfrm>
              <a:off x="0" y="0"/>
              <a:ext cx="0" cy="0"/>
            </a:xfrm>
            <a:prstGeom prst="rect">
              <a:avLst/>
            </a:prstGeom>
          </xdr:spPr>
        </xdr:sp>
        <xdr:clientData/>
      </xdr:twoCellAnchor>
    </mc:Choice>
    <mc:Fallback/>
  </mc:AlternateContent>
  <xdr:twoCellAnchor editAs="oneCell">
    <xdr:from>
      <xdr:col>11</xdr:col>
      <xdr:colOff>221452</xdr:colOff>
      <xdr:row>4</xdr:row>
      <xdr:rowOff>178594</xdr:rowOff>
    </xdr:from>
    <xdr:to>
      <xdr:col>12</xdr:col>
      <xdr:colOff>114296</xdr:colOff>
      <xdr:row>6</xdr:row>
      <xdr:rowOff>111919</xdr:rowOff>
    </xdr:to>
    <xdr:sp macro="" textlink="">
      <xdr:nvSpPr>
        <xdr:cNvPr id="46" name="Left Arrow 45"/>
        <xdr:cNvSpPr/>
      </xdr:nvSpPr>
      <xdr:spPr>
        <a:xfrm>
          <a:off x="6329358" y="964407"/>
          <a:ext cx="547688" cy="314325"/>
        </a:xfrm>
        <a:prstGeom prst="leftArrow">
          <a:avLst/>
        </a:prstGeom>
        <a:solidFill>
          <a:schemeClr val="accent1">
            <a:lumMod val="40000"/>
            <a:lumOff val="6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12</xdr:col>
      <xdr:colOff>123820</xdr:colOff>
      <xdr:row>5</xdr:row>
      <xdr:rowOff>16670</xdr:rowOff>
    </xdr:from>
    <xdr:to>
      <xdr:col>17</xdr:col>
      <xdr:colOff>697700</xdr:colOff>
      <xdr:row>6</xdr:row>
      <xdr:rowOff>83344</xdr:rowOff>
    </xdr:to>
    <xdr:sp macro="" textlink="">
      <xdr:nvSpPr>
        <xdr:cNvPr id="47" name="TextBox 46"/>
        <xdr:cNvSpPr txBox="1"/>
      </xdr:nvSpPr>
      <xdr:spPr>
        <a:xfrm>
          <a:off x="6886570" y="992983"/>
          <a:ext cx="38480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Your current</a:t>
          </a:r>
          <a:r>
            <a:rPr lang="en-GB" sz="1100" b="1" baseline="0">
              <a:solidFill>
                <a:schemeClr val="bg1"/>
              </a:solidFill>
            </a:rPr>
            <a:t> selection</a:t>
          </a:r>
          <a:endParaRPr lang="en-GB" sz="1100" b="1">
            <a:solidFill>
              <a:schemeClr val="bg1"/>
            </a:solidFill>
          </a:endParaRPr>
        </a:p>
      </xdr:txBody>
    </xdr:sp>
    <xdr:clientData/>
  </xdr:twoCellAnchor>
  <xdr:twoCellAnchor editAs="oneCell">
    <xdr:from>
      <xdr:col>11</xdr:col>
      <xdr:colOff>219071</xdr:colOff>
      <xdr:row>6</xdr:row>
      <xdr:rowOff>116681</xdr:rowOff>
    </xdr:from>
    <xdr:to>
      <xdr:col>12</xdr:col>
      <xdr:colOff>111915</xdr:colOff>
      <xdr:row>8</xdr:row>
      <xdr:rowOff>50006</xdr:rowOff>
    </xdr:to>
    <xdr:sp macro="" textlink="">
      <xdr:nvSpPr>
        <xdr:cNvPr id="48" name="Left Arrow 47"/>
        <xdr:cNvSpPr/>
      </xdr:nvSpPr>
      <xdr:spPr>
        <a:xfrm>
          <a:off x="6326977" y="1283494"/>
          <a:ext cx="547688" cy="314325"/>
        </a:xfrm>
        <a:prstGeom prst="lef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12</xdr:col>
      <xdr:colOff>121440</xdr:colOff>
      <xdr:row>6</xdr:row>
      <xdr:rowOff>145256</xdr:rowOff>
    </xdr:from>
    <xdr:to>
      <xdr:col>15</xdr:col>
      <xdr:colOff>28571</xdr:colOff>
      <xdr:row>8</xdr:row>
      <xdr:rowOff>21431</xdr:rowOff>
    </xdr:to>
    <xdr:sp macro="" textlink="">
      <xdr:nvSpPr>
        <xdr:cNvPr id="49" name="TextBox 48"/>
        <xdr:cNvSpPr txBox="1"/>
      </xdr:nvSpPr>
      <xdr:spPr>
        <a:xfrm>
          <a:off x="6884190" y="1312069"/>
          <a:ext cx="1871662"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Your current selection</a:t>
          </a:r>
        </a:p>
      </xdr:txBody>
    </xdr:sp>
    <xdr:clientData/>
  </xdr:twoCellAnchor>
  <xdr:twoCellAnchor editAs="oneCell">
    <xdr:from>
      <xdr:col>15</xdr:col>
      <xdr:colOff>38100</xdr:colOff>
      <xdr:row>1</xdr:row>
      <xdr:rowOff>19050</xdr:rowOff>
    </xdr:from>
    <xdr:to>
      <xdr:col>17</xdr:col>
      <xdr:colOff>581025</xdr:colOff>
      <xdr:row>2</xdr:row>
      <xdr:rowOff>47625</xdr:rowOff>
    </xdr:to>
    <xdr:sp macro="" textlink="">
      <xdr:nvSpPr>
        <xdr:cNvPr id="44" name="Rectangle 43">
          <a:hlinkClick xmlns:r="http://schemas.openxmlformats.org/officeDocument/2006/relationships" r:id="rId11"/>
        </xdr:cNvPr>
        <xdr:cNvSpPr/>
      </xdr:nvSpPr>
      <xdr:spPr>
        <a:xfrm>
          <a:off x="8791575" y="209550"/>
          <a:ext cx="1857375" cy="24765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en-GB" sz="1100"/>
            <a:t>Go</a:t>
          </a:r>
          <a:r>
            <a:rPr lang="en-GB" sz="1100" baseline="0"/>
            <a:t> to the data</a:t>
          </a:r>
          <a:endParaRPr lang="en-GB"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xdr:colOff>
      <xdr:row>101</xdr:row>
      <xdr:rowOff>155473</xdr:rowOff>
    </xdr:from>
    <xdr:to>
      <xdr:col>20</xdr:col>
      <xdr:colOff>8178</xdr:colOff>
      <xdr:row>103</xdr:row>
      <xdr:rowOff>106788</xdr:rowOff>
    </xdr:to>
    <xdr:grpSp>
      <xdr:nvGrpSpPr>
        <xdr:cNvPr id="34" name="Group 33"/>
        <xdr:cNvGrpSpPr/>
      </xdr:nvGrpSpPr>
      <xdr:grpSpPr>
        <a:xfrm>
          <a:off x="95252" y="21548623"/>
          <a:ext cx="10819051" cy="313265"/>
          <a:chOff x="9524" y="6115049"/>
          <a:chExt cx="10963277" cy="314325"/>
        </a:xfrm>
      </xdr:grpSpPr>
      <xdr:sp macro="" textlink="">
        <xdr:nvSpPr>
          <xdr:cNvPr id="10" name="Round Same Side Corner Rectangle 9"/>
          <xdr:cNvSpPr/>
        </xdr:nvSpPr>
        <xdr:spPr>
          <a:xfrm flipV="1">
            <a:off x="9524" y="6124573"/>
            <a:ext cx="10958850" cy="238125"/>
          </a:xfrm>
          <a:prstGeom prst="round2SameRect">
            <a:avLst/>
          </a:prstGeom>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GB" sz="1100"/>
          </a:p>
        </xdr:txBody>
      </xdr:sp>
      <xdr:sp macro="" textlink="$R$1">
        <xdr:nvSpPr>
          <xdr:cNvPr id="11" name="TextBox 10"/>
          <xdr:cNvSpPr txBox="1"/>
        </xdr:nvSpPr>
        <xdr:spPr>
          <a:xfrm>
            <a:off x="7933794" y="6115049"/>
            <a:ext cx="3039007"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3B1BCF6-4FA2-4300-A41F-12861E9D32B9}" type="TxLink">
              <a:rPr lang="en-US" sz="1200" b="0" i="0" u="none" strike="noStrike">
                <a:solidFill>
                  <a:schemeClr val="bg1"/>
                </a:solidFill>
                <a:latin typeface="Calibri"/>
                <a:ea typeface="Verdana"/>
                <a:cs typeface="Calibri"/>
              </a:rPr>
              <a:pPr algn="r"/>
              <a:t>12:39PM Friday 18 December 2015</a:t>
            </a:fld>
            <a:endParaRPr lang="en-GB" sz="1200" b="0">
              <a:solidFill>
                <a:schemeClr val="bg1"/>
              </a:solidFill>
            </a:endParaRPr>
          </a:p>
        </xdr:txBody>
      </xdr:sp>
    </xdr:grpSp>
    <xdr:clientData/>
  </xdr:twoCellAnchor>
  <xdr:twoCellAnchor editAs="oneCell">
    <xdr:from>
      <xdr:col>1</xdr:col>
      <xdr:colOff>0</xdr:colOff>
      <xdr:row>0</xdr:row>
      <xdr:rowOff>123825</xdr:rowOff>
    </xdr:from>
    <xdr:to>
      <xdr:col>20</xdr:col>
      <xdr:colOff>8175</xdr:colOff>
      <xdr:row>4</xdr:row>
      <xdr:rowOff>9525</xdr:rowOff>
    </xdr:to>
    <xdr:grpSp>
      <xdr:nvGrpSpPr>
        <xdr:cNvPr id="33" name="Group 32"/>
        <xdr:cNvGrpSpPr/>
      </xdr:nvGrpSpPr>
      <xdr:grpSpPr>
        <a:xfrm>
          <a:off x="95250" y="123825"/>
          <a:ext cx="10819050" cy="676275"/>
          <a:chOff x="95250" y="123825"/>
          <a:chExt cx="10803225" cy="666750"/>
        </a:xfrm>
      </xdr:grpSpPr>
      <xdr:sp macro="" textlink="">
        <xdr:nvSpPr>
          <xdr:cNvPr id="13" name="Round Same Side Corner Rectangle 12"/>
          <xdr:cNvSpPr/>
        </xdr:nvSpPr>
        <xdr:spPr>
          <a:xfrm>
            <a:off x="95250" y="123825"/>
            <a:ext cx="10800000" cy="666750"/>
          </a:xfrm>
          <a:prstGeom prst="round2SameRect">
            <a:avLst>
              <a:gd name="adj1" fmla="val 50000"/>
              <a:gd name="adj2" fmla="val 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000"/>
          </a:p>
        </xdr:txBody>
      </xdr:sp>
      <xdr:sp macro="" textlink="">
        <xdr:nvSpPr>
          <xdr:cNvPr id="18" name="Snip Single Corner Rectangle 17">
            <a:hlinkClick xmlns:r="http://schemas.openxmlformats.org/officeDocument/2006/relationships" r:id="rId1"/>
          </xdr:cNvPr>
          <xdr:cNvSpPr/>
        </xdr:nvSpPr>
        <xdr:spPr>
          <a:xfrm>
            <a:off x="10477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b="0"/>
              <a:t>Population</a:t>
            </a:r>
          </a:p>
        </xdr:txBody>
      </xdr:sp>
      <xdr:sp macro="" textlink="">
        <xdr:nvSpPr>
          <xdr:cNvPr id="25" name="Snip Single Corner Rectangle 24">
            <a:hlinkClick xmlns:r="http://schemas.openxmlformats.org/officeDocument/2006/relationships" r:id="rId2"/>
          </xdr:cNvPr>
          <xdr:cNvSpPr/>
        </xdr:nvSpPr>
        <xdr:spPr>
          <a:xfrm>
            <a:off x="191071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Family Structure</a:t>
            </a:r>
          </a:p>
        </xdr:txBody>
      </xdr:sp>
      <xdr:sp macro="" textlink="">
        <xdr:nvSpPr>
          <xdr:cNvPr id="29" name="Snip Single Corner Rectangle 28">
            <a:hlinkClick xmlns:r="http://schemas.openxmlformats.org/officeDocument/2006/relationships" r:id="rId3"/>
          </xdr:cNvPr>
          <xdr:cNvSpPr/>
        </xdr:nvSpPr>
        <xdr:spPr>
          <a:xfrm>
            <a:off x="371665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Health Indicators</a:t>
            </a:r>
          </a:p>
        </xdr:txBody>
      </xdr:sp>
      <xdr:sp macro="" textlink="">
        <xdr:nvSpPr>
          <xdr:cNvPr id="30" name="Snip Single Corner Rectangle 29">
            <a:hlinkClick xmlns:r="http://schemas.openxmlformats.org/officeDocument/2006/relationships" r:id="rId4"/>
          </xdr:cNvPr>
          <xdr:cNvSpPr/>
        </xdr:nvSpPr>
        <xdr:spPr>
          <a:xfrm>
            <a:off x="552259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Births and Early Years</a:t>
            </a:r>
          </a:p>
        </xdr:txBody>
      </xdr:sp>
      <xdr:sp macro="" textlink="">
        <xdr:nvSpPr>
          <xdr:cNvPr id="31" name="Snip Single Corner Rectangle 30">
            <a:hlinkClick xmlns:r="http://schemas.openxmlformats.org/officeDocument/2006/relationships" r:id="rId5"/>
          </xdr:cNvPr>
          <xdr:cNvSpPr/>
        </xdr:nvSpPr>
        <xdr:spPr>
          <a:xfrm>
            <a:off x="7328534" y="514350"/>
            <a:ext cx="1764000" cy="247649"/>
          </a:xfrm>
          <a:prstGeom prst="snip1Rect">
            <a:avLst>
              <a:gd name="adj" fmla="val 5000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r>
              <a:rPr lang="en-GB" sz="1000"/>
              <a:t>Deprivation</a:t>
            </a:r>
          </a:p>
        </xdr:txBody>
      </xdr:sp>
      <xdr:sp macro="" textlink="">
        <xdr:nvSpPr>
          <xdr:cNvPr id="32" name="Snip Single Corner Rectangle 31"/>
          <xdr:cNvSpPr/>
        </xdr:nvSpPr>
        <xdr:spPr>
          <a:xfrm>
            <a:off x="9134475" y="514350"/>
            <a:ext cx="1764000" cy="247649"/>
          </a:xfrm>
          <a:prstGeom prst="snip1Rect">
            <a:avLst>
              <a:gd name="adj" fmla="val 50000"/>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b"/>
          <a:lstStyle/>
          <a:p>
            <a:pPr algn="ctr"/>
            <a:r>
              <a:rPr lang="en-GB" sz="1100" b="1"/>
              <a:t>EYFS</a:t>
            </a:r>
          </a:p>
        </xdr:txBody>
      </xdr:sp>
      <xdr:cxnSp macro="">
        <xdr:nvCxnSpPr>
          <xdr:cNvPr id="14" name="Straight Connector 13"/>
          <xdr:cNvCxnSpPr/>
        </xdr:nvCxnSpPr>
        <xdr:spPr>
          <a:xfrm>
            <a:off x="95250" y="781050"/>
            <a:ext cx="10800000" cy="1"/>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19" name="TextBox 18"/>
          <xdr:cNvSpPr txBox="1"/>
        </xdr:nvSpPr>
        <xdr:spPr>
          <a:xfrm>
            <a:off x="371476" y="152400"/>
            <a:ext cx="5706234"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Children's Workforce Public Health Profiles:</a:t>
            </a:r>
            <a:r>
              <a:rPr lang="en-GB" sz="1400" b="0"/>
              <a:t> Early</a:t>
            </a:r>
            <a:r>
              <a:rPr lang="en-GB" sz="1400" b="0" baseline="0"/>
              <a:t> Years Foundation Stage</a:t>
            </a:r>
            <a:endParaRPr lang="en-GB" sz="1400" b="0"/>
          </a:p>
        </xdr:txBody>
      </xdr:sp>
    </xdr:grpSp>
    <xdr:clientData/>
  </xdr:twoCellAnchor>
  <xdr:twoCellAnchor editAs="oneCell">
    <xdr:from>
      <xdr:col>1</xdr:col>
      <xdr:colOff>110217</xdr:colOff>
      <xdr:row>9</xdr:row>
      <xdr:rowOff>28575</xdr:rowOff>
    </xdr:from>
    <xdr:to>
      <xdr:col>19</xdr:col>
      <xdr:colOff>1725</xdr:colOff>
      <xdr:row>14</xdr:row>
      <xdr:rowOff>28574</xdr:rowOff>
    </xdr:to>
    <xdr:grpSp>
      <xdr:nvGrpSpPr>
        <xdr:cNvPr id="37" name="Group 36"/>
        <xdr:cNvGrpSpPr/>
      </xdr:nvGrpSpPr>
      <xdr:grpSpPr>
        <a:xfrm>
          <a:off x="205467" y="1771650"/>
          <a:ext cx="10588083" cy="952499"/>
          <a:chOff x="95249" y="904875"/>
          <a:chExt cx="10809726" cy="952499"/>
        </a:xfrm>
      </xdr:grpSpPr>
      <xdr:sp macro="" textlink="">
        <xdr:nvSpPr>
          <xdr:cNvPr id="35" name="TextBox 34"/>
          <xdr:cNvSpPr txBox="1"/>
        </xdr:nvSpPr>
        <xdr:spPr>
          <a:xfrm>
            <a:off x="99417" y="1190625"/>
            <a:ext cx="10805558" cy="6667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sp macro="" textlink="">
        <xdr:nvSpPr>
          <xdr:cNvPr id="36" name="Rectangle 35"/>
          <xdr:cNvSpPr/>
        </xdr:nvSpPr>
        <xdr:spPr>
          <a:xfrm>
            <a:off x="95249" y="904875"/>
            <a:ext cx="10800000"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Development</a:t>
            </a:r>
          </a:p>
        </xdr:txBody>
      </xdr:sp>
    </xdr:grpSp>
    <xdr:clientData/>
  </xdr:twoCellAnchor>
  <xdr:twoCellAnchor editAs="oneCell">
    <xdr:from>
      <xdr:col>2</xdr:col>
      <xdr:colOff>0</xdr:colOff>
      <xdr:row>60</xdr:row>
      <xdr:rowOff>198890</xdr:rowOff>
    </xdr:from>
    <xdr:to>
      <xdr:col>19</xdr:col>
      <xdr:colOff>1725</xdr:colOff>
      <xdr:row>64</xdr:row>
      <xdr:rowOff>20107</xdr:rowOff>
    </xdr:to>
    <xdr:grpSp>
      <xdr:nvGrpSpPr>
        <xdr:cNvPr id="20" name="Group 19"/>
        <xdr:cNvGrpSpPr/>
      </xdr:nvGrpSpPr>
      <xdr:grpSpPr>
        <a:xfrm>
          <a:off x="209550" y="13924415"/>
          <a:ext cx="10584000" cy="621317"/>
          <a:chOff x="95249" y="904875"/>
          <a:chExt cx="10800001" cy="606836"/>
        </a:xfrm>
      </xdr:grpSpPr>
      <xdr:sp macro="" textlink="">
        <xdr:nvSpPr>
          <xdr:cNvPr id="21" name="TextBox 20"/>
          <xdr:cNvSpPr txBox="1"/>
        </xdr:nvSpPr>
        <xdr:spPr>
          <a:xfrm>
            <a:off x="95250" y="1190626"/>
            <a:ext cx="10800000" cy="3210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a:t>The Achievement Gap compares the median score of all pupils with the mean score of the lowest 20% of all scores.</a:t>
            </a:r>
          </a:p>
        </xdr:txBody>
      </xdr:sp>
      <xdr:sp macro="" textlink="">
        <xdr:nvSpPr>
          <xdr:cNvPr id="22" name="Rectangle 21"/>
          <xdr:cNvSpPr/>
        </xdr:nvSpPr>
        <xdr:spPr>
          <a:xfrm>
            <a:off x="95249" y="904875"/>
            <a:ext cx="10800000" cy="28575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GB" sz="1100" b="1"/>
              <a:t>Achievement Gap</a:t>
            </a:r>
          </a:p>
        </xdr:txBody>
      </xdr:sp>
    </xdr:grpSp>
    <xdr:clientData/>
  </xdr:twoCellAnchor>
  <xdr:twoCellAnchor editAs="oneCell">
    <xdr:from>
      <xdr:col>2</xdr:col>
      <xdr:colOff>484414</xdr:colOff>
      <xdr:row>11</xdr:row>
      <xdr:rowOff>189140</xdr:rowOff>
    </xdr:from>
    <xdr:to>
      <xdr:col>17</xdr:col>
      <xdr:colOff>499494</xdr:colOff>
      <xdr:row>28</xdr:row>
      <xdr:rowOff>161925</xdr:rowOff>
    </xdr:to>
    <xdr:sp macro="" textlink="">
      <xdr:nvSpPr>
        <xdr:cNvPr id="23" name="Rectangle 22"/>
        <xdr:cNvSpPr/>
      </xdr:nvSpPr>
      <xdr:spPr>
        <a:xfrm>
          <a:off x="693964" y="2313215"/>
          <a:ext cx="9587705" cy="321128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r>
            <a:rPr lang="en-GB" sz="1200" b="1">
              <a:solidFill>
                <a:schemeClr val="dk1"/>
              </a:solidFill>
              <a:effectLst/>
              <a:latin typeface="+mn-lt"/>
              <a:ea typeface="+mn-ea"/>
              <a:cs typeface="+mn-cs"/>
            </a:rPr>
            <a:t>Why is it important to monitor childhood</a:t>
          </a:r>
          <a:r>
            <a:rPr lang="en-GB" sz="1200" b="1" baseline="0">
              <a:solidFill>
                <a:schemeClr val="dk1"/>
              </a:solidFill>
              <a:effectLst/>
              <a:latin typeface="+mn-lt"/>
              <a:ea typeface="+mn-ea"/>
              <a:cs typeface="+mn-cs"/>
            </a:rPr>
            <a:t> development?</a:t>
          </a:r>
          <a:endParaRPr lang="en-GB" sz="1200" b="1">
            <a:solidFill>
              <a:schemeClr val="dk1"/>
            </a:solidFill>
            <a:effectLst/>
            <a:latin typeface="+mn-lt"/>
            <a:ea typeface="+mn-ea"/>
            <a:cs typeface="+mn-cs"/>
          </a:endParaRPr>
        </a:p>
        <a:p>
          <a:endParaRPr lang="en-GB" sz="800">
            <a:effectLst/>
          </a:endParaRPr>
        </a:p>
        <a:p>
          <a:r>
            <a:rPr lang="en-GB" sz="1100">
              <a:solidFill>
                <a:schemeClr val="dk1"/>
              </a:solidFill>
              <a:effectLst/>
              <a:latin typeface="+mn-lt"/>
              <a:ea typeface="+mn-ea"/>
              <a:cs typeface="+mn-cs"/>
            </a:rPr>
            <a:t>The foundations for human development, physical, intellectual and emotional, are laid in early childhood and have a lifelong effect on </a:t>
          </a:r>
        </a:p>
        <a:p>
          <a:r>
            <a:rPr lang="en-GB" sz="1100">
              <a:solidFill>
                <a:schemeClr val="dk1"/>
              </a:solidFill>
              <a:effectLst/>
              <a:latin typeface="+mn-lt"/>
              <a:ea typeface="+mn-ea"/>
              <a:cs typeface="+mn-cs"/>
            </a:rPr>
            <a:t>many aspects of health and wellbeing, educational achievement and economic status.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Children's</a:t>
          </a:r>
          <a:r>
            <a:rPr lang="en-GB" sz="1100" baseline="0">
              <a:solidFill>
                <a:schemeClr val="dk1"/>
              </a:solidFill>
              <a:effectLst/>
              <a:latin typeface="+mn-lt"/>
              <a:ea typeface="+mn-ea"/>
              <a:cs typeface="+mn-cs"/>
            </a:rPr>
            <a:t> physical, intellectual and emotional development is assessed by early education and health professionals on a number of</a:t>
          </a:r>
        </a:p>
        <a:p>
          <a:r>
            <a:rPr lang="en-GB" sz="1100" baseline="0">
              <a:solidFill>
                <a:schemeClr val="dk1"/>
              </a:solidFill>
              <a:effectLst/>
              <a:latin typeface="+mn-lt"/>
              <a:ea typeface="+mn-ea"/>
              <a:cs typeface="+mn-cs"/>
            </a:rPr>
            <a:t>occasions from conception to age 5. Those children who attend early years settings will be offered an integrated review from September </a:t>
          </a:r>
        </a:p>
        <a:p>
          <a:r>
            <a:rPr lang="en-GB" sz="1100" baseline="0">
              <a:solidFill>
                <a:schemeClr val="dk1"/>
              </a:solidFill>
              <a:effectLst/>
              <a:latin typeface="+mn-lt"/>
              <a:ea typeface="+mn-ea"/>
              <a:cs typeface="+mn-cs"/>
            </a:rPr>
            <a:t>2015 that involves health and education professionals, parents and carers. This will enable a holistic approach to addressing </a:t>
          </a:r>
        </a:p>
        <a:p>
          <a:r>
            <a:rPr lang="en-GB" sz="1100" baseline="0">
              <a:solidFill>
                <a:schemeClr val="dk1"/>
              </a:solidFill>
              <a:effectLst/>
              <a:latin typeface="+mn-lt"/>
              <a:ea typeface="+mn-ea"/>
              <a:cs typeface="+mn-cs"/>
            </a:rPr>
            <a:t>developmental issues before the child starts school.</a:t>
          </a:r>
          <a:endParaRPr lang="en-GB" sz="1100">
            <a:solidFill>
              <a:schemeClr val="dk1"/>
            </a:solidFill>
            <a:effectLst/>
            <a:latin typeface="+mn-lt"/>
            <a:ea typeface="+mn-ea"/>
            <a:cs typeface="+mn-cs"/>
          </a:endParaRPr>
        </a:p>
        <a:p>
          <a:pPr lvl="0"/>
          <a:endParaRPr lang="en-GB" sz="800" b="1">
            <a:solidFill>
              <a:schemeClr val="dk1"/>
            </a:solidFill>
            <a:effectLst/>
            <a:latin typeface="+mn-lt"/>
            <a:ea typeface="+mn-ea"/>
            <a:cs typeface="+mn-cs"/>
          </a:endParaRPr>
        </a:p>
        <a:p>
          <a:pPr lvl="0"/>
          <a:r>
            <a:rPr lang="en-GB" sz="1200" b="1">
              <a:solidFill>
                <a:schemeClr val="dk1"/>
              </a:solidFill>
              <a:effectLst/>
              <a:latin typeface="+mn-lt"/>
              <a:ea typeface="+mn-ea"/>
              <a:cs typeface="+mn-cs"/>
            </a:rPr>
            <a:t>Indicator</a:t>
          </a:r>
        </a:p>
        <a:p>
          <a:pPr lvl="0"/>
          <a:endParaRPr lang="en-GB" sz="800" b="0">
            <a:solidFill>
              <a:schemeClr val="dk1"/>
            </a:solidFill>
            <a:effectLst/>
            <a:latin typeface="+mn-lt"/>
            <a:ea typeface="+mn-ea"/>
            <a:cs typeface="+mn-cs"/>
          </a:endParaRPr>
        </a:p>
        <a:p>
          <a:pPr lvl="0"/>
          <a:r>
            <a:rPr lang="en-GB" sz="1100" b="0">
              <a:solidFill>
                <a:schemeClr val="dk1"/>
              </a:solidFill>
              <a:effectLst/>
              <a:latin typeface="+mn-lt"/>
              <a:ea typeface="+mn-ea"/>
              <a:cs typeface="+mn-cs"/>
            </a:rPr>
            <a:t>Two measures are shown, the percentage of children assessed as having a "Good Level of Development" (GLD) and the percentage gap between all children and the lowest 20% of achievers.</a:t>
          </a:r>
        </a:p>
        <a:p>
          <a:endParaRPr lang="en-GB" sz="800">
            <a:effectLst/>
          </a:endParaRPr>
        </a:p>
        <a:p>
          <a:r>
            <a:rPr lang="en-GB" sz="1200" b="1" baseline="0">
              <a:solidFill>
                <a:schemeClr val="dk1"/>
              </a:solidFill>
              <a:effectLst/>
              <a:latin typeface="+mn-lt"/>
              <a:ea typeface="+mn-ea"/>
              <a:cs typeface="+mn-cs"/>
            </a:rPr>
            <a:t>Statistical issues:</a:t>
          </a:r>
        </a:p>
        <a:p>
          <a:endParaRPr lang="en-GB" sz="8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 centre level the number of pupils is small, the percentage may vary considerable from year to year and between centres, therefore confidence intervals are shown in relation to the % pupils attaining a Good Level of Development.</a:t>
          </a:r>
        </a:p>
        <a:p>
          <a:endParaRPr lang="en-GB" sz="800">
            <a:effectLst/>
          </a:endParaRPr>
        </a:p>
      </xdr:txBody>
    </xdr:sp>
    <xdr:clientData/>
  </xdr:twoCellAnchor>
  <xdr:twoCellAnchor editAs="oneCell">
    <xdr:from>
      <xdr:col>15</xdr:col>
      <xdr:colOff>371475</xdr:colOff>
      <xdr:row>13</xdr:row>
      <xdr:rowOff>95250</xdr:rowOff>
    </xdr:from>
    <xdr:to>
      <xdr:col>17</xdr:col>
      <xdr:colOff>127000</xdr:colOff>
      <xdr:row>15</xdr:row>
      <xdr:rowOff>161925</xdr:rowOff>
    </xdr:to>
    <xdr:sp macro="" textlink="">
      <xdr:nvSpPr>
        <xdr:cNvPr id="24" name="Rectangle 23"/>
        <xdr:cNvSpPr/>
      </xdr:nvSpPr>
      <xdr:spPr>
        <a:xfrm>
          <a:off x="8877300" y="2600325"/>
          <a:ext cx="1031875" cy="447675"/>
        </a:xfrm>
        <a:prstGeom prst="rect">
          <a:avLst/>
        </a:prstGeom>
        <a:solidFill>
          <a:schemeClr val="accent1">
            <a:lumMod val="20000"/>
            <a:lumOff val="8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b="1"/>
            <a:t>OFSTED</a:t>
          </a:r>
          <a:r>
            <a:rPr lang="en-GB" sz="1100" b="1" baseline="0"/>
            <a:t> KPI</a:t>
          </a:r>
          <a:endParaRPr lang="en-GB" sz="1100" b="1"/>
        </a:p>
      </xdr:txBody>
    </xdr:sp>
    <xdr:clientData/>
  </xdr:twoCellAnchor>
  <xdr:twoCellAnchor editAs="oneCell">
    <xdr:from>
      <xdr:col>2</xdr:col>
      <xdr:colOff>623358</xdr:colOff>
      <xdr:row>45</xdr:row>
      <xdr:rowOff>152399</xdr:rowOff>
    </xdr:from>
    <xdr:to>
      <xdr:col>16</xdr:col>
      <xdr:colOff>83608</xdr:colOff>
      <xdr:row>57</xdr:row>
      <xdr:rowOff>29367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518584</xdr:colOff>
      <xdr:row>84</xdr:row>
      <xdr:rowOff>109008</xdr:rowOff>
    </xdr:from>
    <xdr:to>
      <xdr:col>17</xdr:col>
      <xdr:colOff>179916</xdr:colOff>
      <xdr:row>99</xdr:row>
      <xdr:rowOff>153458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630766</xdr:colOff>
      <xdr:row>82</xdr:row>
      <xdr:rowOff>112182</xdr:rowOff>
    </xdr:from>
    <xdr:to>
      <xdr:col>13</xdr:col>
      <xdr:colOff>87841</xdr:colOff>
      <xdr:row>84</xdr:row>
      <xdr:rowOff>59265</xdr:rowOff>
    </xdr:to>
    <xdr:sp macro="" textlink="">
      <xdr:nvSpPr>
        <xdr:cNvPr id="4" name="TextBox 3"/>
        <xdr:cNvSpPr txBox="1"/>
      </xdr:nvSpPr>
      <xdr:spPr>
        <a:xfrm>
          <a:off x="840316" y="18066807"/>
          <a:ext cx="6477000" cy="3090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a:t>
          </a:r>
          <a:r>
            <a:rPr lang="en-GB" sz="1100" b="1" baseline="0">
              <a:solidFill>
                <a:schemeClr val="dk1"/>
              </a:solidFill>
              <a:effectLst/>
              <a:latin typeface="+mn-lt"/>
              <a:ea typeface="+mn-ea"/>
              <a:cs typeface="+mn-cs"/>
            </a:rPr>
            <a:t> Gap Between Mean Score of Lowest 20% of  Scores and Overall Median Score</a:t>
          </a:r>
          <a:endParaRPr lang="en-GB">
            <a:effectLst/>
          </a:endParaRPr>
        </a:p>
        <a:p>
          <a:endParaRPr lang="en-GB" sz="1100"/>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5</xdr:row>
          <xdr:rowOff>9525</xdr:rowOff>
        </xdr:from>
        <xdr:to>
          <xdr:col>10</xdr:col>
          <xdr:colOff>590550</xdr:colOff>
          <xdr:row>6</xdr:row>
          <xdr:rowOff>85725</xdr:rowOff>
        </xdr:to>
        <xdr:sp macro="" textlink="">
          <xdr:nvSpPr>
            <xdr:cNvPr id="8194" name="Drop Down 2" hidden="1">
              <a:extLst>
                <a:ext uri="{63B3BB69-23CF-44E3-9099-C40C66FF867C}">
                  <a14:compatExt spid="_x0000_s8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xdr:row>
          <xdr:rowOff>171450</xdr:rowOff>
        </xdr:from>
        <xdr:to>
          <xdr:col>10</xdr:col>
          <xdr:colOff>590550</xdr:colOff>
          <xdr:row>8</xdr:row>
          <xdr:rowOff>57150</xdr:rowOff>
        </xdr:to>
        <xdr:sp macro="" textlink="">
          <xdr:nvSpPr>
            <xdr:cNvPr id="8195" name="Drop Down 3" hidden="1">
              <a:extLst>
                <a:ext uri="{63B3BB69-23CF-44E3-9099-C40C66FF867C}">
                  <a14:compatExt spid="_x0000_s8195"/>
                </a:ext>
              </a:extLst>
            </xdr:cNvPr>
            <xdr:cNvSpPr/>
          </xdr:nvSpPr>
          <xdr:spPr>
            <a:xfrm>
              <a:off x="0" y="0"/>
              <a:ext cx="0" cy="0"/>
            </a:xfrm>
            <a:prstGeom prst="rect">
              <a:avLst/>
            </a:prstGeom>
          </xdr:spPr>
        </xdr:sp>
        <xdr:clientData/>
      </xdr:twoCellAnchor>
    </mc:Choice>
    <mc:Fallback/>
  </mc:AlternateContent>
  <xdr:twoCellAnchor editAs="oneCell">
    <xdr:from>
      <xdr:col>11</xdr:col>
      <xdr:colOff>376238</xdr:colOff>
      <xdr:row>5</xdr:row>
      <xdr:rowOff>0</xdr:rowOff>
    </xdr:from>
    <xdr:to>
      <xdr:col>12</xdr:col>
      <xdr:colOff>280988</xdr:colOff>
      <xdr:row>6</xdr:row>
      <xdr:rowOff>123825</xdr:rowOff>
    </xdr:to>
    <xdr:sp macro="" textlink="">
      <xdr:nvSpPr>
        <xdr:cNvPr id="38" name="Left Arrow 37"/>
        <xdr:cNvSpPr/>
      </xdr:nvSpPr>
      <xdr:spPr>
        <a:xfrm>
          <a:off x="6376988" y="976313"/>
          <a:ext cx="547688" cy="314325"/>
        </a:xfrm>
        <a:prstGeom prst="leftArrow">
          <a:avLst/>
        </a:prstGeom>
        <a:solidFill>
          <a:schemeClr val="accent1">
            <a:lumMod val="40000"/>
            <a:lumOff val="6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12</xdr:col>
      <xdr:colOff>290512</xdr:colOff>
      <xdr:row>5</xdr:row>
      <xdr:rowOff>28576</xdr:rowOff>
    </xdr:from>
    <xdr:to>
      <xdr:col>18</xdr:col>
      <xdr:colOff>280986</xdr:colOff>
      <xdr:row>6</xdr:row>
      <xdr:rowOff>95250</xdr:rowOff>
    </xdr:to>
    <xdr:sp macro="" textlink="">
      <xdr:nvSpPr>
        <xdr:cNvPr id="39" name="TextBox 38"/>
        <xdr:cNvSpPr txBox="1"/>
      </xdr:nvSpPr>
      <xdr:spPr>
        <a:xfrm>
          <a:off x="6934200" y="1004889"/>
          <a:ext cx="38480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Your current</a:t>
          </a:r>
          <a:r>
            <a:rPr lang="en-GB" sz="1100" b="1" baseline="0">
              <a:solidFill>
                <a:schemeClr val="bg1"/>
              </a:solidFill>
            </a:rPr>
            <a:t> selection</a:t>
          </a:r>
          <a:endParaRPr lang="en-GB" sz="1100" b="1">
            <a:solidFill>
              <a:schemeClr val="bg1"/>
            </a:solidFill>
          </a:endParaRPr>
        </a:p>
      </xdr:txBody>
    </xdr:sp>
    <xdr:clientData/>
  </xdr:twoCellAnchor>
  <xdr:twoCellAnchor editAs="oneCell">
    <xdr:from>
      <xdr:col>11</xdr:col>
      <xdr:colOff>373857</xdr:colOff>
      <xdr:row>6</xdr:row>
      <xdr:rowOff>128587</xdr:rowOff>
    </xdr:from>
    <xdr:to>
      <xdr:col>12</xdr:col>
      <xdr:colOff>278607</xdr:colOff>
      <xdr:row>8</xdr:row>
      <xdr:rowOff>61912</xdr:rowOff>
    </xdr:to>
    <xdr:sp macro="" textlink="">
      <xdr:nvSpPr>
        <xdr:cNvPr id="40" name="Left Arrow 39"/>
        <xdr:cNvSpPr/>
      </xdr:nvSpPr>
      <xdr:spPr>
        <a:xfrm>
          <a:off x="6374607" y="1295400"/>
          <a:ext cx="547688" cy="314325"/>
        </a:xfrm>
        <a:prstGeom prst="lef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12</xdr:col>
      <xdr:colOff>288132</xdr:colOff>
      <xdr:row>6</xdr:row>
      <xdr:rowOff>157162</xdr:rowOff>
    </xdr:from>
    <xdr:to>
      <xdr:col>15</xdr:col>
      <xdr:colOff>230982</xdr:colOff>
      <xdr:row>8</xdr:row>
      <xdr:rowOff>33337</xdr:rowOff>
    </xdr:to>
    <xdr:sp macro="" textlink="">
      <xdr:nvSpPr>
        <xdr:cNvPr id="41" name="TextBox 40"/>
        <xdr:cNvSpPr txBox="1"/>
      </xdr:nvSpPr>
      <xdr:spPr>
        <a:xfrm>
          <a:off x="6931820" y="1323975"/>
          <a:ext cx="1871662"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Your current selection</a:t>
          </a:r>
        </a:p>
      </xdr:txBody>
    </xdr:sp>
    <xdr:clientData/>
  </xdr:twoCellAnchor>
  <xdr:twoCellAnchor editAs="oneCell">
    <xdr:from>
      <xdr:col>15</xdr:col>
      <xdr:colOff>285750</xdr:colOff>
      <xdr:row>1</xdr:row>
      <xdr:rowOff>19050</xdr:rowOff>
    </xdr:from>
    <xdr:to>
      <xdr:col>18</xdr:col>
      <xdr:colOff>228600</xdr:colOff>
      <xdr:row>2</xdr:row>
      <xdr:rowOff>47625</xdr:rowOff>
    </xdr:to>
    <xdr:sp macro="" textlink="">
      <xdr:nvSpPr>
        <xdr:cNvPr id="42" name="Rectangle 41">
          <a:hlinkClick xmlns:r="http://schemas.openxmlformats.org/officeDocument/2006/relationships" r:id="rId8"/>
        </xdr:cNvPr>
        <xdr:cNvSpPr/>
      </xdr:nvSpPr>
      <xdr:spPr>
        <a:xfrm>
          <a:off x="8791575" y="209550"/>
          <a:ext cx="1857375" cy="24765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en-GB" sz="1100"/>
            <a:t>Go</a:t>
          </a:r>
          <a:r>
            <a:rPr lang="en-GB" sz="1100" baseline="0"/>
            <a:t> to the data</a:t>
          </a:r>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ublic%20Health%20Directorate/PH%20Research%20Unit/Verity%20Pinkney/CFC%20Profiles/2014%20CFC%20Profile/West%20Sussex%20Children%20and%20Family%20Centre%20Profiles%202014%20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le"/>
      <sheetName val="DATA"/>
      <sheetName val="TeenPreg"/>
    </sheetNames>
    <sheetDataSet>
      <sheetData sheetId="0" refreshError="1"/>
      <sheetData sheetId="1">
        <row r="2">
          <cell r="A2" t="str">
            <v>CFC</v>
          </cell>
          <cell r="B2" t="str">
            <v>Check</v>
          </cell>
          <cell r="C2" t="str">
            <v>CFC Locality</v>
          </cell>
          <cell r="D2" t="str">
            <v>CFC Group</v>
          </cell>
          <cell r="E2" t="str">
            <v>District</v>
          </cell>
          <cell r="F2" t="str">
            <v>GP Cluster</v>
          </cell>
          <cell r="G2" t="str">
            <v>Wards</v>
          </cell>
          <cell r="H2" t="str">
            <v>Education Locality Name</v>
          </cell>
          <cell r="I2" t="str">
            <v>Education Partnership Area</v>
          </cell>
          <cell r="J2" t="str">
            <v>CCG</v>
          </cell>
          <cell r="K2" t="str">
            <v>Parliamentary Constituency</v>
          </cell>
          <cell r="L2" t="str">
            <v>Population (2004)</v>
          </cell>
          <cell r="M2" t="str">
            <v>Population (2005)</v>
          </cell>
          <cell r="N2" t="str">
            <v>Population (2006)</v>
          </cell>
          <cell r="O2" t="str">
            <v>Population (2007)</v>
          </cell>
          <cell r="P2" t="str">
            <v>Population (2008)</v>
          </cell>
          <cell r="Q2" t="str">
            <v>Population (2009)</v>
          </cell>
          <cell r="R2" t="str">
            <v>Population (2010)</v>
          </cell>
          <cell r="S2" t="str">
            <v>Population (2011)</v>
          </cell>
          <cell r="T2" t="str">
            <v>Population (2012)</v>
          </cell>
          <cell r="U2" t="str">
            <v>Population (2013)</v>
          </cell>
          <cell r="V2" t="str">
            <v>Under 5 (2004)</v>
          </cell>
          <cell r="W2" t="str">
            <v>Under 5 (2005)</v>
          </cell>
          <cell r="X2" t="str">
            <v>Under 5 (2006)</v>
          </cell>
          <cell r="Y2" t="str">
            <v>Under 5 (2007)</v>
          </cell>
          <cell r="Z2" t="str">
            <v>Under 5 (2008)</v>
          </cell>
          <cell r="AA2" t="str">
            <v>Under 5 (2009)</v>
          </cell>
          <cell r="AB2" t="str">
            <v>Under 5 (2010)</v>
          </cell>
          <cell r="AC2" t="str">
            <v>Under 5 (2011)</v>
          </cell>
          <cell r="AD2" t="str">
            <v>Under 5 (2012)</v>
          </cell>
          <cell r="AE2" t="str">
            <v>Under 5 (2013)</v>
          </cell>
          <cell r="AF2" t="str">
            <v>% White British</v>
          </cell>
          <cell r="AG2" t="str">
            <v>% White Irish and White Other</v>
          </cell>
          <cell r="AH2" t="str">
            <v>% Mixed/Multiple</v>
          </cell>
          <cell r="AI2" t="str">
            <v>% Asian</v>
          </cell>
          <cell r="AJ2" t="str">
            <v>% Black</v>
          </cell>
          <cell r="AK2" t="str">
            <v>% Other</v>
          </cell>
          <cell r="AL2" t="str">
            <v>% BAME</v>
          </cell>
          <cell r="AM2" t="str">
            <v>Households with a child aged 0-9 years</v>
          </cell>
          <cell r="AN2" t="str">
            <v>% Owned</v>
          </cell>
          <cell r="AO2" t="str">
            <v>% Social rented</v>
          </cell>
          <cell r="AP2" t="str">
            <v>% Private rent/living rent free</v>
          </cell>
          <cell r="AQ2" t="str">
            <v>All Births (2009)</v>
          </cell>
          <cell r="AR2" t="str">
            <v>All Births (2010)</v>
          </cell>
          <cell r="AS2" t="str">
            <v>All Births (2011)</v>
          </cell>
          <cell r="AT2" t="str">
            <v>All Births (2012)</v>
          </cell>
          <cell r="AU2" t="str">
            <v>All Births (2013)</v>
          </cell>
          <cell r="AV2" t="str">
            <v>Births to Mothers Under 20 (2009)</v>
          </cell>
          <cell r="AW2" t="str">
            <v>Births to Mothers Under 20 (2010)</v>
          </cell>
          <cell r="AX2" t="str">
            <v>Births to Mothers Under 20 (2011)</v>
          </cell>
          <cell r="AY2" t="str">
            <v>Births to Mothers Under 20 (2012)</v>
          </cell>
          <cell r="AZ2" t="str">
            <v>Births to Mothers Under 20 (2013)</v>
          </cell>
          <cell r="BA2" t="str">
            <v>Number of babies born of low weight</v>
          </cell>
          <cell r="BB2" t="str">
            <v>% low weight</v>
          </cell>
          <cell r="BC2" t="str">
            <v>LCL</v>
          </cell>
          <cell r="BD2" t="str">
            <v>UCL</v>
          </cell>
          <cell r="BE2" t="str">
            <v>Estimation of teenage mothers in area</v>
          </cell>
          <cell r="BF2" t="str">
            <v>One dependent child families 2011 aged 0-4</v>
          </cell>
          <cell r="BG2" t="str">
            <v>Two dependent children families 2011 youngest aged 0-4</v>
          </cell>
          <cell r="BH2" t="str">
            <v>Three dependent children families 2011 youngest aged 0-4</v>
          </cell>
          <cell r="BI2" t="str">
            <v>families with 3 or more children %</v>
          </cell>
          <cell r="BJ2" t="str">
            <v>All families</v>
          </cell>
          <cell r="BK2" t="str">
            <v>Total number of dependent children 2011</v>
          </cell>
          <cell r="BL2" t="str">
            <v>All Households with dependent children</v>
          </cell>
          <cell r="BM2" t="str">
            <v>Married Couple with dependent children</v>
          </cell>
          <cell r="BN2" t="str">
            <v>Same-Sex Civil Partnership Couple with dependent children</v>
          </cell>
          <cell r="BO2" t="str">
            <v>Cohabiting Couple with dependent children</v>
          </cell>
          <cell r="BP2" t="str">
            <v>Lone Parent with dependent children</v>
          </cell>
          <cell r="BQ2" t="str">
            <v>Other Household type with dependent children</v>
          </cell>
          <cell r="BR2" t="str">
            <v>Lone parent families on low income - 2011</v>
          </cell>
          <cell r="BS2" t="str">
            <v>Lone parent families on low income - 2012</v>
          </cell>
          <cell r="BT2" t="str">
            <v>Lone parent families on low income - 2013</v>
          </cell>
          <cell r="BU2" t="str">
            <v>Lone parents (with dependent children) (2011)</v>
          </cell>
          <cell r="BV2" t="str">
            <v>Lone parents with dependent children - not in employment (2011)</v>
          </cell>
          <cell r="BW2" t="str">
            <v>% not in employment (2011)</v>
          </cell>
          <cell r="BX2" t="str">
            <v>Male Lone Parents (2011)</v>
          </cell>
          <cell r="BY2" t="str">
            <v>Local Decile</v>
          </cell>
          <cell r="BZ2" t="str">
            <v>Households with 3 or 4 measures of deprivation</v>
          </cell>
          <cell r="CA2" t="str">
            <v>Deprived households as % of all households in area</v>
          </cell>
          <cell r="CB2" t="str">
            <v>0 to 4 year olds in Out-of-work Benefit Claimant Hholds (2010)</v>
          </cell>
          <cell r="CC2" t="str">
            <v>0 to 4 year olds in Out-of-work Benefit Claimant Hholds (2011)</v>
          </cell>
          <cell r="CD2" t="str">
            <v>0 to 4 year olds in Out-of-work Benefit Claimant Hholds (2012)</v>
          </cell>
          <cell r="CE2" t="str">
            <v>0 to 4 year olds in Out-of-work Benefit Claimant Hholds (2013)</v>
          </cell>
          <cell r="CF2" t="str">
            <v>Number 2007</v>
          </cell>
          <cell r="CG2" t="str">
            <v>% of Children in Poverty 2007</v>
          </cell>
          <cell r="CH2" t="str">
            <v>Number 2008</v>
          </cell>
          <cell r="CI2" t="str">
            <v>% of Children in Poverty 2008</v>
          </cell>
          <cell r="CJ2" t="str">
            <v>Number 2009</v>
          </cell>
          <cell r="CK2" t="str">
            <v>% of Children in Poverty 2009</v>
          </cell>
          <cell r="CL2" t="str">
            <v>Number 2010</v>
          </cell>
          <cell r="CM2" t="str">
            <v>% of Children in Poverty 2010</v>
          </cell>
          <cell r="CN2" t="str">
            <v>Number 2011</v>
          </cell>
          <cell r="CO2" t="str">
            <v>% of Children in Poverty 2011</v>
          </cell>
          <cell r="CP2" t="str">
            <v>Number 2012</v>
          </cell>
          <cell r="CQ2" t="str">
            <v>% of Children in Poverty 2012</v>
          </cell>
          <cell r="CR2" t="str">
            <v>Number of babies eligible 2012/13</v>
          </cell>
          <cell r="CS2" t="str">
            <v>Number of babies not checked 2012/13</v>
          </cell>
          <cell r="CT2" t="str">
            <v>Number of babies receiving check 2012/13</v>
          </cell>
          <cell r="CU2" t="str">
            <v>% of babies checked 2012/13</v>
          </cell>
          <cell r="CV2" t="str">
            <v>Exclusively breastfed 2012/13</v>
          </cell>
          <cell r="CW2" t="str">
            <v>Total including partially breastfed 2012/13</v>
          </cell>
          <cell r="CX2" t="str">
            <v>% exclusively breastfed 2012/13</v>
          </cell>
          <cell r="CY2" t="str">
            <v>% breastfeeding (including partially) 2012/13</v>
          </cell>
          <cell r="CZ2" t="str">
            <v>exclusiveLCL</v>
          </cell>
          <cell r="DA2" t="str">
            <v>exclusiveUCL</v>
          </cell>
          <cell r="DB2" t="str">
            <v>partialLCL</v>
          </cell>
          <cell r="DC2" t="str">
            <v>partialUCL</v>
          </cell>
          <cell r="DD2" t="str">
            <v>2009/10 - Measured (Reception)</v>
          </cell>
          <cell r="DE2" t="str">
            <v>2009/10 - Measured as Obese (Reception)</v>
          </cell>
          <cell r="DF2" t="str">
            <v>% Obese (Reception) - 2009/10</v>
          </cell>
          <cell r="DG2" t="str">
            <v>2009/10 (Reception) - LCL</v>
          </cell>
          <cell r="DH2" t="str">
            <v>2009/10 (Reception) - UCL</v>
          </cell>
          <cell r="DI2" t="str">
            <v>2009/10 Significance (Reception)</v>
          </cell>
          <cell r="DJ2" t="str">
            <v>2010/11 - Measured (Reception)</v>
          </cell>
          <cell r="DK2" t="str">
            <v>2010/11 - Measured as Obese (Reception)</v>
          </cell>
          <cell r="DL2" t="str">
            <v>% Obese (Reception) - 2010/11</v>
          </cell>
          <cell r="DM2" t="str">
            <v>2010/11 (Reception) - LCL</v>
          </cell>
          <cell r="DN2" t="str">
            <v>2010/11 (Reception) - UCL</v>
          </cell>
          <cell r="DO2" t="str">
            <v>2010/11 Significance (Reception)</v>
          </cell>
          <cell r="DP2" t="str">
            <v>2011/12 - Measured (Reception)</v>
          </cell>
          <cell r="DQ2" t="str">
            <v>2011/12 - Measured as Obese (Reception)</v>
          </cell>
          <cell r="DR2" t="str">
            <v>% Obese (Reception) - 2011/12</v>
          </cell>
          <cell r="DS2" t="str">
            <v>2011/12 (Reception) - LCL</v>
          </cell>
          <cell r="DT2" t="str">
            <v>2011/12 (Reception) - UCL</v>
          </cell>
          <cell r="DU2" t="str">
            <v>2011/12 Significance (Reception)</v>
          </cell>
          <cell r="DV2" t="str">
            <v>2012/13 - Measured (Reception)</v>
          </cell>
          <cell r="DW2" t="str">
            <v>2012/13 - Measured as Obese (Reception)</v>
          </cell>
          <cell r="DX2" t="str">
            <v>% Obese (Reception) - 2012/13</v>
          </cell>
          <cell r="DY2" t="str">
            <v>2012/13 (Reception) - LCL</v>
          </cell>
          <cell r="DZ2" t="str">
            <v>2012/13 (Reception) - UCL</v>
          </cell>
          <cell r="EA2" t="str">
            <v>2012/13 Significance (Reception)</v>
          </cell>
          <cell r="EB2" t="str">
            <v>2009/10 - Measured (Year 6)</v>
          </cell>
          <cell r="EC2" t="str">
            <v>2009/10 - Measured as Obese (Year 6)</v>
          </cell>
          <cell r="ED2" t="str">
            <v>% Obese (Year 6) - 2009/10</v>
          </cell>
          <cell r="EE2" t="str">
            <v>2009/10 (Year 6) - LCL</v>
          </cell>
          <cell r="EF2" t="str">
            <v>2009/10 (Year 6) - UCL</v>
          </cell>
          <cell r="EG2" t="str">
            <v>2009/10 Significance (Year 6)</v>
          </cell>
          <cell r="EH2" t="str">
            <v>2010/11 - Measured (Year 6)</v>
          </cell>
          <cell r="EI2" t="str">
            <v>2010/11 - Measured as Obese (Year 6)</v>
          </cell>
          <cell r="EJ2" t="str">
            <v>% Obese (Year 6) - 2010/11</v>
          </cell>
          <cell r="EK2" t="str">
            <v>2010/11 (Year 6) - LCL</v>
          </cell>
          <cell r="EL2" t="str">
            <v>2010/11 (Year 6) - UCL</v>
          </cell>
          <cell r="EM2" t="str">
            <v>2010/11 Significance (Year 6)</v>
          </cell>
          <cell r="EN2" t="str">
            <v>2011/12 - Measured (Year 6)</v>
          </cell>
          <cell r="EO2" t="str">
            <v>2011/12 - Measured as Obese (Year 6)</v>
          </cell>
          <cell r="EP2" t="str">
            <v>% Obese (Year 6) - 2011/2012</v>
          </cell>
          <cell r="EQ2" t="str">
            <v>2011/12 (Year 6) - LCL</v>
          </cell>
          <cell r="ER2" t="str">
            <v>2011/12 (Year 6) - UCL</v>
          </cell>
          <cell r="ES2" t="str">
            <v>2011/12 Significance (Year 6)</v>
          </cell>
          <cell r="ET2" t="str">
            <v>2012/13 - Measured (Year 6)</v>
          </cell>
          <cell r="EU2" t="str">
            <v>2012/13 - Measured as Obese (Year 6)</v>
          </cell>
          <cell r="EV2" t="str">
            <v>% Obese (Year 6) - 2012/2013</v>
          </cell>
          <cell r="EW2" t="str">
            <v>2012/13 (Year 6) - LCL</v>
          </cell>
          <cell r="EX2" t="str">
            <v>2012/13 (Year 6) - UCL</v>
          </cell>
          <cell r="EY2" t="str">
            <v>2012/13 Significance (Year 6)</v>
          </cell>
          <cell r="EZ2" t="str">
            <v>Number of children (2013)</v>
          </cell>
          <cell r="FA2" t="str">
            <v>Children Assessed as Having a "Good Level of Development" (2013)</v>
          </cell>
          <cell r="FB2" t="str">
            <v>Percentage of children with a Good Level of Development (2013)</v>
          </cell>
          <cell r="FC2" t="str">
            <v>DevLCL (2013)</v>
          </cell>
          <cell r="FD2" t="str">
            <v>DevUCL (2013)</v>
          </cell>
          <cell r="FE2" t="str">
            <v>Number of Children (2013)</v>
          </cell>
          <cell r="FF2" t="str">
            <v>Median Score all Children (2013)</v>
          </cell>
          <cell r="FG2" t="str">
            <v>Lowest Scores - 20% of All Children (2013)</v>
          </cell>
          <cell r="FH2" t="str">
            <v>Mean Score of Lowest 20% (2013)</v>
          </cell>
          <cell r="FI2" t="str">
            <v>% Gap (2013)</v>
          </cell>
          <cell r="FJ2" t="str">
            <v>Number of children (2014)</v>
          </cell>
          <cell r="FK2" t="str">
            <v>Children Assessed as Having a "Good Level of Development" (2014)</v>
          </cell>
          <cell r="FL2" t="str">
            <v>Percentage of children with a Good Level of Development (2014)</v>
          </cell>
          <cell r="FM2" t="str">
            <v>DevLCL (2014)</v>
          </cell>
          <cell r="FN2" t="str">
            <v>DevUCL (2014)</v>
          </cell>
          <cell r="FO2" t="str">
            <v>Number of Children (2014)</v>
          </cell>
          <cell r="FP2" t="str">
            <v>Median Score all Children (2014)</v>
          </cell>
          <cell r="FQ2" t="str">
            <v>Lowest Scores - 20% of All Children (2014)</v>
          </cell>
          <cell r="FR2" t="str">
            <v>Mean Score of Lowest 20% (2014)</v>
          </cell>
          <cell r="FS2" t="str">
            <v>% Gap (2014)</v>
          </cell>
          <cell r="FT2" t="str">
            <v>Proficiency in English 2011</v>
          </cell>
          <cell r="FU2" t="str">
            <v>3-15 Main language is English 2011</v>
          </cell>
          <cell r="FV2" t="str">
            <v>3-15 Main language is not English 2011</v>
          </cell>
          <cell r="FW2" t="str">
            <v>3-15 Main language is not English : Can speak English very well or well 2011</v>
          </cell>
          <cell r="FX2" t="str">
            <v>3-15 Main language is not English : Cannot speak English or cannot speak English well 2011</v>
          </cell>
          <cell r="FY2" t="str">
            <v>% Main Language not english but can speak it well or very well</v>
          </cell>
          <cell r="FZ2" t="str">
            <v>% Main language is not english and cannot speak it or cannot speak it well</v>
          </cell>
          <cell r="GA2" t="str">
            <v>%not smoking at time of booking</v>
          </cell>
          <cell r="GB2" t="str">
            <v>% smoking at time of booking</v>
          </cell>
          <cell r="GC2" t="str">
            <v>LCLbook</v>
          </cell>
          <cell r="GD2" t="str">
            <v>UCLbook</v>
          </cell>
          <cell r="GE2" t="str">
            <v>%not smoking at delivery</v>
          </cell>
          <cell r="GF2" t="str">
            <v>%smoking at delivery</v>
          </cell>
          <cell r="GG2" t="str">
            <v>LCLdel</v>
          </cell>
          <cell r="GH2" t="str">
            <v>UCLdel</v>
          </cell>
          <cell r="GI2" t="str">
            <v>%not current smoker</v>
          </cell>
          <cell r="GJ2" t="str">
            <v>%current smoker</v>
          </cell>
          <cell r="GK2" t="str">
            <v>LCLsmoke</v>
          </cell>
          <cell r="GL2" t="str">
            <v>UCLsmoke</v>
          </cell>
          <cell r="GM2" t="str">
            <v>%No smoker in household</v>
          </cell>
          <cell r="GN2" t="str">
            <v>%Smoker in household</v>
          </cell>
          <cell r="GO2" t="str">
            <v>LCLhouse</v>
          </cell>
          <cell r="GP2" t="str">
            <v>UCLhouse</v>
          </cell>
          <cell r="GQ2" t="str">
            <v>Immunisations Total age1 eligible Q1 2013-14</v>
          </cell>
          <cell r="GR2" t="str">
            <v>age1 2nd MenC</v>
          </cell>
          <cell r="GS2" t="str">
            <v>age1 2nd Pneu</v>
          </cell>
          <cell r="GT2" t="str">
            <v>age1 1st Pneu</v>
          </cell>
          <cell r="GU2" t="str">
            <v>age1 3rd5in1</v>
          </cell>
          <cell r="GV2" t="str">
            <v>total age2 eligible</v>
          </cell>
          <cell r="GW2" t="str">
            <v>age2 HibMenCBoost</v>
          </cell>
          <cell r="GX2" t="str">
            <v>age2 2ndMenC</v>
          </cell>
          <cell r="GY2" t="str">
            <v>age2 PneuBoost</v>
          </cell>
          <cell r="GZ2" t="str">
            <v>age2 2ndPneu</v>
          </cell>
          <cell r="HA2" t="str">
            <v>age2 1stPneu</v>
          </cell>
          <cell r="HB2" t="str">
            <v>age2 MMR1</v>
          </cell>
          <cell r="HC2" t="str">
            <v>age2 3rd5in1</v>
          </cell>
          <cell r="HD2" t="str">
            <v>Total age5 eligible</v>
          </cell>
          <cell r="HE2" t="str">
            <v>age5 HibMenCBoost</v>
          </cell>
          <cell r="HF2" t="str">
            <v>age5 2ndMenC</v>
          </cell>
          <cell r="HG2" t="str">
            <v>age5 PneuBoost</v>
          </cell>
          <cell r="HH2" t="str">
            <v>age5 2ndPneu</v>
          </cell>
          <cell r="HI2" t="str">
            <v>age5 1stPneu</v>
          </cell>
          <cell r="HJ2" t="str">
            <v>age5 MMR2</v>
          </cell>
          <cell r="HK2" t="str">
            <v>age5 MMR1</v>
          </cell>
          <cell r="HL2" t="str">
            <v>age5 PSB</v>
          </cell>
          <cell r="HM2" t="str">
            <v>age5 3rd5in1</v>
          </cell>
          <cell r="HN2" t="str">
            <v>Number of 0-4 year olds with their day-to-day activities limited</v>
          </cell>
          <cell r="HO2" t="str">
            <v>% of all 0-4 year olds</v>
          </cell>
          <cell r="HP2" t="str">
            <v>Households with a 0-4 year old</v>
          </cell>
          <cell r="HQ2" t="str">
            <v>Living in a couple household</v>
          </cell>
          <cell r="HR2" t="str">
            <v>Not living in a couple household</v>
          </cell>
          <cell r="HS2" t="str">
            <v>% in non-couple household</v>
          </cell>
        </row>
        <row r="3">
          <cell r="A3" t="str">
            <v>Angmering</v>
          </cell>
          <cell r="C3" t="str">
            <v>Arun East</v>
          </cell>
          <cell r="D3" t="str">
            <v>Arun East</v>
          </cell>
          <cell r="E3" t="str">
            <v>Arun</v>
          </cell>
          <cell r="F3" t="str">
            <v>Arun</v>
          </cell>
          <cell r="G3" t="str">
            <v>Angmering, Brookfield, Rustington East, Rustington West</v>
          </cell>
          <cell r="H3" t="str">
            <v>Angmering</v>
          </cell>
          <cell r="I3" t="str">
            <v>B</v>
          </cell>
          <cell r="J3" t="str">
            <v>Coastal West Sussex</v>
          </cell>
          <cell r="K3" t="str">
            <v>Arundel and South Downs</v>
          </cell>
          <cell r="L3">
            <v>16620</v>
          </cell>
          <cell r="M3">
            <v>17065</v>
          </cell>
          <cell r="N3">
            <v>17415</v>
          </cell>
          <cell r="O3">
            <v>17650</v>
          </cell>
          <cell r="P3">
            <v>17770</v>
          </cell>
          <cell r="Q3">
            <v>17725</v>
          </cell>
          <cell r="R3">
            <v>17835</v>
          </cell>
          <cell r="S3">
            <v>17855</v>
          </cell>
          <cell r="T3">
            <v>18075</v>
          </cell>
          <cell r="U3">
            <v>18165</v>
          </cell>
          <cell r="V3">
            <v>1015</v>
          </cell>
          <cell r="W3">
            <v>1025</v>
          </cell>
          <cell r="X3">
            <v>1040</v>
          </cell>
          <cell r="Y3">
            <v>1025</v>
          </cell>
          <cell r="Z3">
            <v>1030</v>
          </cell>
          <cell r="AA3">
            <v>1005</v>
          </cell>
          <cell r="AB3">
            <v>1010</v>
          </cell>
          <cell r="AC3">
            <v>990</v>
          </cell>
          <cell r="AD3">
            <v>1020</v>
          </cell>
          <cell r="AE3">
            <v>1020</v>
          </cell>
          <cell r="AF3">
            <v>0.92871690427698572</v>
          </cell>
          <cell r="AG3">
            <v>2.7494908350305498E-2</v>
          </cell>
          <cell r="AH3">
            <v>3.4623217922606926E-2</v>
          </cell>
          <cell r="AI3">
            <v>8.1466395112016286E-3</v>
          </cell>
          <cell r="AJ3">
            <v>1.0183299389002036E-3</v>
          </cell>
          <cell r="AK3">
            <v>0</v>
          </cell>
          <cell r="AL3">
            <v>7.128309572301425E-2</v>
          </cell>
          <cell r="AM3">
            <v>2025</v>
          </cell>
          <cell r="AN3">
            <v>0.68083003952569165</v>
          </cell>
          <cell r="AO3">
            <v>9.3379446640316208E-2</v>
          </cell>
          <cell r="AP3">
            <v>0.2257905138339921</v>
          </cell>
          <cell r="AQ3">
            <v>184</v>
          </cell>
          <cell r="AR3">
            <v>179</v>
          </cell>
          <cell r="AS3">
            <v>203</v>
          </cell>
          <cell r="AT3">
            <v>195</v>
          </cell>
          <cell r="AU3">
            <v>163</v>
          </cell>
          <cell r="AV3">
            <v>8</v>
          </cell>
          <cell r="AW3">
            <v>4</v>
          </cell>
          <cell r="AX3">
            <v>12</v>
          </cell>
          <cell r="AY3">
            <v>8</v>
          </cell>
          <cell r="AZ3">
            <v>6</v>
          </cell>
          <cell r="BA3">
            <v>11</v>
          </cell>
          <cell r="BB3">
            <v>6.7484662576687116E-2</v>
          </cell>
          <cell r="BC3">
            <v>3.8096986536392215E-2</v>
          </cell>
          <cell r="BD3">
            <v>0.1167893289115334</v>
          </cell>
          <cell r="BE3">
            <v>13</v>
          </cell>
          <cell r="BF3">
            <v>308</v>
          </cell>
          <cell r="BG3">
            <v>333</v>
          </cell>
          <cell r="BH3">
            <v>133</v>
          </cell>
          <cell r="BI3">
            <v>0.13647543067212969</v>
          </cell>
          <cell r="BJ3">
            <v>2175</v>
          </cell>
          <cell r="BK3">
            <v>3804</v>
          </cell>
          <cell r="BL3">
            <v>2189</v>
          </cell>
          <cell r="BM3">
            <v>1276</v>
          </cell>
          <cell r="BN3">
            <v>1</v>
          </cell>
          <cell r="BO3">
            <v>284</v>
          </cell>
          <cell r="BP3">
            <v>480</v>
          </cell>
          <cell r="BQ3">
            <v>148</v>
          </cell>
          <cell r="BR3">
            <v>115</v>
          </cell>
          <cell r="BS3">
            <v>110</v>
          </cell>
          <cell r="BT3">
            <v>75</v>
          </cell>
          <cell r="BU3">
            <v>480</v>
          </cell>
          <cell r="BV3">
            <v>144</v>
          </cell>
          <cell r="BW3">
            <v>0.3</v>
          </cell>
          <cell r="BX3">
            <v>46</v>
          </cell>
          <cell r="BY3">
            <v>5</v>
          </cell>
          <cell r="BZ3">
            <v>230</v>
          </cell>
          <cell r="CA3">
            <v>3.0006523157208087E-2</v>
          </cell>
          <cell r="CB3">
            <v>140</v>
          </cell>
          <cell r="CC3">
            <v>115</v>
          </cell>
          <cell r="CD3">
            <v>130</v>
          </cell>
          <cell r="CE3">
            <v>145</v>
          </cell>
          <cell r="CF3">
            <v>410</v>
          </cell>
          <cell r="CG3">
            <v>0.1341</v>
          </cell>
          <cell r="CH3">
            <v>470</v>
          </cell>
          <cell r="CI3">
            <v>0.12959999999999999</v>
          </cell>
          <cell r="CJ3">
            <v>435</v>
          </cell>
          <cell r="CK3">
            <v>0.13210000000000002</v>
          </cell>
          <cell r="CL3">
            <v>440</v>
          </cell>
          <cell r="CM3">
            <v>0.14699999999999999</v>
          </cell>
          <cell r="CN3">
            <v>465</v>
          </cell>
          <cell r="CO3">
            <v>0.129</v>
          </cell>
          <cell r="CP3">
            <v>395</v>
          </cell>
          <cell r="CQ3">
            <v>0.11791044776119403</v>
          </cell>
          <cell r="CR3">
            <v>191</v>
          </cell>
          <cell r="CS3">
            <v>4</v>
          </cell>
          <cell r="CT3">
            <v>187</v>
          </cell>
          <cell r="CU3">
            <v>0.98280761579994336</v>
          </cell>
          <cell r="CV3">
            <v>84</v>
          </cell>
          <cell r="CW3">
            <v>99</v>
          </cell>
          <cell r="CX3">
            <v>0.46804208863032398</v>
          </cell>
          <cell r="CY3">
            <v>0.54348343649814235</v>
          </cell>
          <cell r="CZ3">
            <v>0.37964047544544022</v>
          </cell>
          <cell r="DA3">
            <v>0.52080051855167575</v>
          </cell>
          <cell r="DB3">
            <v>0.458000343620654</v>
          </cell>
          <cell r="DC3">
            <v>0.59963908090733153</v>
          </cell>
          <cell r="DD3">
            <v>161</v>
          </cell>
          <cell r="DE3">
            <v>10</v>
          </cell>
          <cell r="DF3">
            <v>6.2111801242236024E-2</v>
          </cell>
          <cell r="DG3">
            <v>3.4084412068514494E-2</v>
          </cell>
          <cell r="DH3">
            <v>0.11054824886072183</v>
          </cell>
          <cell r="DI3" t="str">
            <v>No Sig diff</v>
          </cell>
          <cell r="DJ3">
            <v>163</v>
          </cell>
          <cell r="DK3">
            <v>9</v>
          </cell>
          <cell r="DL3">
            <v>5.5214723926380369E-2</v>
          </cell>
          <cell r="DM3">
            <v>2.9317368755345873E-2</v>
          </cell>
          <cell r="DN3">
            <v>0.10159409039323013</v>
          </cell>
          <cell r="DO3" t="str">
            <v>No Sig diff</v>
          </cell>
          <cell r="DP3">
            <v>130</v>
          </cell>
          <cell r="DQ3">
            <v>9</v>
          </cell>
          <cell r="DR3">
            <v>6.9230769230769235E-2</v>
          </cell>
          <cell r="DS3">
            <v>3.6847119144994243E-2</v>
          </cell>
          <cell r="DT3">
            <v>0.12634191819174664</v>
          </cell>
          <cell r="DU3" t="str">
            <v>No Sig diff</v>
          </cell>
          <cell r="DV3">
            <v>165</v>
          </cell>
          <cell r="DW3">
            <v>16</v>
          </cell>
          <cell r="DX3">
            <v>9.696969696969697E-2</v>
          </cell>
          <cell r="DY3">
            <v>6.0572005169180751E-2</v>
          </cell>
          <cell r="DZ3">
            <v>0.15170677440922217</v>
          </cell>
          <cell r="EA3" t="str">
            <v>No Sig diff</v>
          </cell>
          <cell r="EB3">
            <v>174</v>
          </cell>
          <cell r="EC3">
            <v>26</v>
          </cell>
          <cell r="ED3">
            <v>0.14942528735632185</v>
          </cell>
          <cell r="EE3">
            <v>0.10405726954201303</v>
          </cell>
          <cell r="EF3">
            <v>0.20993846121160956</v>
          </cell>
          <cell r="EG3" t="str">
            <v>No Sig diff</v>
          </cell>
          <cell r="EH3">
            <v>171</v>
          </cell>
          <cell r="EI3">
            <v>30</v>
          </cell>
          <cell r="EJ3">
            <v>0.17543859649122806</v>
          </cell>
          <cell r="EK3">
            <v>0.12574362675464065</v>
          </cell>
          <cell r="EL3">
            <v>0.23939550701434556</v>
          </cell>
          <cell r="EM3" t="str">
            <v>No Sig diff</v>
          </cell>
          <cell r="EN3">
            <v>191</v>
          </cell>
          <cell r="EO3">
            <v>35</v>
          </cell>
          <cell r="EP3">
            <v>0.18324607329842932</v>
          </cell>
          <cell r="EQ3">
            <v>0.13481200656779935</v>
          </cell>
          <cell r="ER3">
            <v>0.24417026582756324</v>
          </cell>
          <cell r="ES3" t="str">
            <v>No Sig diff</v>
          </cell>
          <cell r="ET3">
            <v>186</v>
          </cell>
          <cell r="EU3">
            <v>18</v>
          </cell>
          <cell r="EV3">
            <v>9.6774193548387094E-2</v>
          </cell>
          <cell r="EW3">
            <v>6.2093076397520854E-2</v>
          </cell>
          <cell r="EX3">
            <v>0.14777393088419472</v>
          </cell>
          <cell r="EY3" t="str">
            <v>Sig better than Eng.</v>
          </cell>
          <cell r="EZ3">
            <v>180</v>
          </cell>
          <cell r="FA3">
            <v>99</v>
          </cell>
          <cell r="FB3">
            <v>0.55000000000000004</v>
          </cell>
          <cell r="FC3">
            <v>0.4770335504141382</v>
          </cell>
          <cell r="FD3">
            <v>0.62087689979370053</v>
          </cell>
          <cell r="FE3">
            <v>180</v>
          </cell>
          <cell r="FF3">
            <v>34</v>
          </cell>
          <cell r="FG3">
            <v>36</v>
          </cell>
          <cell r="FH3">
            <v>25.361111111111111</v>
          </cell>
          <cell r="FI3">
            <v>0.25408496732026142</v>
          </cell>
          <cell r="FJ3">
            <v>219</v>
          </cell>
          <cell r="FK3">
            <v>132</v>
          </cell>
          <cell r="FL3">
            <v>0.60273972602739723</v>
          </cell>
          <cell r="FM3">
            <v>0.53669727911714793</v>
          </cell>
          <cell r="FN3">
            <v>0.66524000956398821</v>
          </cell>
          <cell r="FO3">
            <v>219</v>
          </cell>
          <cell r="FP3">
            <v>34</v>
          </cell>
          <cell r="FQ3">
            <v>43</v>
          </cell>
          <cell r="FR3">
            <v>24.883720930232553</v>
          </cell>
          <cell r="FS3">
            <v>0.26812585499316022</v>
          </cell>
          <cell r="FT3">
            <v>2763</v>
          </cell>
          <cell r="FU3">
            <v>2742</v>
          </cell>
          <cell r="FV3">
            <v>21</v>
          </cell>
          <cell r="FW3">
            <v>15</v>
          </cell>
          <cell r="FX3">
            <v>6</v>
          </cell>
          <cell r="FY3">
            <v>0.7142857142857143</v>
          </cell>
          <cell r="FZ3">
            <v>0.2857142857142857</v>
          </cell>
          <cell r="GA3">
            <v>0.9612962962962962</v>
          </cell>
          <cell r="GB3">
            <v>3.8703703703703699E-2</v>
          </cell>
          <cell r="GC3">
            <v>1.9930699774880899E-2</v>
          </cell>
          <cell r="GD3">
            <v>9.0972566500489863E-2</v>
          </cell>
          <cell r="GE3">
            <v>0.95129629629629631</v>
          </cell>
          <cell r="GF3">
            <v>4.8703703703703707E-2</v>
          </cell>
          <cell r="GG3">
            <v>1.9930699774880899E-2</v>
          </cell>
          <cell r="GH3">
            <v>9.0972566500489863E-2</v>
          </cell>
          <cell r="GI3">
            <v>0.95759259259259255</v>
          </cell>
          <cell r="GJ3">
            <v>4.2407407407407408E-2</v>
          </cell>
          <cell r="GK3">
            <v>2.4605238882088657E-2</v>
          </cell>
          <cell r="GL3">
            <v>0.1002995507590243</v>
          </cell>
          <cell r="GM3">
            <v>0.86300158175158193</v>
          </cell>
          <cell r="GN3">
            <v>0.13699841824841824</v>
          </cell>
          <cell r="GO3">
            <v>9.0616305858033777E-2</v>
          </cell>
          <cell r="GP3">
            <v>0.2064663742592043</v>
          </cell>
          <cell r="GQ3">
            <v>59</v>
          </cell>
          <cell r="GR3">
            <v>55</v>
          </cell>
          <cell r="GS3">
            <v>55</v>
          </cell>
          <cell r="GT3">
            <v>58</v>
          </cell>
          <cell r="GU3">
            <v>55</v>
          </cell>
          <cell r="GV3">
            <v>56</v>
          </cell>
          <cell r="GW3">
            <v>53</v>
          </cell>
          <cell r="GX3">
            <v>55</v>
          </cell>
          <cell r="GY3">
            <v>53</v>
          </cell>
          <cell r="GZ3">
            <v>55</v>
          </cell>
          <cell r="HA3">
            <v>55</v>
          </cell>
          <cell r="HB3">
            <v>51</v>
          </cell>
          <cell r="HC3">
            <v>55</v>
          </cell>
          <cell r="HD3">
            <v>56</v>
          </cell>
          <cell r="HE3">
            <v>56</v>
          </cell>
          <cell r="HF3">
            <v>55</v>
          </cell>
          <cell r="HG3">
            <v>54</v>
          </cell>
          <cell r="HH3">
            <v>56</v>
          </cell>
          <cell r="HI3">
            <v>56</v>
          </cell>
          <cell r="HJ3">
            <v>55</v>
          </cell>
          <cell r="HK3">
            <v>56</v>
          </cell>
          <cell r="HL3">
            <v>55</v>
          </cell>
          <cell r="HM3">
            <v>56</v>
          </cell>
          <cell r="HN3">
            <v>19</v>
          </cell>
          <cell r="HO3">
            <v>1.9348268839103868E-2</v>
          </cell>
          <cell r="HP3">
            <v>1542</v>
          </cell>
          <cell r="HQ3">
            <v>1390</v>
          </cell>
          <cell r="HR3">
            <v>152</v>
          </cell>
          <cell r="HS3">
            <v>9.8573281452658881E-2</v>
          </cell>
        </row>
        <row r="4">
          <cell r="A4" t="str">
            <v>Bewbush</v>
          </cell>
          <cell r="C4" t="str">
            <v>Crawley</v>
          </cell>
          <cell r="D4" t="str">
            <v>Crawley</v>
          </cell>
          <cell r="E4" t="str">
            <v>Crawley</v>
          </cell>
          <cell r="F4" t="str">
            <v>Crawley</v>
          </cell>
          <cell r="G4" t="str">
            <v>Bewbush, Gossops Green</v>
          </cell>
          <cell r="H4" t="str">
            <v>Crawley NW</v>
          </cell>
          <cell r="I4" t="str">
            <v>C1</v>
          </cell>
          <cell r="J4" t="str">
            <v>Crawley</v>
          </cell>
          <cell r="K4" t="str">
            <v>Crawley</v>
          </cell>
          <cell r="L4">
            <v>13920</v>
          </cell>
          <cell r="M4">
            <v>13945</v>
          </cell>
          <cell r="N4">
            <v>14000</v>
          </cell>
          <cell r="O4">
            <v>13975</v>
          </cell>
          <cell r="P4">
            <v>14045</v>
          </cell>
          <cell r="Q4">
            <v>14080</v>
          </cell>
          <cell r="R4">
            <v>14005</v>
          </cell>
          <cell r="S4">
            <v>14160</v>
          </cell>
          <cell r="T4">
            <v>14250</v>
          </cell>
          <cell r="U4">
            <v>14270</v>
          </cell>
          <cell r="V4">
            <v>930</v>
          </cell>
          <cell r="W4">
            <v>950</v>
          </cell>
          <cell r="X4">
            <v>930</v>
          </cell>
          <cell r="Y4">
            <v>935</v>
          </cell>
          <cell r="Z4">
            <v>950</v>
          </cell>
          <cell r="AA4">
            <v>975</v>
          </cell>
          <cell r="AB4">
            <v>1040</v>
          </cell>
          <cell r="AC4">
            <v>1085</v>
          </cell>
          <cell r="AD4">
            <v>1120</v>
          </cell>
          <cell r="AE4">
            <v>1145</v>
          </cell>
          <cell r="AF4">
            <v>0.6158088235294118</v>
          </cell>
          <cell r="AG4">
            <v>7.6286764705882359E-2</v>
          </cell>
          <cell r="AH4">
            <v>7.6286764705882359E-2</v>
          </cell>
          <cell r="AI4">
            <v>0.13235294117647059</v>
          </cell>
          <cell r="AJ4">
            <v>8.2720588235294115E-2</v>
          </cell>
          <cell r="AK4">
            <v>1.6544117647058824E-2</v>
          </cell>
          <cell r="AL4">
            <v>0.38419117647058826</v>
          </cell>
          <cell r="AM4">
            <v>1980</v>
          </cell>
          <cell r="AN4">
            <v>0.4770085901970692</v>
          </cell>
          <cell r="AO4">
            <v>0.32491157150075795</v>
          </cell>
          <cell r="AP4">
            <v>0.19807983830217282</v>
          </cell>
          <cell r="AQ4">
            <v>228</v>
          </cell>
          <cell r="AR4">
            <v>218</v>
          </cell>
          <cell r="AS4">
            <v>200</v>
          </cell>
          <cell r="AT4">
            <v>196</v>
          </cell>
          <cell r="AU4">
            <v>236</v>
          </cell>
          <cell r="AV4">
            <v>17</v>
          </cell>
          <cell r="AW4">
            <v>13</v>
          </cell>
          <cell r="AX4">
            <v>8</v>
          </cell>
          <cell r="AY4">
            <v>14</v>
          </cell>
          <cell r="AZ4">
            <v>15</v>
          </cell>
          <cell r="BA4">
            <v>22</v>
          </cell>
          <cell r="BB4">
            <v>9.3220338983050849E-2</v>
          </cell>
          <cell r="BC4">
            <v>6.2367935694190454E-2</v>
          </cell>
          <cell r="BD4">
            <v>0.13710324437589275</v>
          </cell>
          <cell r="BE4">
            <v>26</v>
          </cell>
          <cell r="BF4">
            <v>337</v>
          </cell>
          <cell r="BG4">
            <v>306</v>
          </cell>
          <cell r="BH4">
            <v>203</v>
          </cell>
          <cell r="BI4">
            <v>0.16940932161849653</v>
          </cell>
          <cell r="BJ4">
            <v>1995</v>
          </cell>
          <cell r="BK4">
            <v>3572</v>
          </cell>
          <cell r="BL4">
            <v>1958</v>
          </cell>
          <cell r="BM4">
            <v>991</v>
          </cell>
          <cell r="BN4">
            <v>1</v>
          </cell>
          <cell r="BO4">
            <v>250</v>
          </cell>
          <cell r="BP4">
            <v>500</v>
          </cell>
          <cell r="BQ4">
            <v>216</v>
          </cell>
          <cell r="BR4">
            <v>215</v>
          </cell>
          <cell r="BS4">
            <v>180</v>
          </cell>
          <cell r="BT4">
            <v>165</v>
          </cell>
          <cell r="BU4">
            <v>519</v>
          </cell>
          <cell r="BV4">
            <v>232</v>
          </cell>
          <cell r="BW4">
            <v>0.44701348747591524</v>
          </cell>
          <cell r="BX4">
            <v>39</v>
          </cell>
          <cell r="BY4">
            <v>2</v>
          </cell>
          <cell r="BZ4">
            <v>287</v>
          </cell>
          <cell r="CA4">
            <v>5.3524804177545689E-2</v>
          </cell>
          <cell r="CB4">
            <v>260</v>
          </cell>
          <cell r="CC4">
            <v>265</v>
          </cell>
          <cell r="CD4">
            <v>285</v>
          </cell>
          <cell r="CE4">
            <v>265</v>
          </cell>
          <cell r="CF4">
            <v>735</v>
          </cell>
          <cell r="CG4">
            <v>0.22277777777777777</v>
          </cell>
          <cell r="CH4">
            <v>705</v>
          </cell>
          <cell r="CI4">
            <v>0.20399999999999999</v>
          </cell>
          <cell r="CJ4">
            <v>665</v>
          </cell>
          <cell r="CK4">
            <v>0.21177777777777773</v>
          </cell>
          <cell r="CL4">
            <v>645</v>
          </cell>
          <cell r="CM4">
            <v>0.22133333333333327</v>
          </cell>
          <cell r="CN4">
            <v>710</v>
          </cell>
          <cell r="CO4">
            <v>0.22855555555555554</v>
          </cell>
          <cell r="CP4">
            <v>695</v>
          </cell>
          <cell r="CQ4">
            <v>0.22347266881028938</v>
          </cell>
          <cell r="CR4">
            <v>199</v>
          </cell>
          <cell r="CS4">
            <v>9</v>
          </cell>
          <cell r="CT4">
            <v>190</v>
          </cell>
          <cell r="CU4">
            <v>0.95615563530037218</v>
          </cell>
          <cell r="CV4">
            <v>63</v>
          </cell>
          <cell r="CW4">
            <v>90</v>
          </cell>
          <cell r="CX4">
            <v>0.31451973653586557</v>
          </cell>
          <cell r="CY4">
            <v>0.46319733432636662</v>
          </cell>
          <cell r="CZ4">
            <v>0.26855754915982444</v>
          </cell>
          <cell r="DA4">
            <v>0.40127596438938273</v>
          </cell>
          <cell r="DB4">
            <v>0.40391272589420474</v>
          </cell>
          <cell r="DC4">
            <v>0.54449876059785884</v>
          </cell>
          <cell r="DD4">
            <v>139</v>
          </cell>
          <cell r="DE4">
            <v>13</v>
          </cell>
          <cell r="DF4">
            <v>9.3525179856115109E-2</v>
          </cell>
          <cell r="DG4">
            <v>5.5472392932265871E-2</v>
          </cell>
          <cell r="DH4">
            <v>0.153440755022583</v>
          </cell>
          <cell r="DI4" t="str">
            <v>No Sig diff</v>
          </cell>
          <cell r="DJ4">
            <v>167</v>
          </cell>
          <cell r="DK4">
            <v>17</v>
          </cell>
          <cell r="DL4">
            <v>0.10179640718562874</v>
          </cell>
          <cell r="DM4">
            <v>6.453215761708575E-2</v>
          </cell>
          <cell r="DN4">
            <v>0.15696828543643829</v>
          </cell>
          <cell r="DO4" t="str">
            <v>No Sig diff</v>
          </cell>
          <cell r="DP4">
            <v>148</v>
          </cell>
          <cell r="DQ4">
            <v>15</v>
          </cell>
          <cell r="DR4">
            <v>0.10135135135135136</v>
          </cell>
          <cell r="DS4">
            <v>6.2386399530736276E-2</v>
          </cell>
          <cell r="DT4">
            <v>0.160487241723308</v>
          </cell>
          <cell r="DU4" t="str">
            <v>No Sig diff</v>
          </cell>
          <cell r="DV4">
            <v>185</v>
          </cell>
          <cell r="DW4">
            <v>22</v>
          </cell>
          <cell r="DX4">
            <v>0.11891891891891893</v>
          </cell>
          <cell r="DY4">
            <v>7.9857528522488064E-2</v>
          </cell>
          <cell r="DZ4">
            <v>0.17348439713018241</v>
          </cell>
          <cell r="EA4" t="str">
            <v>No Sig diff</v>
          </cell>
          <cell r="EB4">
            <v>133</v>
          </cell>
          <cell r="EC4">
            <v>30</v>
          </cell>
          <cell r="ED4">
            <v>0.22556390977443608</v>
          </cell>
          <cell r="EE4">
            <v>0.16281825028236413</v>
          </cell>
          <cell r="EF4">
            <v>0.30371769117048725</v>
          </cell>
          <cell r="EG4" t="str">
            <v>No Sig diff</v>
          </cell>
          <cell r="EH4">
            <v>167</v>
          </cell>
          <cell r="EI4">
            <v>39</v>
          </cell>
          <cell r="EJ4">
            <v>0.23353293413173654</v>
          </cell>
          <cell r="EK4">
            <v>0.17580094582420591</v>
          </cell>
          <cell r="EL4">
            <v>0.30324822283567104</v>
          </cell>
          <cell r="EM4" t="str">
            <v>No Sig diff</v>
          </cell>
          <cell r="EN4">
            <v>177</v>
          </cell>
          <cell r="EO4">
            <v>39</v>
          </cell>
          <cell r="EP4">
            <v>0.22033898305084745</v>
          </cell>
          <cell r="EQ4">
            <v>0.1655797355444994</v>
          </cell>
          <cell r="ER4">
            <v>0.28697942513911712</v>
          </cell>
          <cell r="ES4" t="str">
            <v>No Sig diff</v>
          </cell>
          <cell r="ET4">
            <v>160</v>
          </cell>
          <cell r="EU4">
            <v>33</v>
          </cell>
          <cell r="EV4">
            <v>0.20624999999999999</v>
          </cell>
          <cell r="EW4">
            <v>0.15080086366994011</v>
          </cell>
          <cell r="EX4">
            <v>0.27547377599331924</v>
          </cell>
          <cell r="EY4" t="str">
            <v>No Sig diff</v>
          </cell>
          <cell r="EZ4">
            <v>212</v>
          </cell>
          <cell r="FA4">
            <v>105</v>
          </cell>
          <cell r="FB4">
            <v>0.49528301886792453</v>
          </cell>
          <cell r="FC4">
            <v>0.42866607213368668</v>
          </cell>
          <cell r="FD4">
            <v>0.56206786743970427</v>
          </cell>
          <cell r="FE4">
            <v>212</v>
          </cell>
          <cell r="FF4">
            <v>34</v>
          </cell>
          <cell r="FG4">
            <v>42</v>
          </cell>
          <cell r="FH4">
            <v>21.976190476190471</v>
          </cell>
          <cell r="FI4">
            <v>0.35364145658263318</v>
          </cell>
          <cell r="FJ4">
            <v>193</v>
          </cell>
          <cell r="FK4">
            <v>109</v>
          </cell>
          <cell r="FL4">
            <v>0.56476683937823835</v>
          </cell>
          <cell r="FM4">
            <v>0.4942308877461517</v>
          </cell>
          <cell r="FN4">
            <v>0.63277487694274381</v>
          </cell>
          <cell r="FO4">
            <v>193</v>
          </cell>
          <cell r="FP4">
            <v>34</v>
          </cell>
          <cell r="FQ4">
            <v>38</v>
          </cell>
          <cell r="FR4">
            <v>21.552631578947373</v>
          </cell>
          <cell r="FS4">
            <v>0.36609907120743018</v>
          </cell>
          <cell r="FT4">
            <v>1852</v>
          </cell>
          <cell r="FU4">
            <v>1811</v>
          </cell>
          <cell r="FV4">
            <v>41</v>
          </cell>
          <cell r="FW4">
            <v>36</v>
          </cell>
          <cell r="FX4">
            <v>5</v>
          </cell>
          <cell r="FY4">
            <v>0.87804878048780488</v>
          </cell>
          <cell r="FZ4">
            <v>0.12195121951219512</v>
          </cell>
          <cell r="GA4">
            <v>0.83758648758648768</v>
          </cell>
          <cell r="GB4">
            <v>0.1624135124135124</v>
          </cell>
          <cell r="GC4">
            <v>0.11561771988481866</v>
          </cell>
          <cell r="GD4">
            <v>0.25849709964566014</v>
          </cell>
          <cell r="GE4">
            <v>0.87920227920227922</v>
          </cell>
          <cell r="GF4">
            <v>0.12079772079772079</v>
          </cell>
          <cell r="GG4">
            <v>7.8811990941745763E-2</v>
          </cell>
          <cell r="GH4">
            <v>0.20589065995023004</v>
          </cell>
          <cell r="GI4">
            <v>0.80054945054945059</v>
          </cell>
          <cell r="GJ4">
            <v>0.19945054945054946</v>
          </cell>
          <cell r="GK4">
            <v>0.14772120660505175</v>
          </cell>
          <cell r="GL4">
            <v>0.30194390108014951</v>
          </cell>
          <cell r="GM4">
            <v>0.64439017772351104</v>
          </cell>
          <cell r="GN4">
            <v>0.35560982227648902</v>
          </cell>
          <cell r="GO4">
            <v>0.27361966173474211</v>
          </cell>
          <cell r="GP4">
            <v>0.45325977192245154</v>
          </cell>
          <cell r="GQ4">
            <v>55</v>
          </cell>
          <cell r="GR4">
            <v>53</v>
          </cell>
          <cell r="GS4">
            <v>53</v>
          </cell>
          <cell r="GT4">
            <v>55</v>
          </cell>
          <cell r="GU4">
            <v>54</v>
          </cell>
          <cell r="GV4">
            <v>50</v>
          </cell>
          <cell r="GW4">
            <v>50</v>
          </cell>
          <cell r="GX4">
            <v>49</v>
          </cell>
          <cell r="GY4">
            <v>48</v>
          </cell>
          <cell r="GZ4">
            <v>49</v>
          </cell>
          <cell r="HA4">
            <v>48</v>
          </cell>
          <cell r="HB4">
            <v>49</v>
          </cell>
          <cell r="HC4">
            <v>50</v>
          </cell>
          <cell r="HD4">
            <v>62</v>
          </cell>
          <cell r="HE4">
            <v>59</v>
          </cell>
          <cell r="HF4">
            <v>57</v>
          </cell>
          <cell r="HG4">
            <v>53</v>
          </cell>
          <cell r="HH4">
            <v>57</v>
          </cell>
          <cell r="HI4">
            <v>57</v>
          </cell>
          <cell r="HJ4">
            <v>57</v>
          </cell>
          <cell r="HK4">
            <v>59</v>
          </cell>
          <cell r="HL4">
            <v>55</v>
          </cell>
          <cell r="HM4">
            <v>57</v>
          </cell>
          <cell r="HN4">
            <v>24</v>
          </cell>
          <cell r="HO4">
            <v>2.2058823529411766E-2</v>
          </cell>
          <cell r="HP4">
            <v>1737</v>
          </cell>
          <cell r="HQ4">
            <v>1485</v>
          </cell>
          <cell r="HR4">
            <v>252</v>
          </cell>
          <cell r="HS4">
            <v>0.14507772020725387</v>
          </cell>
        </row>
        <row r="5">
          <cell r="A5" t="str">
            <v>Billingshurst and Pulborough</v>
          </cell>
          <cell r="C5" t="str">
            <v>Horsham</v>
          </cell>
          <cell r="D5" t="str">
            <v>Horsham Rural</v>
          </cell>
          <cell r="E5" t="str">
            <v>Horsham</v>
          </cell>
          <cell r="F5" t="str">
            <v>Chanctonbury</v>
          </cell>
          <cell r="G5" t="str">
            <v>Wishborough Green, Chanctonbury, Pulborough and Coldwatham, Plaistow, Billingshurst and Shipley, Itchingfield, Slinford and Warnham</v>
          </cell>
          <cell r="H5" t="str">
            <v>Billingshurst</v>
          </cell>
          <cell r="I5" t="str">
            <v>C3</v>
          </cell>
          <cell r="J5" t="str">
            <v>Coastal West Sussex</v>
          </cell>
          <cell r="K5" t="str">
            <v>Horsham</v>
          </cell>
          <cell r="L5">
            <v>24270</v>
          </cell>
          <cell r="M5">
            <v>24350</v>
          </cell>
          <cell r="N5">
            <v>24640</v>
          </cell>
          <cell r="O5">
            <v>24855</v>
          </cell>
          <cell r="P5">
            <v>25020</v>
          </cell>
          <cell r="Q5">
            <v>25175</v>
          </cell>
          <cell r="R5">
            <v>25585</v>
          </cell>
          <cell r="S5">
            <v>25835</v>
          </cell>
          <cell r="T5">
            <v>25910</v>
          </cell>
          <cell r="U5">
            <v>26075</v>
          </cell>
          <cell r="V5">
            <v>1240</v>
          </cell>
          <cell r="W5">
            <v>1220</v>
          </cell>
          <cell r="X5">
            <v>1195</v>
          </cell>
          <cell r="Y5">
            <v>1235</v>
          </cell>
          <cell r="Z5">
            <v>1235</v>
          </cell>
          <cell r="AA5">
            <v>1235</v>
          </cell>
          <cell r="AB5">
            <v>1285</v>
          </cell>
          <cell r="AC5">
            <v>1290</v>
          </cell>
          <cell r="AD5">
            <v>1300</v>
          </cell>
          <cell r="AE5">
            <v>1295</v>
          </cell>
          <cell r="AF5">
            <v>0.92938496583143504</v>
          </cell>
          <cell r="AG5">
            <v>2.2779043280182234E-2</v>
          </cell>
          <cell r="AH5">
            <v>3.4927866362946092E-2</v>
          </cell>
          <cell r="AI5">
            <v>9.8709187547456334E-3</v>
          </cell>
          <cell r="AJ5">
            <v>2.2779043280182231E-3</v>
          </cell>
          <cell r="AK5">
            <v>7.5930144267274111E-4</v>
          </cell>
          <cell r="AL5">
            <v>7.0615034168564919E-2</v>
          </cell>
          <cell r="AM5">
            <v>2665</v>
          </cell>
          <cell r="AN5">
            <v>0.74652647390161475</v>
          </cell>
          <cell r="AO5">
            <v>0.13931656027037176</v>
          </cell>
          <cell r="AP5">
            <v>0.11415696582801352</v>
          </cell>
          <cell r="AQ5">
            <v>211</v>
          </cell>
          <cell r="AR5">
            <v>215</v>
          </cell>
          <cell r="AS5">
            <v>225</v>
          </cell>
          <cell r="AT5">
            <v>196</v>
          </cell>
          <cell r="AU5">
            <v>185</v>
          </cell>
          <cell r="AV5">
            <v>8</v>
          </cell>
          <cell r="AW5">
            <v>2</v>
          </cell>
          <cell r="AX5">
            <v>4</v>
          </cell>
          <cell r="AY5">
            <v>6</v>
          </cell>
          <cell r="AZ5">
            <v>3</v>
          </cell>
          <cell r="BA5">
            <v>17</v>
          </cell>
          <cell r="BB5">
            <v>9.1891891891891897E-2</v>
          </cell>
          <cell r="BC5">
            <v>5.8164744484854133E-2</v>
          </cell>
          <cell r="BD5">
            <v>0.14222270780984969</v>
          </cell>
          <cell r="BE5">
            <v>5</v>
          </cell>
          <cell r="BF5">
            <v>372</v>
          </cell>
          <cell r="BG5">
            <v>445</v>
          </cell>
          <cell r="BH5">
            <v>205</v>
          </cell>
          <cell r="BI5">
            <v>0.15210646167041827</v>
          </cell>
          <cell r="BJ5">
            <v>2831</v>
          </cell>
          <cell r="BK5">
            <v>5095</v>
          </cell>
          <cell r="BL5">
            <v>2877</v>
          </cell>
          <cell r="BM5">
            <v>1861</v>
          </cell>
          <cell r="BN5">
            <v>0</v>
          </cell>
          <cell r="BO5">
            <v>331</v>
          </cell>
          <cell r="BP5">
            <v>494</v>
          </cell>
          <cell r="BQ5">
            <v>191</v>
          </cell>
          <cell r="BR5">
            <v>85</v>
          </cell>
          <cell r="BS5">
            <v>75</v>
          </cell>
          <cell r="BT5">
            <v>70</v>
          </cell>
          <cell r="BU5">
            <v>383</v>
          </cell>
          <cell r="BV5">
            <v>109</v>
          </cell>
          <cell r="BW5">
            <v>0.28459530026109658</v>
          </cell>
          <cell r="BX5">
            <v>46</v>
          </cell>
          <cell r="BY5">
            <v>8</v>
          </cell>
          <cell r="BZ5">
            <v>209</v>
          </cell>
          <cell r="CA5">
            <v>1.9179590713040286E-2</v>
          </cell>
          <cell r="CB5">
            <v>140</v>
          </cell>
          <cell r="CC5">
            <v>140</v>
          </cell>
          <cell r="CD5">
            <v>110</v>
          </cell>
          <cell r="CE5">
            <v>120</v>
          </cell>
          <cell r="CF5">
            <v>385</v>
          </cell>
          <cell r="CG5">
            <v>7.7374999999999985E-2</v>
          </cell>
          <cell r="CH5">
            <v>410</v>
          </cell>
          <cell r="CI5">
            <v>8.0249999999999988E-2</v>
          </cell>
          <cell r="CJ5">
            <v>445</v>
          </cell>
          <cell r="CK5">
            <v>9.5125000000000015E-2</v>
          </cell>
          <cell r="CL5">
            <v>360</v>
          </cell>
          <cell r="CM5">
            <v>8.9999999999999983E-2</v>
          </cell>
          <cell r="CN5">
            <v>350</v>
          </cell>
          <cell r="CO5">
            <v>8.3000000000000004E-2</v>
          </cell>
          <cell r="CP5">
            <v>310</v>
          </cell>
          <cell r="CQ5">
            <v>7.0857142857142855E-2</v>
          </cell>
          <cell r="CR5">
            <v>188</v>
          </cell>
          <cell r="CS5">
            <v>6</v>
          </cell>
          <cell r="CT5">
            <v>182</v>
          </cell>
          <cell r="CU5">
            <v>0.96200284090909094</v>
          </cell>
          <cell r="CV5">
            <v>87</v>
          </cell>
          <cell r="CW5">
            <v>109</v>
          </cell>
          <cell r="CX5">
            <v>0.48906351001939236</v>
          </cell>
          <cell r="CY5">
            <v>0.62833997089511795</v>
          </cell>
          <cell r="CZ5">
            <v>0.40665663560429499</v>
          </cell>
          <cell r="DA5">
            <v>0.55029595197566561</v>
          </cell>
          <cell r="DB5">
            <v>0.52635968482548634</v>
          </cell>
          <cell r="DC5">
            <v>0.66735367106469112</v>
          </cell>
          <cell r="DD5">
            <v>208</v>
          </cell>
          <cell r="DE5">
            <v>14</v>
          </cell>
          <cell r="DF5">
            <v>6.7307692307692304E-2</v>
          </cell>
          <cell r="DG5">
            <v>4.0513731011622561E-2</v>
          </cell>
          <cell r="DH5">
            <v>0.1097942351341602</v>
          </cell>
          <cell r="DI5" t="str">
            <v>No Sig diff</v>
          </cell>
          <cell r="DJ5">
            <v>258</v>
          </cell>
          <cell r="DK5">
            <v>21</v>
          </cell>
          <cell r="DL5">
            <v>8.1395348837209308E-2</v>
          </cell>
          <cell r="DM5">
            <v>5.3851900260729016E-2</v>
          </cell>
          <cell r="DN5">
            <v>0.12122144002372841</v>
          </cell>
          <cell r="DO5" t="str">
            <v>No Sig diff</v>
          </cell>
          <cell r="DP5">
            <v>129</v>
          </cell>
          <cell r="DQ5">
            <v>7</v>
          </cell>
          <cell r="DR5">
            <v>5.4263565891472867E-2</v>
          </cell>
          <cell r="DS5">
            <v>2.6530955330892243E-2</v>
          </cell>
          <cell r="DT5">
            <v>0.10777545005702245</v>
          </cell>
          <cell r="DU5" t="str">
            <v>No Sig diff</v>
          </cell>
          <cell r="DV5">
            <v>197</v>
          </cell>
          <cell r="DW5">
            <v>15</v>
          </cell>
          <cell r="DX5">
            <v>7.6142131979695438E-2</v>
          </cell>
          <cell r="DY5">
            <v>4.6683361087312907E-2</v>
          </cell>
          <cell r="DZ5">
            <v>0.12181501080963128</v>
          </cell>
          <cell r="EA5" t="str">
            <v>No Sig diff</v>
          </cell>
          <cell r="EB5">
            <v>207</v>
          </cell>
          <cell r="EC5">
            <v>34</v>
          </cell>
          <cell r="ED5">
            <v>0.16400000000000001</v>
          </cell>
          <cell r="EE5">
            <v>0.12</v>
          </cell>
          <cell r="EF5">
            <v>0.221</v>
          </cell>
          <cell r="EG5" t="str">
            <v>No Sig diff</v>
          </cell>
          <cell r="EH5">
            <v>213</v>
          </cell>
          <cell r="EI5">
            <v>31</v>
          </cell>
          <cell r="EJ5">
            <v>0.14599999999999999</v>
          </cell>
          <cell r="EK5">
            <v>0.104</v>
          </cell>
          <cell r="EL5">
            <v>0.19900000000000001</v>
          </cell>
          <cell r="EM5" t="str">
            <v>No Sig diff</v>
          </cell>
          <cell r="EN5">
            <v>205</v>
          </cell>
          <cell r="EO5">
            <v>27</v>
          </cell>
          <cell r="EP5">
            <v>0.13170731707317074</v>
          </cell>
          <cell r="EQ5">
            <v>9.2119520186502241E-2</v>
          </cell>
          <cell r="ER5">
            <v>0.18484396755831045</v>
          </cell>
          <cell r="ES5" t="str">
            <v>Sig better than Eng.</v>
          </cell>
          <cell r="ET5">
            <v>193</v>
          </cell>
          <cell r="EU5">
            <v>19</v>
          </cell>
          <cell r="EV5">
            <v>9.8445595854922283E-2</v>
          </cell>
          <cell r="EW5">
            <v>6.3932503429260476E-2</v>
          </cell>
          <cell r="EX5">
            <v>0.14863175549958713</v>
          </cell>
          <cell r="EY5" t="str">
            <v>Sig better than Eng.</v>
          </cell>
          <cell r="EZ5">
            <v>243</v>
          </cell>
          <cell r="FA5">
            <v>152</v>
          </cell>
          <cell r="FB5">
            <v>0.62551440329218111</v>
          </cell>
          <cell r="FC5">
            <v>0.56315198511017772</v>
          </cell>
          <cell r="FD5">
            <v>0.68397019724700259</v>
          </cell>
          <cell r="FE5">
            <v>243</v>
          </cell>
          <cell r="FF5">
            <v>34</v>
          </cell>
          <cell r="FG5">
            <v>48</v>
          </cell>
          <cell r="FH5">
            <v>26.041666666666671</v>
          </cell>
          <cell r="FI5">
            <v>0.23406862745098025</v>
          </cell>
          <cell r="FJ5">
            <v>294</v>
          </cell>
          <cell r="FK5">
            <v>196</v>
          </cell>
          <cell r="FL5">
            <v>0.66666666666666663</v>
          </cell>
          <cell r="FM5">
            <v>0.61093750591623186</v>
          </cell>
          <cell r="FN5">
            <v>0.71809660635286543</v>
          </cell>
          <cell r="FO5">
            <v>294</v>
          </cell>
          <cell r="FP5">
            <v>34</v>
          </cell>
          <cell r="FQ5">
            <v>58</v>
          </cell>
          <cell r="FR5">
            <v>26.586206896551726</v>
          </cell>
          <cell r="FS5">
            <v>0.21805273833671393</v>
          </cell>
          <cell r="FT5">
            <v>3760</v>
          </cell>
          <cell r="FU5">
            <v>3670</v>
          </cell>
          <cell r="FV5">
            <v>90</v>
          </cell>
          <cell r="FW5">
            <v>72</v>
          </cell>
          <cell r="FX5">
            <v>18</v>
          </cell>
          <cell r="FY5">
            <v>0.8</v>
          </cell>
          <cell r="FZ5">
            <v>0.2</v>
          </cell>
          <cell r="GA5">
            <v>0.94310290404040398</v>
          </cell>
          <cell r="GB5">
            <v>5.6897095959595953E-2</v>
          </cell>
          <cell r="GC5">
            <v>5.4117934063799819E-2</v>
          </cell>
          <cell r="GD5">
            <v>0.18113867504246287</v>
          </cell>
          <cell r="GE5">
            <v>0.96440972222222221</v>
          </cell>
          <cell r="GF5">
            <v>3.5590277777777776E-2</v>
          </cell>
          <cell r="GG5">
            <v>1.7614201033819141E-2</v>
          </cell>
          <cell r="GH5">
            <v>0.10993207132684676</v>
          </cell>
          <cell r="GI5">
            <v>0.9656723484848484</v>
          </cell>
          <cell r="GJ5">
            <v>3.4327651515151512E-2</v>
          </cell>
          <cell r="GK5">
            <v>1.7614201033819141E-2</v>
          </cell>
          <cell r="GL5">
            <v>0.10993207132684676</v>
          </cell>
          <cell r="GM5">
            <v>0.86806344696969695</v>
          </cell>
          <cell r="GN5">
            <v>0.13193655303030305</v>
          </cell>
          <cell r="GO5">
            <v>9.607722097921384E-2</v>
          </cell>
          <cell r="GP5">
            <v>0.24688972487264566</v>
          </cell>
          <cell r="GQ5">
            <v>58</v>
          </cell>
          <cell r="GR5">
            <v>56</v>
          </cell>
          <cell r="GS5">
            <v>56</v>
          </cell>
          <cell r="GT5">
            <v>56</v>
          </cell>
          <cell r="GU5">
            <v>56</v>
          </cell>
          <cell r="GV5">
            <v>62</v>
          </cell>
          <cell r="GW5">
            <v>58</v>
          </cell>
          <cell r="GX5">
            <v>57</v>
          </cell>
          <cell r="GY5">
            <v>58</v>
          </cell>
          <cell r="GZ5">
            <v>58</v>
          </cell>
          <cell r="HA5">
            <v>57</v>
          </cell>
          <cell r="HB5">
            <v>59</v>
          </cell>
          <cell r="HC5">
            <v>58</v>
          </cell>
          <cell r="HD5">
            <v>60</v>
          </cell>
          <cell r="HE5">
            <v>59</v>
          </cell>
          <cell r="HF5">
            <v>57</v>
          </cell>
          <cell r="HG5">
            <v>56</v>
          </cell>
          <cell r="HH5">
            <v>55</v>
          </cell>
          <cell r="HI5">
            <v>55</v>
          </cell>
          <cell r="HJ5">
            <v>55</v>
          </cell>
          <cell r="HK5">
            <v>58</v>
          </cell>
          <cell r="HL5">
            <v>54</v>
          </cell>
          <cell r="HM5">
            <v>59</v>
          </cell>
          <cell r="HN5">
            <v>14</v>
          </cell>
          <cell r="HO5">
            <v>1.0630220197418374E-2</v>
          </cell>
          <cell r="HP5">
            <v>2072</v>
          </cell>
          <cell r="HQ5">
            <v>1939</v>
          </cell>
          <cell r="HR5">
            <v>133</v>
          </cell>
          <cell r="HS5">
            <v>6.4189189189189186E-2</v>
          </cell>
        </row>
        <row r="6">
          <cell r="A6" t="str">
            <v>Bognor Nursery School</v>
          </cell>
          <cell r="C6" t="str">
            <v>Arun West</v>
          </cell>
          <cell r="D6" t="str">
            <v>Arun West South</v>
          </cell>
          <cell r="E6" t="str">
            <v>Arun</v>
          </cell>
          <cell r="F6" t="str">
            <v>Arch</v>
          </cell>
          <cell r="G6" t="str">
            <v>Aldwick East, Aldwick West, Bersted, Hotham, Marine, Pagham and Rose Green, Pevensey</v>
          </cell>
          <cell r="H6" t="str">
            <v>Bognor Regis/Felpham</v>
          </cell>
          <cell r="I6" t="str">
            <v>A</v>
          </cell>
          <cell r="J6" t="str">
            <v>Coastal West Sussex</v>
          </cell>
          <cell r="K6" t="str">
            <v>Bognor Regis and Littlehampton</v>
          </cell>
          <cell r="L6">
            <v>30475</v>
          </cell>
          <cell r="M6">
            <v>30680</v>
          </cell>
          <cell r="N6">
            <v>30925</v>
          </cell>
          <cell r="O6">
            <v>31290</v>
          </cell>
          <cell r="P6">
            <v>31455</v>
          </cell>
          <cell r="Q6">
            <v>31615</v>
          </cell>
          <cell r="R6">
            <v>31785</v>
          </cell>
          <cell r="S6">
            <v>31830</v>
          </cell>
          <cell r="T6">
            <v>32005</v>
          </cell>
          <cell r="U6">
            <v>32230</v>
          </cell>
          <cell r="V6">
            <v>1185</v>
          </cell>
          <cell r="W6">
            <v>1220</v>
          </cell>
          <cell r="X6">
            <v>1250</v>
          </cell>
          <cell r="Y6">
            <v>1320</v>
          </cell>
          <cell r="Z6">
            <v>1370</v>
          </cell>
          <cell r="AA6">
            <v>1485</v>
          </cell>
          <cell r="AB6">
            <v>1520</v>
          </cell>
          <cell r="AC6">
            <v>1605</v>
          </cell>
          <cell r="AD6">
            <v>1620</v>
          </cell>
          <cell r="AE6">
            <v>1640</v>
          </cell>
          <cell r="AF6">
            <v>0.82069408740359895</v>
          </cell>
          <cell r="AG6">
            <v>0.11632390745501285</v>
          </cell>
          <cell r="AH6">
            <v>3.4704370179948589E-2</v>
          </cell>
          <cell r="AI6">
            <v>2.570694087403599E-2</v>
          </cell>
          <cell r="AJ6">
            <v>1.2853470437017994E-3</v>
          </cell>
          <cell r="AK6">
            <v>1.2853470437017994E-3</v>
          </cell>
          <cell r="AL6">
            <v>0.17930591259640102</v>
          </cell>
          <cell r="AM6">
            <v>2780</v>
          </cell>
          <cell r="AN6">
            <v>0.54025880661394676</v>
          </cell>
          <cell r="AO6">
            <v>0.10639827462257369</v>
          </cell>
          <cell r="AP6">
            <v>0.35334291876347951</v>
          </cell>
          <cell r="AQ6">
            <v>315</v>
          </cell>
          <cell r="AR6">
            <v>328</v>
          </cell>
          <cell r="AS6">
            <v>344</v>
          </cell>
          <cell r="AT6">
            <v>357</v>
          </cell>
          <cell r="AU6">
            <v>338</v>
          </cell>
          <cell r="AV6">
            <v>33</v>
          </cell>
          <cell r="AW6">
            <v>20</v>
          </cell>
          <cell r="AX6">
            <v>22</v>
          </cell>
          <cell r="AY6">
            <v>18</v>
          </cell>
          <cell r="AZ6">
            <v>21</v>
          </cell>
          <cell r="BA6">
            <v>22</v>
          </cell>
          <cell r="BB6">
            <v>6.5088757396449703E-2</v>
          </cell>
          <cell r="BC6">
            <v>4.3373169178803433E-2</v>
          </cell>
          <cell r="BD6">
            <v>9.6579015046423536E-2</v>
          </cell>
          <cell r="BE6">
            <v>39</v>
          </cell>
          <cell r="BF6">
            <v>590</v>
          </cell>
          <cell r="BG6">
            <v>458</v>
          </cell>
          <cell r="BH6">
            <v>203</v>
          </cell>
          <cell r="BI6">
            <v>0.13043955261306833</v>
          </cell>
          <cell r="BJ6">
            <v>2956</v>
          </cell>
          <cell r="BK6">
            <v>4972</v>
          </cell>
          <cell r="BL6">
            <v>2979</v>
          </cell>
          <cell r="BM6">
            <v>1514</v>
          </cell>
          <cell r="BN6">
            <v>2</v>
          </cell>
          <cell r="BO6">
            <v>478</v>
          </cell>
          <cell r="BP6">
            <v>708</v>
          </cell>
          <cell r="BQ6">
            <v>277</v>
          </cell>
          <cell r="BR6">
            <v>225</v>
          </cell>
          <cell r="BS6">
            <v>215</v>
          </cell>
          <cell r="BT6">
            <v>190</v>
          </cell>
          <cell r="BU6">
            <v>702</v>
          </cell>
          <cell r="BV6">
            <v>263</v>
          </cell>
          <cell r="BW6">
            <v>0.37464387464387466</v>
          </cell>
          <cell r="BX6">
            <v>63</v>
          </cell>
          <cell r="BY6">
            <v>2</v>
          </cell>
          <cell r="BZ6">
            <v>766</v>
          </cell>
          <cell r="CA6">
            <v>5.2176282269600166E-2</v>
          </cell>
          <cell r="CB6">
            <v>285</v>
          </cell>
          <cell r="CC6">
            <v>275</v>
          </cell>
          <cell r="CD6">
            <v>300</v>
          </cell>
          <cell r="CE6">
            <v>275</v>
          </cell>
          <cell r="CF6">
            <v>780</v>
          </cell>
          <cell r="CG6">
            <v>0.16229999999999997</v>
          </cell>
          <cell r="CH6">
            <v>785</v>
          </cell>
          <cell r="CI6">
            <v>0.15945000000000004</v>
          </cell>
          <cell r="CJ6">
            <v>795</v>
          </cell>
          <cell r="CK6">
            <v>0.16625000000000004</v>
          </cell>
          <cell r="CL6">
            <v>740</v>
          </cell>
          <cell r="CM6">
            <v>0.16325000000000003</v>
          </cell>
          <cell r="CN6">
            <v>745</v>
          </cell>
          <cell r="CO6">
            <v>0.16159999999999999</v>
          </cell>
          <cell r="CP6">
            <v>650</v>
          </cell>
          <cell r="CQ6">
            <v>0.14541387024608501</v>
          </cell>
          <cell r="CR6">
            <v>340</v>
          </cell>
          <cell r="CS6">
            <v>7</v>
          </cell>
          <cell r="CT6">
            <v>333</v>
          </cell>
          <cell r="CU6">
            <v>0.98093690478792794</v>
          </cell>
          <cell r="CV6">
            <v>123</v>
          </cell>
          <cell r="CW6">
            <v>149</v>
          </cell>
          <cell r="CX6">
            <v>0.36648709844905497</v>
          </cell>
          <cell r="CY6">
            <v>0.45325752307274042</v>
          </cell>
          <cell r="CZ6">
            <v>0.31929566467294879</v>
          </cell>
          <cell r="DA6">
            <v>0.42242269790459519</v>
          </cell>
          <cell r="DB6">
            <v>0.39494261979372203</v>
          </cell>
          <cell r="DC6">
            <v>0.50115097434666911</v>
          </cell>
          <cell r="DD6">
            <v>269</v>
          </cell>
          <cell r="DE6">
            <v>33</v>
          </cell>
          <cell r="DF6">
            <v>0.12267657992565056</v>
          </cell>
          <cell r="DG6">
            <v>8.8701014841697901E-2</v>
          </cell>
          <cell r="DH6">
            <v>0.1672771606253689</v>
          </cell>
          <cell r="DI6" t="str">
            <v>No Sig diff</v>
          </cell>
          <cell r="DJ6">
            <v>228</v>
          </cell>
          <cell r="DK6">
            <v>23</v>
          </cell>
          <cell r="DL6">
            <v>0.10087719298245613</v>
          </cell>
          <cell r="DM6">
            <v>6.8163691398398854E-2</v>
          </cell>
          <cell r="DN6">
            <v>0.14681709363557319</v>
          </cell>
          <cell r="DO6" t="str">
            <v>No Sig diff</v>
          </cell>
          <cell r="DP6">
            <v>261</v>
          </cell>
          <cell r="DQ6">
            <v>37</v>
          </cell>
          <cell r="DR6">
            <v>0.1417624521072797</v>
          </cell>
          <cell r="DS6">
            <v>0.10462973464394934</v>
          </cell>
          <cell r="DT6">
            <v>0.18928746082579473</v>
          </cell>
          <cell r="DU6" t="str">
            <v>Sig worse than Eng.</v>
          </cell>
          <cell r="DV6">
            <v>297</v>
          </cell>
          <cell r="DW6">
            <v>28</v>
          </cell>
          <cell r="DX6">
            <v>9.4276094276094277E-2</v>
          </cell>
          <cell r="DY6">
            <v>6.6032790014041221E-2</v>
          </cell>
          <cell r="DZ6">
            <v>0.13288081403266863</v>
          </cell>
          <cell r="EA6" t="str">
            <v>No Sig diff</v>
          </cell>
          <cell r="EB6">
            <v>205</v>
          </cell>
          <cell r="EC6">
            <v>42</v>
          </cell>
          <cell r="ED6">
            <v>0.20487804878048779</v>
          </cell>
          <cell r="EE6">
            <v>0.15529811076434766</v>
          </cell>
          <cell r="EF6">
            <v>0.2653150151768599</v>
          </cell>
          <cell r="EG6" t="str">
            <v>No Sig diff</v>
          </cell>
          <cell r="EH6">
            <v>218</v>
          </cell>
          <cell r="EI6">
            <v>44</v>
          </cell>
          <cell r="EJ6">
            <v>0.20183486238532111</v>
          </cell>
          <cell r="EK6">
            <v>0.15392950781363002</v>
          </cell>
          <cell r="EL6">
            <v>0.26006641210558595</v>
          </cell>
          <cell r="EM6" t="str">
            <v>No Sig diff</v>
          </cell>
          <cell r="EN6">
            <v>200</v>
          </cell>
          <cell r="EO6">
            <v>37</v>
          </cell>
          <cell r="EP6">
            <v>0.185</v>
          </cell>
          <cell r="EQ6">
            <v>0.13730192800616048</v>
          </cell>
          <cell r="ER6">
            <v>0.24457062761151749</v>
          </cell>
          <cell r="ES6" t="str">
            <v>No Sig diff</v>
          </cell>
          <cell r="ET6">
            <v>189</v>
          </cell>
          <cell r="EU6">
            <v>36</v>
          </cell>
          <cell r="EV6">
            <v>0.19047619047619047</v>
          </cell>
          <cell r="EW6">
            <v>0.14087796358983723</v>
          </cell>
          <cell r="EX6">
            <v>0.25240602878657525</v>
          </cell>
          <cell r="EY6" t="str">
            <v>No Sig diff</v>
          </cell>
          <cell r="EZ6">
            <v>314</v>
          </cell>
          <cell r="FA6">
            <v>104</v>
          </cell>
          <cell r="FB6">
            <v>0.33121019108280253</v>
          </cell>
          <cell r="FC6">
            <v>0.28146844278901645</v>
          </cell>
          <cell r="FD6">
            <v>0.38503195526069667</v>
          </cell>
          <cell r="FE6">
            <v>314</v>
          </cell>
          <cell r="FF6">
            <v>31.5</v>
          </cell>
          <cell r="FG6">
            <v>62</v>
          </cell>
          <cell r="FH6">
            <v>20.790322580645157</v>
          </cell>
          <cell r="FI6">
            <v>0.33998975934459819</v>
          </cell>
          <cell r="FJ6">
            <v>308</v>
          </cell>
          <cell r="FK6">
            <v>163</v>
          </cell>
          <cell r="FL6">
            <v>0.52922077922077926</v>
          </cell>
          <cell r="FM6">
            <v>0.47345984299613758</v>
          </cell>
          <cell r="FN6">
            <v>0.58426179564700975</v>
          </cell>
          <cell r="FO6">
            <v>308</v>
          </cell>
          <cell r="FP6">
            <v>34</v>
          </cell>
          <cell r="FQ6">
            <v>61</v>
          </cell>
          <cell r="FR6">
            <v>23.983606557377048</v>
          </cell>
          <cell r="FS6">
            <v>0.29459980713596917</v>
          </cell>
          <cell r="FT6">
            <v>3362</v>
          </cell>
          <cell r="FU6">
            <v>3150</v>
          </cell>
          <cell r="FV6">
            <v>212</v>
          </cell>
          <cell r="FW6">
            <v>153</v>
          </cell>
          <cell r="FX6">
            <v>59</v>
          </cell>
          <cell r="FY6">
            <v>0.72169811320754718</v>
          </cell>
          <cell r="FZ6">
            <v>0.27830188679245282</v>
          </cell>
          <cell r="GA6">
            <v>0.86148268398268379</v>
          </cell>
          <cell r="GB6">
            <v>0.13851731601731601</v>
          </cell>
          <cell r="GC6">
            <v>0.10424930622012753</v>
          </cell>
          <cell r="GD6">
            <v>0.21607377511371989</v>
          </cell>
          <cell r="GE6">
            <v>0.86108405483405481</v>
          </cell>
          <cell r="GF6">
            <v>0.13891594516594516</v>
          </cell>
          <cell r="GG6">
            <v>0.13636267428550469</v>
          </cell>
          <cell r="GH6">
            <v>0.25810697999374121</v>
          </cell>
          <cell r="GI6">
            <v>0.89908189033189034</v>
          </cell>
          <cell r="GJ6">
            <v>0.10091810966810966</v>
          </cell>
          <cell r="GK6">
            <v>8.3456724788453618E-2</v>
          </cell>
          <cell r="GL6">
            <v>0.18743530791512816</v>
          </cell>
          <cell r="GM6">
            <v>0.78010010822510822</v>
          </cell>
          <cell r="GN6">
            <v>0.21989989177489172</v>
          </cell>
          <cell r="GO6">
            <v>0.20309234864592962</v>
          </cell>
          <cell r="GP6">
            <v>0.33967045152411318</v>
          </cell>
          <cell r="GQ6">
            <v>71</v>
          </cell>
          <cell r="GR6">
            <v>70</v>
          </cell>
          <cell r="GS6">
            <v>70</v>
          </cell>
          <cell r="GT6">
            <v>70</v>
          </cell>
          <cell r="GU6">
            <v>70</v>
          </cell>
          <cell r="GV6">
            <v>83</v>
          </cell>
          <cell r="GW6">
            <v>78</v>
          </cell>
          <cell r="GX6">
            <v>81</v>
          </cell>
          <cell r="GY6">
            <v>78</v>
          </cell>
          <cell r="GZ6">
            <v>80</v>
          </cell>
          <cell r="HA6">
            <v>82</v>
          </cell>
          <cell r="HB6">
            <v>78</v>
          </cell>
          <cell r="HC6">
            <v>81</v>
          </cell>
          <cell r="HD6">
            <v>94</v>
          </cell>
          <cell r="HE6">
            <v>89</v>
          </cell>
          <cell r="HF6">
            <v>84</v>
          </cell>
          <cell r="HG6">
            <v>85</v>
          </cell>
          <cell r="HH6">
            <v>85</v>
          </cell>
          <cell r="HI6">
            <v>85</v>
          </cell>
          <cell r="HJ6">
            <v>85</v>
          </cell>
          <cell r="HK6">
            <v>91</v>
          </cell>
          <cell r="HL6">
            <v>83</v>
          </cell>
          <cell r="HM6">
            <v>87</v>
          </cell>
          <cell r="HN6">
            <v>33</v>
          </cell>
          <cell r="HO6">
            <v>2.1249195106245976E-2</v>
          </cell>
          <cell r="HP6">
            <v>2484</v>
          </cell>
          <cell r="HQ6">
            <v>2170</v>
          </cell>
          <cell r="HR6">
            <v>314</v>
          </cell>
          <cell r="HS6">
            <v>0.12640901771336555</v>
          </cell>
        </row>
        <row r="7">
          <cell r="A7" t="str">
            <v>Boundstone Nursery School</v>
          </cell>
          <cell r="C7" t="str">
            <v>Adur</v>
          </cell>
          <cell r="D7" t="str">
            <v>Adur West</v>
          </cell>
          <cell r="E7" t="str">
            <v>Adur</v>
          </cell>
          <cell r="F7" t="str">
            <v>Adur</v>
          </cell>
          <cell r="G7" t="str">
            <v>Churchill, Cokeham, Manor, Peverel</v>
          </cell>
          <cell r="H7" t="str">
            <v>Lancing</v>
          </cell>
          <cell r="I7" t="str">
            <v>B</v>
          </cell>
          <cell r="J7" t="str">
            <v>Coastal West Sussex</v>
          </cell>
          <cell r="K7" t="str">
            <v>East Worthing and Shoreham</v>
          </cell>
          <cell r="L7">
            <v>15885</v>
          </cell>
          <cell r="M7">
            <v>15800</v>
          </cell>
          <cell r="N7">
            <v>15880</v>
          </cell>
          <cell r="O7">
            <v>15870</v>
          </cell>
          <cell r="P7">
            <v>15825</v>
          </cell>
          <cell r="Q7">
            <v>15785</v>
          </cell>
          <cell r="R7">
            <v>15830</v>
          </cell>
          <cell r="S7">
            <v>15875</v>
          </cell>
          <cell r="T7">
            <v>16025</v>
          </cell>
          <cell r="U7">
            <v>16035</v>
          </cell>
          <cell r="V7">
            <v>785</v>
          </cell>
          <cell r="W7">
            <v>785</v>
          </cell>
          <cell r="X7">
            <v>780</v>
          </cell>
          <cell r="Y7">
            <v>805</v>
          </cell>
          <cell r="Z7">
            <v>795</v>
          </cell>
          <cell r="AA7">
            <v>830</v>
          </cell>
          <cell r="AB7">
            <v>875</v>
          </cell>
          <cell r="AC7">
            <v>875</v>
          </cell>
          <cell r="AD7">
            <v>900</v>
          </cell>
          <cell r="AE7">
            <v>890</v>
          </cell>
          <cell r="AF7">
            <v>0.90700344431687718</v>
          </cell>
          <cell r="AG7">
            <v>3.0998851894374284E-2</v>
          </cell>
          <cell r="AH7">
            <v>3.9035591274397242E-2</v>
          </cell>
          <cell r="AI7">
            <v>1.6073478760045924E-2</v>
          </cell>
          <cell r="AJ7">
            <v>2.2962112514351321E-3</v>
          </cell>
          <cell r="AK7">
            <v>4.5924225028702642E-3</v>
          </cell>
          <cell r="AL7">
            <v>9.2996555683122845E-2</v>
          </cell>
          <cell r="AM7">
            <v>1630</v>
          </cell>
          <cell r="AN7">
            <v>0.62208588957055211</v>
          </cell>
          <cell r="AO7">
            <v>0.2</v>
          </cell>
          <cell r="AP7">
            <v>0.17791411042944785</v>
          </cell>
          <cell r="AQ7">
            <v>174</v>
          </cell>
          <cell r="AR7">
            <v>177</v>
          </cell>
          <cell r="AS7">
            <v>160</v>
          </cell>
          <cell r="AT7">
            <v>182</v>
          </cell>
          <cell r="AU7">
            <v>172</v>
          </cell>
          <cell r="AV7">
            <v>11</v>
          </cell>
          <cell r="AW7">
            <v>14</v>
          </cell>
          <cell r="AX7">
            <v>8</v>
          </cell>
          <cell r="AY7">
            <v>8</v>
          </cell>
          <cell r="AZ7">
            <v>3</v>
          </cell>
          <cell r="BA7">
            <v>13</v>
          </cell>
          <cell r="BB7">
            <v>7.5581395348837205E-2</v>
          </cell>
          <cell r="BC7">
            <v>4.4699432822978308E-2</v>
          </cell>
          <cell r="BD7">
            <v>0.12500718256130097</v>
          </cell>
          <cell r="BE7">
            <v>13</v>
          </cell>
          <cell r="BF7">
            <v>273</v>
          </cell>
          <cell r="BG7">
            <v>263</v>
          </cell>
          <cell r="BH7">
            <v>144</v>
          </cell>
          <cell r="BI7">
            <v>0.1399705626162511</v>
          </cell>
          <cell r="BJ7">
            <v>1701</v>
          </cell>
          <cell r="BK7">
            <v>2988</v>
          </cell>
          <cell r="BL7">
            <v>1715</v>
          </cell>
          <cell r="BM7">
            <v>881</v>
          </cell>
          <cell r="BN7">
            <v>2</v>
          </cell>
          <cell r="BO7">
            <v>268</v>
          </cell>
          <cell r="BP7">
            <v>414</v>
          </cell>
          <cell r="BQ7">
            <v>150</v>
          </cell>
          <cell r="BR7">
            <v>130</v>
          </cell>
          <cell r="BS7">
            <v>130</v>
          </cell>
          <cell r="BT7">
            <v>120</v>
          </cell>
          <cell r="BU7">
            <v>414</v>
          </cell>
          <cell r="BV7">
            <v>173</v>
          </cell>
          <cell r="BW7">
            <v>0.41787439613526572</v>
          </cell>
          <cell r="BX7">
            <v>48</v>
          </cell>
          <cell r="BY7">
            <v>2</v>
          </cell>
          <cell r="BZ7">
            <v>348</v>
          </cell>
          <cell r="CA7">
            <v>4.912478825522304E-2</v>
          </cell>
          <cell r="CB7">
            <v>190</v>
          </cell>
          <cell r="CC7">
            <v>160</v>
          </cell>
          <cell r="CD7">
            <v>155</v>
          </cell>
          <cell r="CE7">
            <v>160</v>
          </cell>
          <cell r="CF7">
            <v>465</v>
          </cell>
          <cell r="CG7">
            <v>0.17127272727272727</v>
          </cell>
          <cell r="CH7">
            <v>480</v>
          </cell>
          <cell r="CI7">
            <v>0.18736363636363637</v>
          </cell>
          <cell r="CJ7">
            <v>525</v>
          </cell>
          <cell r="CK7">
            <v>0.1861818181818182</v>
          </cell>
          <cell r="CL7">
            <v>510</v>
          </cell>
          <cell r="CM7">
            <v>0.17681818181818182</v>
          </cell>
          <cell r="CN7">
            <v>505</v>
          </cell>
          <cell r="CO7">
            <v>0.16472727272727272</v>
          </cell>
          <cell r="CP7">
            <v>380</v>
          </cell>
          <cell r="CQ7">
            <v>0.14258911819887429</v>
          </cell>
          <cell r="CR7">
            <v>191</v>
          </cell>
          <cell r="CS7">
            <v>12</v>
          </cell>
          <cell r="CT7">
            <v>179</v>
          </cell>
          <cell r="CU7">
            <v>0.92896194714376534</v>
          </cell>
          <cell r="CV7">
            <v>63</v>
          </cell>
          <cell r="CW7">
            <v>77</v>
          </cell>
          <cell r="CX7">
            <v>0.34698049701106859</v>
          </cell>
          <cell r="CY7">
            <v>0.42505038540734452</v>
          </cell>
          <cell r="CZ7">
            <v>0.28577066576321652</v>
          </cell>
          <cell r="DA7">
            <v>0.42436094542373431</v>
          </cell>
          <cell r="DB7">
            <v>0.35985509909603769</v>
          </cell>
          <cell r="DC7">
            <v>0.50341452882233539</v>
          </cell>
          <cell r="DD7">
            <v>134</v>
          </cell>
          <cell r="DE7">
            <v>10</v>
          </cell>
          <cell r="DF7">
            <v>7.4626865671641784E-2</v>
          </cell>
          <cell r="DG7">
            <v>4.10383252681309E-2</v>
          </cell>
          <cell r="DH7">
            <v>0.13192457736414165</v>
          </cell>
          <cell r="DI7" t="str">
            <v>No Sig diff</v>
          </cell>
          <cell r="DJ7">
            <v>133</v>
          </cell>
          <cell r="DK7">
            <v>16</v>
          </cell>
          <cell r="DL7">
            <v>0.12030075187969924</v>
          </cell>
          <cell r="DM7">
            <v>7.5421813311987967E-2</v>
          </cell>
          <cell r="DN7">
            <v>0.18649777691729955</v>
          </cell>
          <cell r="DO7" t="str">
            <v>No Sig diff</v>
          </cell>
          <cell r="DP7">
            <v>145</v>
          </cell>
          <cell r="DQ7">
            <v>17</v>
          </cell>
          <cell r="DR7">
            <v>0.11724137931034483</v>
          </cell>
          <cell r="DS7">
            <v>7.4501409163335197E-2</v>
          </cell>
          <cell r="DT7">
            <v>0.17973863336594997</v>
          </cell>
          <cell r="DU7" t="str">
            <v>No Sig diff</v>
          </cell>
          <cell r="DV7">
            <v>157</v>
          </cell>
          <cell r="DW7">
            <v>12</v>
          </cell>
          <cell r="DX7">
            <v>7.6433121019108277E-2</v>
          </cell>
          <cell r="DY7">
            <v>4.42610640242889E-2</v>
          </cell>
          <cell r="DZ7">
            <v>0.12883770680774978</v>
          </cell>
          <cell r="EA7" t="str">
            <v>No Sig diff</v>
          </cell>
          <cell r="EB7">
            <v>134</v>
          </cell>
          <cell r="EC7">
            <v>21</v>
          </cell>
          <cell r="ED7">
            <v>0.15671641791044777</v>
          </cell>
          <cell r="EE7">
            <v>0.10484592586579597</v>
          </cell>
          <cell r="EF7">
            <v>0.22772062713568716</v>
          </cell>
          <cell r="EG7" t="str">
            <v>No Sig diff</v>
          </cell>
          <cell r="EH7">
            <v>141</v>
          </cell>
          <cell r="EI7">
            <v>16</v>
          </cell>
          <cell r="EJ7">
            <v>0.11347517730496454</v>
          </cell>
          <cell r="EK7">
            <v>7.1065842891182035E-2</v>
          </cell>
          <cell r="EL7">
            <v>0.17638719377744136</v>
          </cell>
          <cell r="EM7" t="str">
            <v>Sig better than Eng.</v>
          </cell>
          <cell r="EN7">
            <v>124</v>
          </cell>
          <cell r="EO7">
            <v>23</v>
          </cell>
          <cell r="EP7">
            <v>0.18548387096774194</v>
          </cell>
          <cell r="EQ7">
            <v>0.12689752251284481</v>
          </cell>
          <cell r="ER7">
            <v>0.26297176778209758</v>
          </cell>
          <cell r="ES7" t="str">
            <v>No Sig diff</v>
          </cell>
          <cell r="ET7">
            <v>120</v>
          </cell>
          <cell r="EU7">
            <v>21</v>
          </cell>
          <cell r="EV7">
            <v>0.17499999999999999</v>
          </cell>
          <cell r="EW7">
            <v>0.1174053594456646</v>
          </cell>
          <cell r="EX7">
            <v>0.2527570987264926</v>
          </cell>
          <cell r="EY7" t="str">
            <v>No Sig diff</v>
          </cell>
          <cell r="EZ7">
            <v>176</v>
          </cell>
          <cell r="FA7">
            <v>88</v>
          </cell>
          <cell r="FB7">
            <v>0.5</v>
          </cell>
          <cell r="FC7">
            <v>0.42692426588174481</v>
          </cell>
          <cell r="FD7">
            <v>0.57307573411825519</v>
          </cell>
          <cell r="FE7">
            <v>176</v>
          </cell>
          <cell r="FF7">
            <v>34</v>
          </cell>
          <cell r="FG7">
            <v>35</v>
          </cell>
          <cell r="FH7">
            <v>20.428571428571427</v>
          </cell>
          <cell r="FI7">
            <v>0.39915966386554624</v>
          </cell>
          <cell r="FJ7">
            <v>166</v>
          </cell>
          <cell r="FK7">
            <v>94</v>
          </cell>
          <cell r="FL7">
            <v>0.5662650602409639</v>
          </cell>
          <cell r="FM7">
            <v>0.49021826324741552</v>
          </cell>
          <cell r="FN7">
            <v>0.63931430290432689</v>
          </cell>
          <cell r="FO7">
            <v>166</v>
          </cell>
          <cell r="FP7">
            <v>34</v>
          </cell>
          <cell r="FQ7">
            <v>33</v>
          </cell>
          <cell r="FR7">
            <v>21.151515151515156</v>
          </cell>
          <cell r="FS7">
            <v>0.3778966131907307</v>
          </cell>
          <cell r="FT7">
            <v>2109</v>
          </cell>
          <cell r="FU7">
            <v>2086</v>
          </cell>
          <cell r="FV7">
            <v>23</v>
          </cell>
          <cell r="FW7">
            <v>19</v>
          </cell>
          <cell r="FX7">
            <v>4</v>
          </cell>
          <cell r="FY7">
            <v>0.82608695652173914</v>
          </cell>
          <cell r="FZ7">
            <v>0.17391304347826086</v>
          </cell>
          <cell r="GA7">
            <v>0.83149350649350662</v>
          </cell>
          <cell r="GB7">
            <v>0.16850649350649349</v>
          </cell>
          <cell r="GC7">
            <v>0.10610728809302103</v>
          </cell>
          <cell r="GD7">
            <v>0.26237061298884162</v>
          </cell>
          <cell r="GE7">
            <v>0.86493506493506489</v>
          </cell>
          <cell r="GF7">
            <v>0.13506493506493505</v>
          </cell>
          <cell r="GG7">
            <v>7.9758668273817196E-2</v>
          </cell>
          <cell r="GH7">
            <v>0.2233893605061692</v>
          </cell>
          <cell r="GI7">
            <v>0.87402597402597404</v>
          </cell>
          <cell r="GJ7">
            <v>0.12597402597402596</v>
          </cell>
          <cell r="GK7">
            <v>7.1252008979545867E-2</v>
          </cell>
          <cell r="GL7">
            <v>0.21011939569981511</v>
          </cell>
          <cell r="GM7">
            <v>0.7033549783549784</v>
          </cell>
          <cell r="GN7">
            <v>0.29664502164502166</v>
          </cell>
          <cell r="GO7">
            <v>0.24027691667974599</v>
          </cell>
          <cell r="GP7">
            <v>0.43307372181087261</v>
          </cell>
          <cell r="GQ7">
            <v>43</v>
          </cell>
          <cell r="GR7">
            <v>43</v>
          </cell>
          <cell r="GS7">
            <v>43</v>
          </cell>
          <cell r="GT7">
            <v>43</v>
          </cell>
          <cell r="GU7">
            <v>43</v>
          </cell>
          <cell r="GV7">
            <v>48</v>
          </cell>
          <cell r="GW7">
            <v>47</v>
          </cell>
          <cell r="GX7">
            <v>48</v>
          </cell>
          <cell r="GY7">
            <v>48</v>
          </cell>
          <cell r="GZ7">
            <v>48</v>
          </cell>
          <cell r="HA7">
            <v>48</v>
          </cell>
          <cell r="HB7">
            <v>47</v>
          </cell>
          <cell r="HC7">
            <v>48</v>
          </cell>
          <cell r="HD7">
            <v>51</v>
          </cell>
          <cell r="HE7">
            <v>50</v>
          </cell>
          <cell r="HF7">
            <v>49</v>
          </cell>
          <cell r="HG7">
            <v>47</v>
          </cell>
          <cell r="HH7">
            <v>49</v>
          </cell>
          <cell r="HI7">
            <v>50</v>
          </cell>
          <cell r="HJ7">
            <v>49</v>
          </cell>
          <cell r="HK7">
            <v>49</v>
          </cell>
          <cell r="HL7">
            <v>49</v>
          </cell>
          <cell r="HM7">
            <v>49</v>
          </cell>
          <cell r="HN7">
            <v>19</v>
          </cell>
          <cell r="HO7">
            <v>2.1814006888633754E-2</v>
          </cell>
          <cell r="HP7">
            <v>1364</v>
          </cell>
          <cell r="HQ7">
            <v>1181</v>
          </cell>
          <cell r="HR7">
            <v>183</v>
          </cell>
          <cell r="HS7">
            <v>0.13416422287390029</v>
          </cell>
        </row>
        <row r="8">
          <cell r="A8" t="str">
            <v>Broadfield</v>
          </cell>
          <cell r="C8" t="str">
            <v>Crawley</v>
          </cell>
          <cell r="D8" t="str">
            <v>Crawley</v>
          </cell>
          <cell r="E8" t="str">
            <v>Crawley</v>
          </cell>
          <cell r="F8" t="str">
            <v>Crawley</v>
          </cell>
          <cell r="G8" t="str">
            <v>Broadfield North, Broadfield South</v>
          </cell>
          <cell r="H8" t="str">
            <v>Crawley SW</v>
          </cell>
          <cell r="I8" t="str">
            <v>C1</v>
          </cell>
          <cell r="J8" t="str">
            <v>Crawley</v>
          </cell>
          <cell r="K8" t="str">
            <v>Crawley</v>
          </cell>
          <cell r="L8">
            <v>12445</v>
          </cell>
          <cell r="M8">
            <v>12395</v>
          </cell>
          <cell r="N8">
            <v>12545</v>
          </cell>
          <cell r="O8">
            <v>12795</v>
          </cell>
          <cell r="P8">
            <v>12885</v>
          </cell>
          <cell r="Q8">
            <v>12975</v>
          </cell>
          <cell r="R8">
            <v>13115</v>
          </cell>
          <cell r="S8">
            <v>13335</v>
          </cell>
          <cell r="T8">
            <v>13525</v>
          </cell>
          <cell r="U8">
            <v>13620</v>
          </cell>
          <cell r="V8">
            <v>990</v>
          </cell>
          <cell r="W8">
            <v>960</v>
          </cell>
          <cell r="X8">
            <v>985</v>
          </cell>
          <cell r="Y8">
            <v>1050</v>
          </cell>
          <cell r="Z8">
            <v>1105</v>
          </cell>
          <cell r="AA8">
            <v>1125</v>
          </cell>
          <cell r="AB8">
            <v>1140</v>
          </cell>
          <cell r="AC8">
            <v>1215</v>
          </cell>
          <cell r="AD8">
            <v>1225</v>
          </cell>
          <cell r="AE8">
            <v>1240</v>
          </cell>
          <cell r="AF8">
            <v>0.59493670886075944</v>
          </cell>
          <cell r="AG8">
            <v>7.4261603375527424E-2</v>
          </cell>
          <cell r="AH8">
            <v>8.6919831223628688E-2</v>
          </cell>
          <cell r="AI8">
            <v>0.15274261603375527</v>
          </cell>
          <cell r="AJ8">
            <v>8.1012658227848103E-2</v>
          </cell>
          <cell r="AK8">
            <v>1.0126582278481013E-2</v>
          </cell>
          <cell r="AL8">
            <v>0.4050632911392405</v>
          </cell>
          <cell r="AM8">
            <v>2080</v>
          </cell>
          <cell r="AN8">
            <v>0.36184526669870254</v>
          </cell>
          <cell r="AO8">
            <v>0.45218644882268139</v>
          </cell>
          <cell r="AP8">
            <v>0.18596828447861605</v>
          </cell>
          <cell r="AQ8">
            <v>271</v>
          </cell>
          <cell r="AR8">
            <v>217</v>
          </cell>
          <cell r="AS8">
            <v>257</v>
          </cell>
          <cell r="AT8">
            <v>242</v>
          </cell>
          <cell r="AU8">
            <v>230</v>
          </cell>
          <cell r="AV8">
            <v>16</v>
          </cell>
          <cell r="AW8">
            <v>13</v>
          </cell>
          <cell r="AX8">
            <v>15</v>
          </cell>
          <cell r="AY8">
            <v>17</v>
          </cell>
          <cell r="AZ8">
            <v>13</v>
          </cell>
          <cell r="BA8">
            <v>23</v>
          </cell>
          <cell r="BB8">
            <v>0.1</v>
          </cell>
          <cell r="BC8">
            <v>6.7562529376324273E-2</v>
          </cell>
          <cell r="BD8">
            <v>0.14557956729059632</v>
          </cell>
          <cell r="BE8">
            <v>33</v>
          </cell>
          <cell r="BF8">
            <v>371</v>
          </cell>
          <cell r="BG8">
            <v>307</v>
          </cell>
          <cell r="BH8">
            <v>237</v>
          </cell>
          <cell r="BI8">
            <v>0.20270331436266686</v>
          </cell>
          <cell r="BJ8">
            <v>1922</v>
          </cell>
          <cell r="BK8">
            <v>3554</v>
          </cell>
          <cell r="BL8">
            <v>1924</v>
          </cell>
          <cell r="BM8">
            <v>855</v>
          </cell>
          <cell r="BN8">
            <v>0</v>
          </cell>
          <cell r="BO8">
            <v>292</v>
          </cell>
          <cell r="BP8">
            <v>551</v>
          </cell>
          <cell r="BQ8">
            <v>226</v>
          </cell>
          <cell r="BR8">
            <v>220</v>
          </cell>
          <cell r="BS8">
            <v>215</v>
          </cell>
          <cell r="BT8">
            <v>180</v>
          </cell>
          <cell r="BU8">
            <v>554</v>
          </cell>
          <cell r="BV8">
            <v>274</v>
          </cell>
          <cell r="BW8">
            <v>0.49458483754512633</v>
          </cell>
          <cell r="BX8">
            <v>38</v>
          </cell>
          <cell r="BY8">
            <v>1</v>
          </cell>
          <cell r="BZ8">
            <v>354</v>
          </cell>
          <cell r="CA8">
            <v>6.9019302008188732E-2</v>
          </cell>
          <cell r="CB8">
            <v>300</v>
          </cell>
          <cell r="CC8">
            <v>305</v>
          </cell>
          <cell r="CD8">
            <v>310</v>
          </cell>
          <cell r="CE8">
            <v>285</v>
          </cell>
          <cell r="CF8">
            <v>865</v>
          </cell>
          <cell r="CG8">
            <v>0.29162500000000002</v>
          </cell>
          <cell r="CH8">
            <v>835</v>
          </cell>
          <cell r="CI8">
            <v>0.29075000000000001</v>
          </cell>
          <cell r="CJ8">
            <v>920</v>
          </cell>
          <cell r="CK8">
            <v>0.28887499999999999</v>
          </cell>
          <cell r="CL8">
            <v>900</v>
          </cell>
          <cell r="CM8">
            <v>0.26974999999999999</v>
          </cell>
          <cell r="CN8">
            <v>920</v>
          </cell>
          <cell r="CO8">
            <v>0.27224999999999999</v>
          </cell>
          <cell r="CP8">
            <v>835</v>
          </cell>
          <cell r="CQ8">
            <v>0.25692307692307692</v>
          </cell>
          <cell r="CR8">
            <v>225</v>
          </cell>
          <cell r="CS8">
            <v>5</v>
          </cell>
          <cell r="CT8">
            <v>220</v>
          </cell>
          <cell r="CU8">
            <v>0.97474614845938379</v>
          </cell>
          <cell r="CV8">
            <v>62</v>
          </cell>
          <cell r="CW8">
            <v>96</v>
          </cell>
          <cell r="CX8">
            <v>0.28009202635524344</v>
          </cell>
          <cell r="CY8">
            <v>0.4366472866418617</v>
          </cell>
          <cell r="CZ8">
            <v>0.22650690611361948</v>
          </cell>
          <cell r="DA8">
            <v>0.34461838963122865</v>
          </cell>
          <cell r="DB8">
            <v>0.37247710485794949</v>
          </cell>
          <cell r="DC8">
            <v>0.50243443973429791</v>
          </cell>
          <cell r="DD8">
            <v>157</v>
          </cell>
          <cell r="DE8">
            <v>13</v>
          </cell>
          <cell r="DF8">
            <v>8.2802547770700632E-2</v>
          </cell>
          <cell r="DG8">
            <v>4.9027139712768814E-2</v>
          </cell>
          <cell r="DH8">
            <v>0.13650623606916407</v>
          </cell>
          <cell r="DI8" t="str">
            <v>No Sig diff</v>
          </cell>
          <cell r="DJ8">
            <v>168</v>
          </cell>
          <cell r="DK8">
            <v>14</v>
          </cell>
          <cell r="DL8">
            <v>8.3333333333333329E-2</v>
          </cell>
          <cell r="DM8">
            <v>5.0287335078460824E-2</v>
          </cell>
          <cell r="DN8">
            <v>0.13500822187976255</v>
          </cell>
          <cell r="DO8" t="str">
            <v>No Sig diff</v>
          </cell>
          <cell r="DP8">
            <v>143</v>
          </cell>
          <cell r="DQ8">
            <v>15</v>
          </cell>
          <cell r="DR8">
            <v>0.1048951048951049</v>
          </cell>
          <cell r="DS8">
            <v>6.4604118377760339E-2</v>
          </cell>
          <cell r="DT8">
            <v>0.16585844371117539</v>
          </cell>
          <cell r="DU8" t="str">
            <v>No Sig diff</v>
          </cell>
          <cell r="DV8">
            <v>163</v>
          </cell>
          <cell r="DW8">
            <v>20</v>
          </cell>
          <cell r="DX8">
            <v>0.12269938650306748</v>
          </cell>
          <cell r="DY8">
            <v>8.0850124663024187E-2</v>
          </cell>
          <cell r="DZ8">
            <v>0.18192304413197474</v>
          </cell>
          <cell r="EA8" t="str">
            <v>No Sig diff</v>
          </cell>
          <cell r="EB8">
            <v>177</v>
          </cell>
          <cell r="EC8">
            <v>36</v>
          </cell>
          <cell r="ED8">
            <v>0.20338983050847459</v>
          </cell>
          <cell r="EE8">
            <v>0.15068707463179581</v>
          </cell>
          <cell r="EF8">
            <v>0.26869385336597923</v>
          </cell>
          <cell r="EG8" t="str">
            <v>No Sig diff</v>
          </cell>
          <cell r="EH8">
            <v>181</v>
          </cell>
          <cell r="EI8">
            <v>38</v>
          </cell>
          <cell r="EJ8">
            <v>0.20994475138121546</v>
          </cell>
          <cell r="EK8">
            <v>0.15695179474513435</v>
          </cell>
          <cell r="EL8">
            <v>0.27499382681666318</v>
          </cell>
          <cell r="EM8" t="str">
            <v>No Sig diff</v>
          </cell>
          <cell r="EN8">
            <v>153</v>
          </cell>
          <cell r="EO8">
            <v>39</v>
          </cell>
          <cell r="EP8">
            <v>0.25490196078431371</v>
          </cell>
          <cell r="EQ8">
            <v>0.1924372049079571</v>
          </cell>
          <cell r="ER8">
            <v>0.32937290471527553</v>
          </cell>
          <cell r="ES8" t="str">
            <v>No Sig diff</v>
          </cell>
          <cell r="ET8">
            <v>158</v>
          </cell>
          <cell r="EU8">
            <v>30</v>
          </cell>
          <cell r="EV8">
            <v>0.189873417721519</v>
          </cell>
          <cell r="EW8">
            <v>0.13636351813386116</v>
          </cell>
          <cell r="EX8">
            <v>0.25810560792255161</v>
          </cell>
          <cell r="EY8" t="str">
            <v>No Sig diff</v>
          </cell>
          <cell r="EZ8">
            <v>207</v>
          </cell>
          <cell r="FA8">
            <v>69</v>
          </cell>
          <cell r="FB8">
            <v>0.33333333333333331</v>
          </cell>
          <cell r="FC8">
            <v>0.27266724717919089</v>
          </cell>
          <cell r="FD8">
            <v>0.40007263810741361</v>
          </cell>
          <cell r="FE8">
            <v>207</v>
          </cell>
          <cell r="FF8">
            <v>32</v>
          </cell>
          <cell r="FG8">
            <v>41</v>
          </cell>
          <cell r="FH8">
            <v>21.829268292682929</v>
          </cell>
          <cell r="FI8">
            <v>0.31783536585365846</v>
          </cell>
          <cell r="FJ8">
            <v>215</v>
          </cell>
          <cell r="FK8">
            <v>109</v>
          </cell>
          <cell r="FL8">
            <v>0.50697674418604655</v>
          </cell>
          <cell r="FM8">
            <v>0.44061558411635232</v>
          </cell>
          <cell r="FN8">
            <v>0.57309297008615845</v>
          </cell>
          <cell r="FO8">
            <v>215</v>
          </cell>
          <cell r="FP8">
            <v>33</v>
          </cell>
          <cell r="FQ8">
            <v>43</v>
          </cell>
          <cell r="FR8">
            <v>23.720930232558143</v>
          </cell>
          <cell r="FS8">
            <v>0.28118393234672295</v>
          </cell>
          <cell r="FT8">
            <v>1496</v>
          </cell>
          <cell r="FU8">
            <v>1462</v>
          </cell>
          <cell r="FV8">
            <v>34</v>
          </cell>
          <cell r="FW8">
            <v>31</v>
          </cell>
          <cell r="FX8">
            <v>3</v>
          </cell>
          <cell r="FY8">
            <v>0.91176470588235292</v>
          </cell>
          <cell r="FZ8">
            <v>8.8235294117647065E-2</v>
          </cell>
          <cell r="GA8">
            <v>0.84342567155067161</v>
          </cell>
          <cell r="GB8">
            <v>0.15657432844932845</v>
          </cell>
          <cell r="GC8">
            <v>8.7488565256567077E-2</v>
          </cell>
          <cell r="GD8">
            <v>0.21410279669076451</v>
          </cell>
          <cell r="GE8">
            <v>0.87394621310062481</v>
          </cell>
          <cell r="GF8">
            <v>0.12605378689937513</v>
          </cell>
          <cell r="GG8">
            <v>6.8476557040876879E-2</v>
          </cell>
          <cell r="GH8">
            <v>0.18692562848208755</v>
          </cell>
          <cell r="GI8">
            <v>0.83940781440781431</v>
          </cell>
          <cell r="GJ8">
            <v>0.16059218559218558</v>
          </cell>
          <cell r="GK8">
            <v>8.9885841771810929E-2</v>
          </cell>
          <cell r="GL8">
            <v>0.21951596207067745</v>
          </cell>
          <cell r="GM8">
            <v>0.64253541597291597</v>
          </cell>
          <cell r="GN8">
            <v>0.35746458402708403</v>
          </cell>
          <cell r="GO8">
            <v>0.26697228641216703</v>
          </cell>
          <cell r="GP8">
            <v>0.43851804693911739</v>
          </cell>
          <cell r="GQ8">
            <v>64</v>
          </cell>
          <cell r="GR8">
            <v>61</v>
          </cell>
          <cell r="GS8">
            <v>62</v>
          </cell>
          <cell r="GT8">
            <v>63</v>
          </cell>
          <cell r="GU8">
            <v>62</v>
          </cell>
          <cell r="GV8">
            <v>68</v>
          </cell>
          <cell r="GW8">
            <v>66</v>
          </cell>
          <cell r="GX8">
            <v>64</v>
          </cell>
          <cell r="GY8">
            <v>66</v>
          </cell>
          <cell r="GZ8">
            <v>66</v>
          </cell>
          <cell r="HA8">
            <v>67</v>
          </cell>
          <cell r="HB8">
            <v>66</v>
          </cell>
          <cell r="HC8">
            <v>67</v>
          </cell>
          <cell r="HD8">
            <v>55</v>
          </cell>
          <cell r="HE8">
            <v>49</v>
          </cell>
          <cell r="HF8">
            <v>50</v>
          </cell>
          <cell r="HG8">
            <v>46</v>
          </cell>
          <cell r="HH8">
            <v>51</v>
          </cell>
          <cell r="HI8">
            <v>51</v>
          </cell>
          <cell r="HJ8">
            <v>47</v>
          </cell>
          <cell r="HK8">
            <v>53</v>
          </cell>
          <cell r="HL8">
            <v>46</v>
          </cell>
          <cell r="HM8">
            <v>53</v>
          </cell>
          <cell r="HN8">
            <v>23</v>
          </cell>
          <cell r="HO8">
            <v>1.9409282700421943E-2</v>
          </cell>
          <cell r="HP8">
            <v>1876</v>
          </cell>
          <cell r="HQ8">
            <v>1558</v>
          </cell>
          <cell r="HR8">
            <v>318</v>
          </cell>
          <cell r="HS8">
            <v>0.16950959488272921</v>
          </cell>
        </row>
        <row r="9">
          <cell r="A9" t="str">
            <v>Chichester Nursery School</v>
          </cell>
          <cell r="C9" t="str">
            <v>Chichester</v>
          </cell>
          <cell r="D9" t="str">
            <v>Chichester Central</v>
          </cell>
          <cell r="E9" t="str">
            <v>Chichester</v>
          </cell>
          <cell r="F9" t="str">
            <v>Arch</v>
          </cell>
          <cell r="G9" t="str">
            <v>Chichester East, Chichester North, Chichester South, Chichester West</v>
          </cell>
          <cell r="H9" t="str">
            <v>Chichester</v>
          </cell>
          <cell r="I9" t="str">
            <v>A</v>
          </cell>
          <cell r="J9" t="str">
            <v>Coastal West Sussex</v>
          </cell>
          <cell r="K9" t="str">
            <v>Chichester</v>
          </cell>
          <cell r="L9">
            <v>19720</v>
          </cell>
          <cell r="M9">
            <v>19985</v>
          </cell>
          <cell r="N9">
            <v>20275</v>
          </cell>
          <cell r="O9">
            <v>20625</v>
          </cell>
          <cell r="P9">
            <v>21090</v>
          </cell>
          <cell r="Q9">
            <v>21365</v>
          </cell>
          <cell r="R9">
            <v>21635</v>
          </cell>
          <cell r="S9">
            <v>22095</v>
          </cell>
          <cell r="T9">
            <v>22315</v>
          </cell>
          <cell r="U9">
            <v>22590</v>
          </cell>
          <cell r="V9">
            <v>905</v>
          </cell>
          <cell r="W9">
            <v>890</v>
          </cell>
          <cell r="X9">
            <v>915</v>
          </cell>
          <cell r="Y9">
            <v>960</v>
          </cell>
          <cell r="Z9">
            <v>1035</v>
          </cell>
          <cell r="AA9">
            <v>1125</v>
          </cell>
          <cell r="AB9">
            <v>1150</v>
          </cell>
          <cell r="AC9">
            <v>1190</v>
          </cell>
          <cell r="AD9">
            <v>1280</v>
          </cell>
          <cell r="AE9">
            <v>1270</v>
          </cell>
          <cell r="AF9">
            <v>0.81996587030716728</v>
          </cell>
          <cell r="AG9">
            <v>5.2047781569965867E-2</v>
          </cell>
          <cell r="AH9">
            <v>4.0102389078498293E-2</v>
          </cell>
          <cell r="AI9">
            <v>7.0819112627986347E-2</v>
          </cell>
          <cell r="AJ9">
            <v>1.2798634812286689E-2</v>
          </cell>
          <cell r="AK9">
            <v>4.2662116040955633E-3</v>
          </cell>
          <cell r="AL9">
            <v>0.18003412969283278</v>
          </cell>
          <cell r="AM9">
            <v>2055</v>
          </cell>
          <cell r="AN9">
            <v>0.39591439688715951</v>
          </cell>
          <cell r="AO9">
            <v>0.36138132295719844</v>
          </cell>
          <cell r="AP9">
            <v>0.24270428015564202</v>
          </cell>
          <cell r="AQ9">
            <v>289</v>
          </cell>
          <cell r="AR9">
            <v>258</v>
          </cell>
          <cell r="AS9">
            <v>276</v>
          </cell>
          <cell r="AT9">
            <v>263</v>
          </cell>
          <cell r="AU9">
            <v>249</v>
          </cell>
          <cell r="AV9">
            <v>21</v>
          </cell>
          <cell r="AW9">
            <v>13</v>
          </cell>
          <cell r="AX9">
            <v>12</v>
          </cell>
          <cell r="AY9">
            <v>12</v>
          </cell>
          <cell r="AZ9">
            <v>11</v>
          </cell>
          <cell r="BA9">
            <v>19</v>
          </cell>
          <cell r="BB9">
            <v>7.6305220883534142E-2</v>
          </cell>
          <cell r="BC9">
            <v>4.9391419828431059E-2</v>
          </cell>
          <cell r="BD9">
            <v>0.11609354065175088</v>
          </cell>
          <cell r="BE9">
            <v>24</v>
          </cell>
          <cell r="BF9">
            <v>419</v>
          </cell>
          <cell r="BG9">
            <v>336</v>
          </cell>
          <cell r="BH9">
            <v>165</v>
          </cell>
          <cell r="BI9">
            <v>0.13016063543675108</v>
          </cell>
          <cell r="BJ9">
            <v>2127</v>
          </cell>
          <cell r="BK9">
            <v>3619</v>
          </cell>
          <cell r="BL9">
            <v>2146</v>
          </cell>
          <cell r="BM9">
            <v>1061</v>
          </cell>
          <cell r="BN9">
            <v>1</v>
          </cell>
          <cell r="BO9">
            <v>342</v>
          </cell>
          <cell r="BP9">
            <v>569</v>
          </cell>
          <cell r="BQ9">
            <v>173</v>
          </cell>
          <cell r="BR9">
            <v>195</v>
          </cell>
          <cell r="BS9">
            <v>205</v>
          </cell>
          <cell r="BT9">
            <v>180</v>
          </cell>
          <cell r="BU9">
            <v>568</v>
          </cell>
          <cell r="BV9">
            <v>201</v>
          </cell>
          <cell r="BW9">
            <v>0.35387323943661969</v>
          </cell>
          <cell r="BX9">
            <v>31</v>
          </cell>
          <cell r="BY9">
            <v>4</v>
          </cell>
          <cell r="BZ9">
            <v>447</v>
          </cell>
          <cell r="CA9">
            <v>4.3909626719056974E-2</v>
          </cell>
          <cell r="CB9">
            <v>270</v>
          </cell>
          <cell r="CC9">
            <v>255</v>
          </cell>
          <cell r="CD9">
            <v>285</v>
          </cell>
          <cell r="CE9">
            <v>240</v>
          </cell>
          <cell r="CF9">
            <v>630</v>
          </cell>
          <cell r="CG9">
            <v>0.18153846153846154</v>
          </cell>
          <cell r="CH9">
            <v>625</v>
          </cell>
          <cell r="CI9">
            <v>0.19546153846153849</v>
          </cell>
          <cell r="CJ9">
            <v>655</v>
          </cell>
          <cell r="CK9">
            <v>0.1872307692307692</v>
          </cell>
          <cell r="CL9">
            <v>640</v>
          </cell>
          <cell r="CM9">
            <v>0.17776923076923079</v>
          </cell>
          <cell r="CN9">
            <v>580</v>
          </cell>
          <cell r="CO9">
            <v>0.17584615384615385</v>
          </cell>
          <cell r="CP9">
            <v>620</v>
          </cell>
          <cell r="CQ9">
            <v>0.18452380952380953</v>
          </cell>
          <cell r="CR9">
            <v>248</v>
          </cell>
          <cell r="CS9">
            <v>20</v>
          </cell>
          <cell r="CT9">
            <v>228</v>
          </cell>
          <cell r="CU9">
            <v>0.90710009673220382</v>
          </cell>
          <cell r="CV9">
            <v>110</v>
          </cell>
          <cell r="CW9">
            <v>137</v>
          </cell>
          <cell r="CX9">
            <v>0.51035256140017105</v>
          </cell>
          <cell r="CY9">
            <v>0.6346676579044277</v>
          </cell>
          <cell r="CZ9">
            <v>0.41842368815450531</v>
          </cell>
          <cell r="DA9">
            <v>0.5470699937386494</v>
          </cell>
          <cell r="DB9">
            <v>0.53614491289284405</v>
          </cell>
          <cell r="DC9">
            <v>0.66226641622151672</v>
          </cell>
          <cell r="DD9">
            <v>189</v>
          </cell>
          <cell r="DE9">
            <v>16</v>
          </cell>
          <cell r="DF9">
            <v>8.4656084656084651E-2</v>
          </cell>
          <cell r="DG9">
            <v>5.2779295230983923E-2</v>
          </cell>
          <cell r="DH9">
            <v>0.13308042103480033</v>
          </cell>
          <cell r="DI9" t="str">
            <v>No Sig diff</v>
          </cell>
          <cell r="DJ9">
            <v>168</v>
          </cell>
          <cell r="DK9">
            <v>16</v>
          </cell>
          <cell r="DL9">
            <v>9.5238095238095233E-2</v>
          </cell>
          <cell r="DM9">
            <v>5.9474309403575239E-2</v>
          </cell>
          <cell r="DN9">
            <v>0.14909851735584179</v>
          </cell>
          <cell r="DO9" t="str">
            <v>No Sig diff</v>
          </cell>
          <cell r="DP9">
            <v>182</v>
          </cell>
          <cell r="DQ9">
            <v>11</v>
          </cell>
          <cell r="DR9">
            <v>6.043956043956044E-2</v>
          </cell>
          <cell r="DS9">
            <v>3.4080238457120229E-2</v>
          </cell>
          <cell r="DT9">
            <v>0.10497085910032415</v>
          </cell>
          <cell r="DU9" t="str">
            <v>No Sig diff</v>
          </cell>
          <cell r="DV9">
            <v>196</v>
          </cell>
          <cell r="DW9">
            <v>18</v>
          </cell>
          <cell r="DX9">
            <v>9.1836734693877556E-2</v>
          </cell>
          <cell r="DY9">
            <v>5.8881065123373738E-2</v>
          </cell>
          <cell r="DZ9">
            <v>0.14048426705447778</v>
          </cell>
          <cell r="EA9" t="str">
            <v>No Sig diff</v>
          </cell>
          <cell r="EB9">
            <v>154</v>
          </cell>
          <cell r="EC9">
            <v>26</v>
          </cell>
          <cell r="ED9">
            <v>0.16883116883116883</v>
          </cell>
          <cell r="EE9">
            <v>0.11789803397793083</v>
          </cell>
          <cell r="EF9">
            <v>0.23588391430049524</v>
          </cell>
          <cell r="EG9" t="str">
            <v>No Sig diff</v>
          </cell>
          <cell r="EH9">
            <v>164</v>
          </cell>
          <cell r="EI9">
            <v>31</v>
          </cell>
          <cell r="EJ9">
            <v>0.18902439024390244</v>
          </cell>
          <cell r="EK9">
            <v>0.13648306944540137</v>
          </cell>
          <cell r="EL9">
            <v>0.25580057300692555</v>
          </cell>
          <cell r="EM9" t="str">
            <v>No Sig diff</v>
          </cell>
          <cell r="EN9">
            <v>158</v>
          </cell>
          <cell r="EO9">
            <v>29</v>
          </cell>
          <cell r="EP9">
            <v>0.18354430379746836</v>
          </cell>
          <cell r="EQ9">
            <v>0.13094420921847771</v>
          </cell>
          <cell r="ER9">
            <v>0.25116714390031081</v>
          </cell>
          <cell r="ES9" t="str">
            <v>No Sig diff</v>
          </cell>
          <cell r="ET9">
            <v>140</v>
          </cell>
          <cell r="EU9">
            <v>17</v>
          </cell>
          <cell r="EV9">
            <v>0.12142857142857143</v>
          </cell>
          <cell r="EW9">
            <v>7.7212614630050802E-2</v>
          </cell>
          <cell r="EX9">
            <v>0.18586493707821899</v>
          </cell>
          <cell r="EY9" t="str">
            <v>Sig better than Eng.</v>
          </cell>
          <cell r="EZ9">
            <v>227</v>
          </cell>
          <cell r="FA9">
            <v>104</v>
          </cell>
          <cell r="FB9">
            <v>0.45814977973568283</v>
          </cell>
          <cell r="FC9">
            <v>0.39456855561808551</v>
          </cell>
          <cell r="FD9">
            <v>0.5231238723492917</v>
          </cell>
          <cell r="FE9">
            <v>227</v>
          </cell>
          <cell r="FF9">
            <v>33</v>
          </cell>
          <cell r="FG9">
            <v>45</v>
          </cell>
          <cell r="FH9">
            <v>21.177777777777777</v>
          </cell>
          <cell r="FI9">
            <v>0.35824915824915826</v>
          </cell>
          <cell r="FJ9">
            <v>226</v>
          </cell>
          <cell r="FK9">
            <v>114</v>
          </cell>
          <cell r="FL9">
            <v>0.50442477876106195</v>
          </cell>
          <cell r="FM9">
            <v>0.43971293258807637</v>
          </cell>
          <cell r="FN9">
            <v>0.56898871771584147</v>
          </cell>
          <cell r="FO9">
            <v>226</v>
          </cell>
          <cell r="FP9">
            <v>34</v>
          </cell>
          <cell r="FQ9">
            <v>45</v>
          </cell>
          <cell r="FR9">
            <v>21.111111111111107</v>
          </cell>
          <cell r="FS9">
            <v>0.37908496732026153</v>
          </cell>
          <cell r="FT9">
            <v>3106</v>
          </cell>
          <cell r="FU9">
            <v>2866</v>
          </cell>
          <cell r="FV9">
            <v>240</v>
          </cell>
          <cell r="FW9">
            <v>204</v>
          </cell>
          <cell r="FX9">
            <v>36</v>
          </cell>
          <cell r="FY9">
            <v>0.85</v>
          </cell>
          <cell r="FZ9">
            <v>0.15</v>
          </cell>
          <cell r="GA9">
            <v>0.73809523809523803</v>
          </cell>
          <cell r="GB9">
            <v>0.26190476190476192</v>
          </cell>
          <cell r="GC9">
            <v>0.18241416061863377</v>
          </cell>
          <cell r="GD9">
            <v>0.43179527736167544</v>
          </cell>
          <cell r="GE9">
            <v>0.79548229548229543</v>
          </cell>
          <cell r="GF9">
            <v>0.20451770451770454</v>
          </cell>
          <cell r="GG9">
            <v>0.13307691028989047</v>
          </cell>
          <cell r="GH9">
            <v>0.3653953590845116</v>
          </cell>
          <cell r="GI9">
            <v>0.70317460317460312</v>
          </cell>
          <cell r="GJ9">
            <v>0.29682539682539688</v>
          </cell>
          <cell r="GK9">
            <v>0.18241416061863377</v>
          </cell>
          <cell r="GL9">
            <v>0.43179527736167544</v>
          </cell>
          <cell r="GM9">
            <v>0.57667887667887663</v>
          </cell>
          <cell r="GN9">
            <v>0.42332112332112332</v>
          </cell>
          <cell r="GO9">
            <v>0.34471090015787464</v>
          </cell>
          <cell r="GP9">
            <v>0.61671004364015625</v>
          </cell>
          <cell r="GQ9">
            <v>63</v>
          </cell>
          <cell r="GR9">
            <v>61</v>
          </cell>
          <cell r="GS9">
            <v>61</v>
          </cell>
          <cell r="GT9">
            <v>62</v>
          </cell>
          <cell r="GU9">
            <v>60</v>
          </cell>
          <cell r="GV9">
            <v>63</v>
          </cell>
          <cell r="GW9">
            <v>60</v>
          </cell>
          <cell r="GX9">
            <v>60</v>
          </cell>
          <cell r="GY9">
            <v>60</v>
          </cell>
          <cell r="GZ9">
            <v>60</v>
          </cell>
          <cell r="HA9">
            <v>62</v>
          </cell>
          <cell r="HB9">
            <v>60</v>
          </cell>
          <cell r="HC9">
            <v>61</v>
          </cell>
          <cell r="HD9">
            <v>65</v>
          </cell>
          <cell r="HE9">
            <v>58</v>
          </cell>
          <cell r="HF9">
            <v>58</v>
          </cell>
          <cell r="HG9">
            <v>54</v>
          </cell>
          <cell r="HH9">
            <v>56</v>
          </cell>
          <cell r="HI9">
            <v>58</v>
          </cell>
          <cell r="HJ9">
            <v>55</v>
          </cell>
          <cell r="HK9">
            <v>58</v>
          </cell>
          <cell r="HL9">
            <v>56</v>
          </cell>
          <cell r="HM9">
            <v>59</v>
          </cell>
          <cell r="HN9">
            <v>23</v>
          </cell>
          <cell r="HO9">
            <v>1.9658119658119658E-2</v>
          </cell>
          <cell r="HP9">
            <v>1797</v>
          </cell>
          <cell r="HQ9">
            <v>1563</v>
          </cell>
          <cell r="HR9">
            <v>234</v>
          </cell>
          <cell r="HS9">
            <v>0.1302170283806344</v>
          </cell>
        </row>
        <row r="10">
          <cell r="A10" t="str">
            <v>Durrington</v>
          </cell>
          <cell r="C10" t="str">
            <v>Worthing</v>
          </cell>
          <cell r="D10" t="str">
            <v>Worthing</v>
          </cell>
          <cell r="E10" t="str">
            <v>Worthing</v>
          </cell>
          <cell r="F10" t="str">
            <v>CCC</v>
          </cell>
          <cell r="G10" t="str">
            <v>Durrington, Northbrook, Salvington</v>
          </cell>
          <cell r="H10" t="str">
            <v>Worthing</v>
          </cell>
          <cell r="I10" t="str">
            <v>B</v>
          </cell>
          <cell r="J10" t="str">
            <v>Coastal West Sussex</v>
          </cell>
          <cell r="K10" t="str">
            <v>Worthing West</v>
          </cell>
          <cell r="L10">
            <v>13400</v>
          </cell>
          <cell r="M10">
            <v>13385</v>
          </cell>
          <cell r="N10">
            <v>13345</v>
          </cell>
          <cell r="O10">
            <v>13375</v>
          </cell>
          <cell r="P10">
            <v>13325</v>
          </cell>
          <cell r="Q10">
            <v>13320</v>
          </cell>
          <cell r="R10">
            <v>13355</v>
          </cell>
          <cell r="S10">
            <v>13510</v>
          </cell>
          <cell r="T10">
            <v>13590</v>
          </cell>
          <cell r="U10">
            <v>13685</v>
          </cell>
          <cell r="V10">
            <v>765</v>
          </cell>
          <cell r="W10">
            <v>790</v>
          </cell>
          <cell r="X10">
            <v>805</v>
          </cell>
          <cell r="Y10">
            <v>830</v>
          </cell>
          <cell r="Z10">
            <v>855</v>
          </cell>
          <cell r="AA10">
            <v>845</v>
          </cell>
          <cell r="AB10">
            <v>865</v>
          </cell>
          <cell r="AC10">
            <v>915</v>
          </cell>
          <cell r="AD10">
            <v>905</v>
          </cell>
          <cell r="AE10">
            <v>885</v>
          </cell>
          <cell r="AF10">
            <v>0.88402625820568925</v>
          </cell>
          <cell r="AG10">
            <v>3.1728665207877461E-2</v>
          </cell>
          <cell r="AH10">
            <v>4.8140043763676151E-2</v>
          </cell>
          <cell r="AI10">
            <v>2.6258205689277898E-2</v>
          </cell>
          <cell r="AJ10">
            <v>5.4704595185995622E-3</v>
          </cell>
          <cell r="AK10">
            <v>4.3763676148796497E-3</v>
          </cell>
          <cell r="AL10">
            <v>0.11597374179431072</v>
          </cell>
          <cell r="AM10">
            <v>1755</v>
          </cell>
          <cell r="AN10">
            <v>0.52367370222475751</v>
          </cell>
          <cell r="AO10">
            <v>0.27381631488876212</v>
          </cell>
          <cell r="AP10">
            <v>0.20250998288648031</v>
          </cell>
          <cell r="AQ10">
            <v>173</v>
          </cell>
          <cell r="AR10">
            <v>162</v>
          </cell>
          <cell r="AS10">
            <v>167</v>
          </cell>
          <cell r="AT10">
            <v>138</v>
          </cell>
          <cell r="AU10">
            <v>151</v>
          </cell>
          <cell r="AV10">
            <v>15</v>
          </cell>
          <cell r="AW10">
            <v>8</v>
          </cell>
          <cell r="AX10">
            <v>5</v>
          </cell>
          <cell r="AY10">
            <v>5</v>
          </cell>
          <cell r="AZ10">
            <v>5</v>
          </cell>
          <cell r="BA10">
            <v>11</v>
          </cell>
          <cell r="BB10">
            <v>7.2847682119205295E-2</v>
          </cell>
          <cell r="BC10">
            <v>4.1161071759033392E-2</v>
          </cell>
          <cell r="BD10">
            <v>0.12572872001578086</v>
          </cell>
          <cell r="BE10">
            <v>12</v>
          </cell>
          <cell r="BF10">
            <v>235</v>
          </cell>
          <cell r="BG10">
            <v>245</v>
          </cell>
          <cell r="BH10">
            <v>197</v>
          </cell>
          <cell r="BI10">
            <v>0.18163608010354493</v>
          </cell>
          <cell r="BJ10">
            <v>1712</v>
          </cell>
          <cell r="BK10">
            <v>3142</v>
          </cell>
          <cell r="BL10">
            <v>1599</v>
          </cell>
          <cell r="BM10">
            <v>821</v>
          </cell>
          <cell r="BN10">
            <v>0</v>
          </cell>
          <cell r="BO10">
            <v>244</v>
          </cell>
          <cell r="BP10">
            <v>398</v>
          </cell>
          <cell r="BQ10">
            <v>136</v>
          </cell>
          <cell r="BR10">
            <v>165</v>
          </cell>
          <cell r="BS10">
            <v>135</v>
          </cell>
          <cell r="BT10">
            <v>80</v>
          </cell>
          <cell r="BU10">
            <v>461</v>
          </cell>
          <cell r="BV10">
            <v>196</v>
          </cell>
          <cell r="BW10">
            <v>0.42516268980477223</v>
          </cell>
          <cell r="BX10">
            <v>44</v>
          </cell>
          <cell r="BY10">
            <v>2</v>
          </cell>
          <cell r="BZ10">
            <v>315</v>
          </cell>
          <cell r="CA10">
            <v>5.5545759125374711E-2</v>
          </cell>
          <cell r="CB10">
            <v>210</v>
          </cell>
          <cell r="CC10">
            <v>220</v>
          </cell>
          <cell r="CD10">
            <v>215</v>
          </cell>
          <cell r="CE10">
            <v>170</v>
          </cell>
          <cell r="CF10">
            <v>655</v>
          </cell>
          <cell r="CG10">
            <v>0.21077777777777779</v>
          </cell>
          <cell r="CH10">
            <v>675</v>
          </cell>
          <cell r="CI10">
            <v>0.20688888888888887</v>
          </cell>
          <cell r="CJ10">
            <v>700</v>
          </cell>
          <cell r="CK10">
            <v>0.23699999999999999</v>
          </cell>
          <cell r="CL10">
            <v>645</v>
          </cell>
          <cell r="CM10">
            <v>0.22866666666666666</v>
          </cell>
          <cell r="CN10">
            <v>670</v>
          </cell>
          <cell r="CO10">
            <v>0.21488888888888888</v>
          </cell>
          <cell r="CP10">
            <v>550</v>
          </cell>
          <cell r="CQ10">
            <v>0.20220588235294118</v>
          </cell>
          <cell r="CR10">
            <v>146</v>
          </cell>
          <cell r="CS10">
            <v>13</v>
          </cell>
          <cell r="CT10">
            <v>133</v>
          </cell>
          <cell r="CU10">
            <v>0.93420804685510572</v>
          </cell>
          <cell r="CV10">
            <v>48</v>
          </cell>
          <cell r="CW10">
            <v>67</v>
          </cell>
          <cell r="CX10">
            <v>0.38012805766428953</v>
          </cell>
          <cell r="CY10">
            <v>0.51493367073077223</v>
          </cell>
          <cell r="CZ10">
            <v>0.28424408653110661</v>
          </cell>
          <cell r="DA10">
            <v>0.44537029973739656</v>
          </cell>
          <cell r="DB10">
            <v>0.41988066594915235</v>
          </cell>
          <cell r="DC10">
            <v>0.58742705334088818</v>
          </cell>
          <cell r="DD10">
            <v>122</v>
          </cell>
          <cell r="DE10">
            <v>13</v>
          </cell>
          <cell r="DF10">
            <v>0.10655737704918032</v>
          </cell>
          <cell r="DG10">
            <v>6.3336996121428402E-2</v>
          </cell>
          <cell r="DH10">
            <v>0.17379835736500793</v>
          </cell>
          <cell r="DI10" t="str">
            <v>No Sig diff</v>
          </cell>
          <cell r="DJ10">
            <v>133</v>
          </cell>
          <cell r="DK10">
            <v>13</v>
          </cell>
          <cell r="DL10">
            <v>9.7744360902255634E-2</v>
          </cell>
          <cell r="DM10">
            <v>5.8014803824288148E-2</v>
          </cell>
          <cell r="DN10">
            <v>0.16005842542852139</v>
          </cell>
          <cell r="DO10" t="str">
            <v>No Sig diff</v>
          </cell>
          <cell r="DP10">
            <v>150</v>
          </cell>
          <cell r="DQ10">
            <v>12</v>
          </cell>
          <cell r="DR10">
            <v>0.08</v>
          </cell>
          <cell r="DS10">
            <v>4.6353641518652906E-2</v>
          </cell>
          <cell r="DT10">
            <v>0.13462136375053141</v>
          </cell>
          <cell r="DU10" t="str">
            <v>No Sig diff</v>
          </cell>
          <cell r="DV10">
            <v>170</v>
          </cell>
          <cell r="DW10">
            <v>13</v>
          </cell>
          <cell r="DX10">
            <v>7.6470588235294124E-2</v>
          </cell>
          <cell r="DY10">
            <v>4.5231780539752423E-2</v>
          </cell>
          <cell r="DZ10">
            <v>0.12642726456452041</v>
          </cell>
          <cell r="EA10" t="str">
            <v>No Sig diff</v>
          </cell>
          <cell r="EB10">
            <v>115</v>
          </cell>
          <cell r="EC10">
            <v>15</v>
          </cell>
          <cell r="ED10">
            <v>0.13043478260869565</v>
          </cell>
          <cell r="EE10">
            <v>8.0663846927720689E-2</v>
          </cell>
          <cell r="EF10">
            <v>0.20409754153481507</v>
          </cell>
          <cell r="EG10" t="str">
            <v>No Sig diff</v>
          </cell>
          <cell r="EH10">
            <v>132</v>
          </cell>
          <cell r="EI10">
            <v>18</v>
          </cell>
          <cell r="EJ10">
            <v>0.13636363636363635</v>
          </cell>
          <cell r="EK10">
            <v>8.8028458868182197E-2</v>
          </cell>
          <cell r="EL10">
            <v>0.20526534971262397</v>
          </cell>
          <cell r="EM10" t="str">
            <v>No Sig diff</v>
          </cell>
          <cell r="EN10">
            <v>130</v>
          </cell>
          <cell r="EO10">
            <v>32</v>
          </cell>
          <cell r="EP10">
            <v>0.24615384615384617</v>
          </cell>
          <cell r="EQ10">
            <v>0.18009792380442399</v>
          </cell>
          <cell r="ER10">
            <v>0.32678133034044121</v>
          </cell>
          <cell r="ES10" t="str">
            <v>No Sig diff</v>
          </cell>
          <cell r="ET10">
            <v>127</v>
          </cell>
          <cell r="EU10">
            <v>14</v>
          </cell>
          <cell r="EV10">
            <v>0.11023622047244094</v>
          </cell>
          <cell r="EW10">
            <v>6.6810002178845376E-2</v>
          </cell>
          <cell r="EX10">
            <v>0.17654909139660793</v>
          </cell>
          <cell r="EY10" t="str">
            <v>Sig better than Eng.</v>
          </cell>
          <cell r="EZ10">
            <v>193</v>
          </cell>
          <cell r="FA10">
            <v>111</v>
          </cell>
          <cell r="FB10">
            <v>0.57512953367875652</v>
          </cell>
          <cell r="FC10">
            <v>0.50459186111857379</v>
          </cell>
          <cell r="FD10">
            <v>0.64273482592054509</v>
          </cell>
          <cell r="FE10">
            <v>193</v>
          </cell>
          <cell r="FF10">
            <v>34</v>
          </cell>
          <cell r="FG10">
            <v>38</v>
          </cell>
          <cell r="FH10">
            <v>22.710526315789476</v>
          </cell>
          <cell r="FI10">
            <v>0.33204334365325072</v>
          </cell>
          <cell r="FJ10">
            <v>179</v>
          </cell>
          <cell r="FK10">
            <v>106</v>
          </cell>
          <cell r="FL10">
            <v>0.59217877094972071</v>
          </cell>
          <cell r="FM10">
            <v>0.5189842940127406</v>
          </cell>
          <cell r="FN10">
            <v>0.66149993649409367</v>
          </cell>
          <cell r="FO10">
            <v>179</v>
          </cell>
          <cell r="FP10">
            <v>34</v>
          </cell>
          <cell r="FQ10">
            <v>35</v>
          </cell>
          <cell r="FR10">
            <v>23.685714285714287</v>
          </cell>
          <cell r="FS10">
            <v>0.3033613445378151</v>
          </cell>
          <cell r="FT10">
            <v>2189</v>
          </cell>
          <cell r="FU10">
            <v>2150</v>
          </cell>
          <cell r="FV10">
            <v>39</v>
          </cell>
          <cell r="FW10">
            <v>29</v>
          </cell>
          <cell r="FX10">
            <v>10</v>
          </cell>
          <cell r="FY10">
            <v>0.74358974358974361</v>
          </cell>
          <cell r="FZ10">
            <v>0.25641025641025639</v>
          </cell>
          <cell r="GB10">
            <v>0.1388888888888889</v>
          </cell>
          <cell r="GC10">
            <v>6.0817253631150994E-2</v>
          </cell>
          <cell r="GD10">
            <v>0.28659851280393195</v>
          </cell>
          <cell r="GF10">
            <v>0.1111111111111111</v>
          </cell>
          <cell r="GG10">
            <v>4.4065689087418335E-2</v>
          </cell>
          <cell r="GH10">
            <v>0.25315129015036325</v>
          </cell>
          <cell r="GJ10">
            <v>0.1388888888888889</v>
          </cell>
          <cell r="GK10">
            <v>6.0817253631150994E-2</v>
          </cell>
          <cell r="GL10">
            <v>0.28659851280393195</v>
          </cell>
          <cell r="GN10">
            <v>0.27777777777777779</v>
          </cell>
          <cell r="GO10">
            <v>0.15848170025813799</v>
          </cell>
          <cell r="GP10">
            <v>0.43992800216345151</v>
          </cell>
          <cell r="GQ10">
            <v>44</v>
          </cell>
          <cell r="GR10">
            <v>44</v>
          </cell>
          <cell r="GS10">
            <v>44</v>
          </cell>
          <cell r="GT10">
            <v>44</v>
          </cell>
          <cell r="GU10">
            <v>44</v>
          </cell>
          <cell r="GV10">
            <v>49</v>
          </cell>
          <cell r="GW10">
            <v>45</v>
          </cell>
          <cell r="GX10">
            <v>47</v>
          </cell>
          <cell r="GY10">
            <v>44</v>
          </cell>
          <cell r="GZ10">
            <v>47</v>
          </cell>
          <cell r="HA10">
            <v>48</v>
          </cell>
          <cell r="HB10">
            <v>44</v>
          </cell>
          <cell r="HC10">
            <v>47</v>
          </cell>
          <cell r="HD10">
            <v>52</v>
          </cell>
          <cell r="HE10">
            <v>50</v>
          </cell>
          <cell r="HF10">
            <v>50</v>
          </cell>
          <cell r="HG10">
            <v>48</v>
          </cell>
          <cell r="HH10">
            <v>50</v>
          </cell>
          <cell r="HI10">
            <v>50</v>
          </cell>
          <cell r="HJ10">
            <v>48</v>
          </cell>
          <cell r="HK10">
            <v>50</v>
          </cell>
          <cell r="HL10">
            <v>50</v>
          </cell>
          <cell r="HM10">
            <v>50</v>
          </cell>
          <cell r="HN10">
            <v>21</v>
          </cell>
          <cell r="HO10">
            <v>2.2975929978118162E-2</v>
          </cell>
          <cell r="HP10">
            <v>1339</v>
          </cell>
          <cell r="HQ10">
            <v>1144</v>
          </cell>
          <cell r="HR10">
            <v>195</v>
          </cell>
          <cell r="HS10">
            <v>0.14563106796116504</v>
          </cell>
        </row>
        <row r="11">
          <cell r="A11" t="str">
            <v>East Preston</v>
          </cell>
          <cell r="C11" t="str">
            <v>Arun East</v>
          </cell>
          <cell r="D11" t="str">
            <v>Arun East</v>
          </cell>
          <cell r="E11" t="str">
            <v>Arun</v>
          </cell>
          <cell r="F11" t="str">
            <v>Arun</v>
          </cell>
          <cell r="G11" t="str">
            <v>Beach, Brookfield, East Preston with Kingston, Rustington East, Rustington West</v>
          </cell>
          <cell r="H11" t="str">
            <v>Angmering</v>
          </cell>
          <cell r="I11" t="str">
            <v>B</v>
          </cell>
          <cell r="J11" t="str">
            <v>Coastal West Sussex</v>
          </cell>
          <cell r="K11" t="str">
            <v>Worthing West</v>
          </cell>
          <cell r="L11">
            <v>18385</v>
          </cell>
          <cell r="M11">
            <v>18325</v>
          </cell>
          <cell r="N11">
            <v>18400</v>
          </cell>
          <cell r="O11">
            <v>18435</v>
          </cell>
          <cell r="P11">
            <v>18385</v>
          </cell>
          <cell r="Q11">
            <v>18475</v>
          </cell>
          <cell r="R11">
            <v>18365</v>
          </cell>
          <cell r="S11">
            <v>18420</v>
          </cell>
          <cell r="T11">
            <v>18370</v>
          </cell>
          <cell r="U11">
            <v>18475</v>
          </cell>
          <cell r="V11">
            <v>700</v>
          </cell>
          <cell r="W11">
            <v>680</v>
          </cell>
          <cell r="X11">
            <v>700</v>
          </cell>
          <cell r="Y11">
            <v>690</v>
          </cell>
          <cell r="Z11">
            <v>665</v>
          </cell>
          <cell r="AA11">
            <v>665</v>
          </cell>
          <cell r="AB11">
            <v>630</v>
          </cell>
          <cell r="AC11">
            <v>625</v>
          </cell>
          <cell r="AD11">
            <v>640</v>
          </cell>
          <cell r="AE11">
            <v>640</v>
          </cell>
          <cell r="AF11">
            <v>0.92197452229299359</v>
          </cell>
          <cell r="AG11">
            <v>3.662420382165605E-2</v>
          </cell>
          <cell r="AH11">
            <v>2.8662420382165606E-2</v>
          </cell>
          <cell r="AI11">
            <v>7.9617834394904458E-3</v>
          </cell>
          <cell r="AJ11">
            <v>4.7770700636942673E-3</v>
          </cell>
          <cell r="AK11">
            <v>0</v>
          </cell>
          <cell r="AL11">
            <v>7.8025477707006366E-2</v>
          </cell>
          <cell r="AM11">
            <v>1305</v>
          </cell>
          <cell r="AN11">
            <v>0.70574712643678161</v>
          </cell>
          <cell r="AO11">
            <v>8.2758620689655171E-2</v>
          </cell>
          <cell r="AP11">
            <v>0.21149425287356322</v>
          </cell>
          <cell r="AQ11">
            <v>109</v>
          </cell>
          <cell r="AR11">
            <v>130</v>
          </cell>
          <cell r="AS11">
            <v>144</v>
          </cell>
          <cell r="AT11">
            <v>114</v>
          </cell>
          <cell r="AU11">
            <v>112</v>
          </cell>
          <cell r="AV11">
            <v>6</v>
          </cell>
          <cell r="AW11">
            <v>6</v>
          </cell>
          <cell r="AX11">
            <v>4</v>
          </cell>
          <cell r="AY11">
            <v>5</v>
          </cell>
          <cell r="AZ11">
            <v>3</v>
          </cell>
          <cell r="BA11">
            <v>9</v>
          </cell>
          <cell r="BB11">
            <v>8.0357142857142863E-2</v>
          </cell>
          <cell r="BC11">
            <v>4.2850577836899766E-2</v>
          </cell>
          <cell r="BD11">
            <v>0.14569555273714238</v>
          </cell>
          <cell r="BE11">
            <v>7</v>
          </cell>
          <cell r="BF11">
            <v>215</v>
          </cell>
          <cell r="BG11">
            <v>210</v>
          </cell>
          <cell r="BH11">
            <v>80</v>
          </cell>
          <cell r="BI11">
            <v>0.13170846878159082</v>
          </cell>
          <cell r="BJ11">
            <v>1518</v>
          </cell>
          <cell r="BK11">
            <v>2647</v>
          </cell>
          <cell r="BL11">
            <v>1520</v>
          </cell>
          <cell r="BM11">
            <v>917</v>
          </cell>
          <cell r="BN11">
            <v>0</v>
          </cell>
          <cell r="BO11">
            <v>193</v>
          </cell>
          <cell r="BP11">
            <v>305</v>
          </cell>
          <cell r="BQ11">
            <v>105</v>
          </cell>
          <cell r="BR11">
            <v>65</v>
          </cell>
          <cell r="BS11">
            <v>70</v>
          </cell>
          <cell r="BT11">
            <v>55</v>
          </cell>
          <cell r="BU11">
            <v>305</v>
          </cell>
          <cell r="BV11">
            <v>84</v>
          </cell>
          <cell r="BW11">
            <v>0.27540983606557379</v>
          </cell>
          <cell r="BX11">
            <v>35</v>
          </cell>
          <cell r="BY11">
            <v>6</v>
          </cell>
          <cell r="BZ11">
            <v>225</v>
          </cell>
          <cell r="CA11">
            <v>2.5426601875918182E-2</v>
          </cell>
          <cell r="CB11">
            <v>85</v>
          </cell>
          <cell r="CC11">
            <v>95</v>
          </cell>
          <cell r="CD11">
            <v>100</v>
          </cell>
          <cell r="CE11">
            <v>75</v>
          </cell>
          <cell r="CF11">
            <v>265</v>
          </cell>
          <cell r="CG11">
            <v>0.12575000000000003</v>
          </cell>
          <cell r="CH11">
            <v>230</v>
          </cell>
          <cell r="CI11">
            <v>0.11291666666666668</v>
          </cell>
          <cell r="CJ11">
            <v>275</v>
          </cell>
          <cell r="CK11">
            <v>0.10883333333333334</v>
          </cell>
          <cell r="CL11">
            <v>280</v>
          </cell>
          <cell r="CM11">
            <v>9.0583333333333335E-2</v>
          </cell>
          <cell r="CN11">
            <v>315</v>
          </cell>
          <cell r="CO11">
            <v>0.10483333333333332</v>
          </cell>
          <cell r="CP11">
            <v>250</v>
          </cell>
          <cell r="CQ11">
            <v>0.10845986984815618</v>
          </cell>
          <cell r="CR11">
            <v>115</v>
          </cell>
          <cell r="CS11">
            <v>5</v>
          </cell>
          <cell r="CT11">
            <v>110</v>
          </cell>
          <cell r="CU11">
            <v>0.97034447034447036</v>
          </cell>
          <cell r="CV11">
            <v>36</v>
          </cell>
          <cell r="CW11">
            <v>49</v>
          </cell>
          <cell r="CX11">
            <v>0.32016452115136323</v>
          </cell>
          <cell r="CY11">
            <v>0.44229655578339794</v>
          </cell>
          <cell r="CZ11">
            <v>0.24670999220537851</v>
          </cell>
          <cell r="DA11">
            <v>0.41949287212541092</v>
          </cell>
          <cell r="DB11">
            <v>0.35597557115906309</v>
          </cell>
          <cell r="DC11">
            <v>0.53861480705065989</v>
          </cell>
          <cell r="DD11">
            <v>100</v>
          </cell>
          <cell r="DE11">
            <v>5</v>
          </cell>
          <cell r="DF11">
            <v>0.05</v>
          </cell>
          <cell r="DG11">
            <v>2.1543679154367969E-2</v>
          </cell>
          <cell r="DH11">
            <v>0.11175046923191914</v>
          </cell>
          <cell r="DI11" t="str">
            <v>No Sig diff</v>
          </cell>
          <cell r="DJ11">
            <v>108</v>
          </cell>
          <cell r="DK11">
            <v>11</v>
          </cell>
          <cell r="DL11">
            <v>0.10185185185185185</v>
          </cell>
          <cell r="DM11">
            <v>5.7829317593360803E-2</v>
          </cell>
          <cell r="DN11">
            <v>0.17322506146408276</v>
          </cell>
          <cell r="DO11" t="str">
            <v>No Sig diff</v>
          </cell>
          <cell r="DP11">
            <v>83</v>
          </cell>
          <cell r="DQ11">
            <v>6</v>
          </cell>
          <cell r="DR11">
            <v>7.2289156626506021E-2</v>
          </cell>
          <cell r="DS11">
            <v>3.3550295522992796E-2</v>
          </cell>
          <cell r="DT11">
            <v>0.14886786091773177</v>
          </cell>
          <cell r="DU11" t="str">
            <v>No Sig diff</v>
          </cell>
          <cell r="DV11">
            <v>130</v>
          </cell>
          <cell r="DW11">
            <v>10</v>
          </cell>
          <cell r="DX11">
            <v>7.6923076923076927E-2</v>
          </cell>
          <cell r="DY11">
            <v>4.2317437086078179E-2</v>
          </cell>
          <cell r="DZ11">
            <v>0.13581465315536376</v>
          </cell>
          <cell r="EA11" t="str">
            <v>No Sig diff</v>
          </cell>
          <cell r="EB11">
            <v>144</v>
          </cell>
          <cell r="EC11">
            <v>19</v>
          </cell>
          <cell r="ED11">
            <v>0.13194444444444445</v>
          </cell>
          <cell r="EE11">
            <v>8.6122870939953716E-2</v>
          </cell>
          <cell r="EF11">
            <v>0.19689286195700392</v>
          </cell>
          <cell r="EG11" t="str">
            <v>No Sig diff</v>
          </cell>
          <cell r="EH11">
            <v>139</v>
          </cell>
          <cell r="EI11">
            <v>20</v>
          </cell>
          <cell r="EJ11">
            <v>0.14388489208633093</v>
          </cell>
          <cell r="EK11">
            <v>9.5114077729757537E-2</v>
          </cell>
          <cell r="EL11">
            <v>0.21180983065546405</v>
          </cell>
          <cell r="EM11" t="str">
            <v>No Sig diff</v>
          </cell>
          <cell r="EN11">
            <v>117</v>
          </cell>
          <cell r="EO11">
            <v>11</v>
          </cell>
          <cell r="EP11">
            <v>9.4017094017094016E-2</v>
          </cell>
          <cell r="EQ11">
            <v>5.3310461939706823E-2</v>
          </cell>
          <cell r="ER11">
            <v>0.16053550676080314</v>
          </cell>
          <cell r="ES11" t="str">
            <v>Sig better than Eng.</v>
          </cell>
          <cell r="ET11">
            <v>132</v>
          </cell>
          <cell r="EU11">
            <v>16</v>
          </cell>
          <cell r="EV11">
            <v>0.12121212121212122</v>
          </cell>
          <cell r="EW11">
            <v>7.6004168709792846E-2</v>
          </cell>
          <cell r="EX11">
            <v>0.18784354856188021</v>
          </cell>
          <cell r="EY11" t="str">
            <v>Sig better than Eng.</v>
          </cell>
          <cell r="EZ11">
            <v>143</v>
          </cell>
          <cell r="FA11">
            <v>75</v>
          </cell>
          <cell r="FB11">
            <v>0.52447552447552448</v>
          </cell>
          <cell r="FC11">
            <v>0.44305846825994299</v>
          </cell>
          <cell r="FD11">
            <v>0.6046119924956096</v>
          </cell>
          <cell r="FE11">
            <v>143</v>
          </cell>
          <cell r="FF11">
            <v>34</v>
          </cell>
          <cell r="FG11">
            <v>28</v>
          </cell>
          <cell r="FH11">
            <v>26.035714285714278</v>
          </cell>
          <cell r="FI11">
            <v>0.23424369747899185</v>
          </cell>
          <cell r="FJ11">
            <v>151</v>
          </cell>
          <cell r="FK11">
            <v>101</v>
          </cell>
          <cell r="FL11">
            <v>0.66887417218543044</v>
          </cell>
          <cell r="FM11">
            <v>0.59043982267317197</v>
          </cell>
          <cell r="FN11">
            <v>0.73892932941585499</v>
          </cell>
          <cell r="FO11">
            <v>151</v>
          </cell>
          <cell r="FP11">
            <v>34</v>
          </cell>
          <cell r="FQ11">
            <v>30</v>
          </cell>
          <cell r="FR11">
            <v>25.06666666666667</v>
          </cell>
          <cell r="FS11">
            <v>0.26274509803921559</v>
          </cell>
          <cell r="FT11">
            <v>1891</v>
          </cell>
          <cell r="FU11">
            <v>1871</v>
          </cell>
          <cell r="FV11">
            <v>20</v>
          </cell>
          <cell r="FW11">
            <v>17</v>
          </cell>
          <cell r="FX11">
            <v>3</v>
          </cell>
          <cell r="FY11">
            <v>0.85</v>
          </cell>
          <cell r="FZ11">
            <v>0.15</v>
          </cell>
          <cell r="GA11">
            <v>0.94504477004477005</v>
          </cell>
          <cell r="GB11">
            <v>5.4955229955229966E-2</v>
          </cell>
          <cell r="GC11">
            <v>2.4232521079919089E-2</v>
          </cell>
          <cell r="GD11">
            <v>0.12485581862986618</v>
          </cell>
          <cell r="GE11">
            <v>0.95933048433048429</v>
          </cell>
          <cell r="GF11">
            <v>4.0669515669515668E-2</v>
          </cell>
          <cell r="GG11">
            <v>1.7614201033819141E-2</v>
          </cell>
          <cell r="GH11">
            <v>0.10993207132684676</v>
          </cell>
          <cell r="GI11">
            <v>0.96858974358974359</v>
          </cell>
          <cell r="GJ11">
            <v>3.141025641025641E-2</v>
          </cell>
          <cell r="GK11">
            <v>1.1529012223652576E-2</v>
          </cell>
          <cell r="GL11">
            <v>9.4475192787893972E-2</v>
          </cell>
          <cell r="GM11">
            <v>0.83746438746438756</v>
          </cell>
          <cell r="GN11">
            <v>0.16253561253561252</v>
          </cell>
          <cell r="GO11">
            <v>0.11649367959569261</v>
          </cell>
          <cell r="GP11">
            <v>0.27805683470612508</v>
          </cell>
          <cell r="GQ11">
            <v>32</v>
          </cell>
          <cell r="GR11">
            <v>31</v>
          </cell>
          <cell r="GS11">
            <v>31</v>
          </cell>
          <cell r="GT11">
            <v>32</v>
          </cell>
          <cell r="GU11">
            <v>31</v>
          </cell>
          <cell r="GV11">
            <v>41</v>
          </cell>
          <cell r="GW11">
            <v>41</v>
          </cell>
          <cell r="GX11">
            <v>40</v>
          </cell>
          <cell r="GY11">
            <v>41</v>
          </cell>
          <cell r="GZ11">
            <v>40</v>
          </cell>
          <cell r="HA11">
            <v>41</v>
          </cell>
          <cell r="HB11">
            <v>40</v>
          </cell>
          <cell r="HC11">
            <v>40</v>
          </cell>
          <cell r="HD11">
            <v>37</v>
          </cell>
          <cell r="HE11">
            <v>36</v>
          </cell>
          <cell r="HF11">
            <v>36</v>
          </cell>
          <cell r="HG11">
            <v>35</v>
          </cell>
          <cell r="HH11">
            <v>36</v>
          </cell>
          <cell r="HI11">
            <v>36</v>
          </cell>
          <cell r="HJ11">
            <v>35</v>
          </cell>
          <cell r="HK11">
            <v>37</v>
          </cell>
          <cell r="HL11">
            <v>35</v>
          </cell>
          <cell r="HM11">
            <v>37</v>
          </cell>
          <cell r="HN11">
            <v>17</v>
          </cell>
          <cell r="HO11">
            <v>2.7113237639553429E-2</v>
          </cell>
          <cell r="HP11">
            <v>1001</v>
          </cell>
          <cell r="HQ11">
            <v>902</v>
          </cell>
          <cell r="HR11">
            <v>99</v>
          </cell>
          <cell r="HS11">
            <v>9.8901098901098897E-2</v>
          </cell>
        </row>
        <row r="12">
          <cell r="A12" t="str">
            <v>EG Library</v>
          </cell>
          <cell r="C12" t="str">
            <v>Mid Sussex</v>
          </cell>
          <cell r="D12" t="str">
            <v>Mid Sussex</v>
          </cell>
          <cell r="E12" t="str">
            <v>Mid Sussex</v>
          </cell>
          <cell r="F12" t="str">
            <v>Mid Sussex</v>
          </cell>
          <cell r="G12" t="str">
            <v>Ashurst Wood, East Grinstead Herontye, East Grinstead Imberhorne, East Grinstead Town</v>
          </cell>
          <cell r="H12" t="str">
            <v>East Grinstead</v>
          </cell>
          <cell r="I12" t="str">
            <v>C2</v>
          </cell>
          <cell r="J12" t="str">
            <v>Horsham and Mid Sussex</v>
          </cell>
          <cell r="K12" t="str">
            <v>Mid Sussex</v>
          </cell>
          <cell r="L12">
            <v>12920</v>
          </cell>
          <cell r="M12">
            <v>13055</v>
          </cell>
          <cell r="N12">
            <v>13210</v>
          </cell>
          <cell r="O12">
            <v>13500</v>
          </cell>
          <cell r="P12">
            <v>13645</v>
          </cell>
          <cell r="Q12">
            <v>13800</v>
          </cell>
          <cell r="R12">
            <v>13935</v>
          </cell>
          <cell r="S12">
            <v>13995</v>
          </cell>
          <cell r="T12">
            <v>14095</v>
          </cell>
          <cell r="U12">
            <v>14340</v>
          </cell>
          <cell r="V12">
            <v>620</v>
          </cell>
          <cell r="W12">
            <v>630</v>
          </cell>
          <cell r="X12">
            <v>660</v>
          </cell>
          <cell r="Y12">
            <v>705</v>
          </cell>
          <cell r="Z12">
            <v>720</v>
          </cell>
          <cell r="AA12">
            <v>735</v>
          </cell>
          <cell r="AB12">
            <v>760</v>
          </cell>
          <cell r="AC12">
            <v>750</v>
          </cell>
          <cell r="AD12">
            <v>760</v>
          </cell>
          <cell r="AE12">
            <v>740</v>
          </cell>
          <cell r="AF12">
            <v>0.89719626168224298</v>
          </cell>
          <cell r="AG12">
            <v>4.2723631508678236E-2</v>
          </cell>
          <cell r="AH12">
            <v>2.67022696929239E-2</v>
          </cell>
          <cell r="AI12">
            <v>2.4032042723631509E-2</v>
          </cell>
          <cell r="AJ12">
            <v>8.0106809078771702E-3</v>
          </cell>
          <cell r="AK12">
            <v>1.3351134846461949E-3</v>
          </cell>
          <cell r="AL12">
            <v>0.10280373831775701</v>
          </cell>
          <cell r="AM12">
            <v>1465</v>
          </cell>
          <cell r="AN12">
            <v>0.72832764505119452</v>
          </cell>
          <cell r="AO12">
            <v>9.6928327645051188E-2</v>
          </cell>
          <cell r="AP12">
            <v>0.17474402730375427</v>
          </cell>
          <cell r="AQ12">
            <v>125</v>
          </cell>
          <cell r="AR12">
            <v>138</v>
          </cell>
          <cell r="AS12">
            <v>133</v>
          </cell>
          <cell r="AT12">
            <v>121</v>
          </cell>
          <cell r="AU12">
            <v>135</v>
          </cell>
          <cell r="AV12">
            <v>4</v>
          </cell>
          <cell r="AW12">
            <v>4</v>
          </cell>
          <cell r="AX12">
            <v>5</v>
          </cell>
          <cell r="AY12">
            <v>1</v>
          </cell>
          <cell r="AZ12">
            <v>1</v>
          </cell>
          <cell r="BA12">
            <v>9</v>
          </cell>
          <cell r="BB12">
            <v>6.6666666666666666E-2</v>
          </cell>
          <cell r="BC12">
            <v>3.5466897784925636E-2</v>
          </cell>
          <cell r="BD12">
            <v>0.12184532729692925</v>
          </cell>
          <cell r="BE12">
            <v>5</v>
          </cell>
          <cell r="BF12">
            <v>200</v>
          </cell>
          <cell r="BG12">
            <v>262</v>
          </cell>
          <cell r="BH12">
            <v>111</v>
          </cell>
          <cell r="BI12">
            <v>0.14288639946679255</v>
          </cell>
          <cell r="BJ12">
            <v>1580</v>
          </cell>
          <cell r="BK12">
            <v>2804</v>
          </cell>
          <cell r="BL12">
            <v>1939</v>
          </cell>
          <cell r="BM12">
            <v>1346</v>
          </cell>
          <cell r="BN12">
            <v>0</v>
          </cell>
          <cell r="BO12">
            <v>191</v>
          </cell>
          <cell r="BP12">
            <v>296</v>
          </cell>
          <cell r="BQ12">
            <v>106</v>
          </cell>
          <cell r="BR12">
            <v>45</v>
          </cell>
          <cell r="BS12">
            <v>55</v>
          </cell>
          <cell r="BT12">
            <v>35</v>
          </cell>
          <cell r="BU12">
            <v>275</v>
          </cell>
          <cell r="BV12">
            <v>50</v>
          </cell>
          <cell r="BW12">
            <v>0.18181818181818182</v>
          </cell>
          <cell r="BX12">
            <v>20</v>
          </cell>
          <cell r="BY12">
            <v>10</v>
          </cell>
          <cell r="BZ12">
            <v>148</v>
          </cell>
          <cell r="CA12">
            <v>2.4983119513841998E-2</v>
          </cell>
          <cell r="CB12">
            <v>65</v>
          </cell>
          <cell r="CC12">
            <v>60</v>
          </cell>
          <cell r="CD12">
            <v>50</v>
          </cell>
          <cell r="CE12">
            <v>55</v>
          </cell>
          <cell r="CF12">
            <v>160</v>
          </cell>
          <cell r="CG12">
            <v>7.9111111111111104E-2</v>
          </cell>
          <cell r="CH12">
            <v>155</v>
          </cell>
          <cell r="CI12">
            <v>7.1444444444444449E-2</v>
          </cell>
          <cell r="CJ12">
            <v>170</v>
          </cell>
          <cell r="CK12">
            <v>7.7333333333333323E-2</v>
          </cell>
          <cell r="CL12">
            <v>155</v>
          </cell>
          <cell r="CM12">
            <v>6.5888888888888886E-2</v>
          </cell>
          <cell r="CN12">
            <v>175</v>
          </cell>
          <cell r="CO12">
            <v>6.6555555555555562E-2</v>
          </cell>
          <cell r="CP12">
            <v>135</v>
          </cell>
          <cell r="CQ12">
            <v>6.0402684563758392E-2</v>
          </cell>
          <cell r="CR12">
            <v>131</v>
          </cell>
          <cell r="CS12">
            <v>4</v>
          </cell>
          <cell r="CT12">
            <v>127</v>
          </cell>
          <cell r="CU12">
            <v>0.96990740740740744</v>
          </cell>
          <cell r="CV12">
            <v>65</v>
          </cell>
          <cell r="CW12">
            <v>82</v>
          </cell>
          <cell r="CX12">
            <v>0.52671965715443969</v>
          </cell>
          <cell r="CY12">
            <v>0.65975867932389676</v>
          </cell>
          <cell r="CZ12">
            <v>0.42581263792217539</v>
          </cell>
          <cell r="DA12">
            <v>0.5971158496536414</v>
          </cell>
          <cell r="DB12">
            <v>0.55932258310542216</v>
          </cell>
          <cell r="DC12">
            <v>0.72346209699631914</v>
          </cell>
          <cell r="DD12">
            <v>93</v>
          </cell>
          <cell r="DE12">
            <v>7</v>
          </cell>
          <cell r="DF12">
            <v>7.5268817204301078E-2</v>
          </cell>
          <cell r="DG12">
            <v>3.6936683981680471E-2</v>
          </cell>
          <cell r="DH12">
            <v>0.14729700103258914</v>
          </cell>
          <cell r="DI12" t="str">
            <v>No Sig diff</v>
          </cell>
          <cell r="DJ12">
            <v>117</v>
          </cell>
          <cell r="DK12">
            <v>6</v>
          </cell>
          <cell r="DL12">
            <v>5.128205128205128E-2</v>
          </cell>
          <cell r="DM12">
            <v>2.3712378528816573E-2</v>
          </cell>
          <cell r="DN12">
            <v>0.10738053424543133</v>
          </cell>
          <cell r="DO12" t="str">
            <v>No Sig diff</v>
          </cell>
          <cell r="DP12">
            <v>99</v>
          </cell>
          <cell r="DQ12">
            <v>4</v>
          </cell>
          <cell r="DR12">
            <v>4.0404040404040407E-2</v>
          </cell>
          <cell r="DS12">
            <v>1.5822638994147552E-2</v>
          </cell>
          <cell r="DT12">
            <v>9.9320212502542235E-2</v>
          </cell>
          <cell r="DU12" t="str">
            <v>No Sig diff</v>
          </cell>
          <cell r="DV12">
            <v>127</v>
          </cell>
          <cell r="DW12">
            <v>9</v>
          </cell>
          <cell r="DX12">
            <v>7.0866141732283464E-2</v>
          </cell>
          <cell r="DY12">
            <v>3.7728059261201326E-2</v>
          </cell>
          <cell r="DZ12">
            <v>0.12920265992793412</v>
          </cell>
          <cell r="EA12" t="str">
            <v>No Sig diff</v>
          </cell>
          <cell r="EB12">
            <v>89</v>
          </cell>
          <cell r="EC12">
            <v>18</v>
          </cell>
          <cell r="ED12">
            <v>0.20224719101123595</v>
          </cell>
          <cell r="EE12">
            <v>0.13193782732624648</v>
          </cell>
          <cell r="EF12">
            <v>0.29719651983691514</v>
          </cell>
          <cell r="EG12" t="str">
            <v>No Sig diff</v>
          </cell>
          <cell r="EH12">
            <v>88</v>
          </cell>
          <cell r="EI12">
            <v>11</v>
          </cell>
          <cell r="EJ12">
            <v>0.125</v>
          </cell>
          <cell r="EK12">
            <v>7.1252741521922444E-2</v>
          </cell>
          <cell r="EL12">
            <v>0.21011755847674671</v>
          </cell>
          <cell r="EM12" t="str">
            <v>No Sig diff</v>
          </cell>
          <cell r="EN12">
            <v>114</v>
          </cell>
          <cell r="EO12">
            <v>10</v>
          </cell>
          <cell r="EP12">
            <v>8.771929824561403E-2</v>
          </cell>
          <cell r="EQ12">
            <v>4.8345105411009899E-2</v>
          </cell>
          <cell r="ER12">
            <v>0.15397298415856123</v>
          </cell>
          <cell r="ES12" t="str">
            <v>Sig better than Eng.</v>
          </cell>
          <cell r="ET12">
            <v>99</v>
          </cell>
          <cell r="EU12">
            <v>7</v>
          </cell>
          <cell r="EV12">
            <v>7.0707070707070704E-2</v>
          </cell>
          <cell r="EW12">
            <v>3.4670230283234689E-2</v>
          </cell>
          <cell r="EX12">
            <v>0.13881485078510192</v>
          </cell>
          <cell r="EY12" t="str">
            <v>Sig better than Eng.</v>
          </cell>
          <cell r="EZ12">
            <v>147</v>
          </cell>
          <cell r="FA12">
            <v>81</v>
          </cell>
          <cell r="FB12">
            <v>0.55102040816326525</v>
          </cell>
          <cell r="FC12">
            <v>0.47033523732756821</v>
          </cell>
          <cell r="FD12">
            <v>0.62910691947250996</v>
          </cell>
          <cell r="FE12">
            <v>147</v>
          </cell>
          <cell r="FF12">
            <v>34</v>
          </cell>
          <cell r="FG12">
            <v>29</v>
          </cell>
          <cell r="FH12">
            <v>25.344827586206897</v>
          </cell>
          <cell r="FI12">
            <v>0.25456389452332656</v>
          </cell>
          <cell r="FJ12">
            <v>126</v>
          </cell>
          <cell r="FK12">
            <v>91</v>
          </cell>
          <cell r="FL12">
            <v>0.72222222222222221</v>
          </cell>
          <cell r="FM12">
            <v>0.63832593390940506</v>
          </cell>
          <cell r="FN12">
            <v>0.79296928187628457</v>
          </cell>
          <cell r="FO12">
            <v>126</v>
          </cell>
          <cell r="FP12">
            <v>34</v>
          </cell>
          <cell r="FQ12">
            <v>25</v>
          </cell>
          <cell r="FR12">
            <v>26.839999999999996</v>
          </cell>
          <cell r="FS12">
            <v>0.21058823529411774</v>
          </cell>
          <cell r="FT12">
            <v>2038</v>
          </cell>
          <cell r="FU12">
            <v>1990</v>
          </cell>
          <cell r="FV12">
            <v>48</v>
          </cell>
          <cell r="FW12">
            <v>42</v>
          </cell>
          <cell r="FX12">
            <v>6</v>
          </cell>
          <cell r="FY12">
            <v>0.875</v>
          </cell>
          <cell r="FZ12">
            <v>0.125</v>
          </cell>
          <cell r="GA12">
            <v>0.91865338728083834</v>
          </cell>
          <cell r="GB12">
            <v>8.1346612719161743E-2</v>
          </cell>
          <cell r="GC12">
            <v>7.2097514909401916E-2</v>
          </cell>
          <cell r="GD12">
            <v>0.22281995332477456</v>
          </cell>
          <cell r="GE12">
            <v>0.92518933499325662</v>
          </cell>
          <cell r="GF12">
            <v>7.4810665006743438E-2</v>
          </cell>
          <cell r="GG12">
            <v>6.2724910645863163E-2</v>
          </cell>
          <cell r="GH12">
            <v>0.20745281963161774</v>
          </cell>
          <cell r="GI12">
            <v>0.90939412802157904</v>
          </cell>
          <cell r="GJ12">
            <v>9.0605871978421001E-2</v>
          </cell>
          <cell r="GK12">
            <v>8.1682478239274645E-2</v>
          </cell>
          <cell r="GL12">
            <v>0.23797472795159738</v>
          </cell>
          <cell r="GM12">
            <v>0.8110488639900405</v>
          </cell>
          <cell r="GN12">
            <v>0.18895113600995952</v>
          </cell>
          <cell r="GO12">
            <v>0.13214965937388246</v>
          </cell>
          <cell r="GP12">
            <v>0.31120623660046737</v>
          </cell>
          <cell r="GQ12">
            <v>38</v>
          </cell>
          <cell r="GR12">
            <v>36</v>
          </cell>
          <cell r="GS12">
            <v>36</v>
          </cell>
          <cell r="GT12">
            <v>36</v>
          </cell>
          <cell r="GU12">
            <v>36</v>
          </cell>
          <cell r="GV12">
            <v>36</v>
          </cell>
          <cell r="GW12">
            <v>34</v>
          </cell>
          <cell r="GX12">
            <v>34</v>
          </cell>
          <cell r="GY12">
            <v>34</v>
          </cell>
          <cell r="GZ12">
            <v>34</v>
          </cell>
          <cell r="HA12">
            <v>34</v>
          </cell>
          <cell r="HB12">
            <v>34</v>
          </cell>
          <cell r="HC12">
            <v>34</v>
          </cell>
          <cell r="HD12">
            <v>46</v>
          </cell>
          <cell r="HE12">
            <v>42</v>
          </cell>
          <cell r="HF12">
            <v>42</v>
          </cell>
          <cell r="HG12">
            <v>40</v>
          </cell>
          <cell r="HH12">
            <v>40</v>
          </cell>
          <cell r="HI12">
            <v>43</v>
          </cell>
          <cell r="HJ12">
            <v>40</v>
          </cell>
          <cell r="HK12">
            <v>42</v>
          </cell>
          <cell r="HL12">
            <v>41</v>
          </cell>
          <cell r="HM12">
            <v>42</v>
          </cell>
          <cell r="HN12">
            <v>13</v>
          </cell>
          <cell r="HO12">
            <v>1.7356475300400534E-2</v>
          </cell>
          <cell r="HP12">
            <v>1182</v>
          </cell>
          <cell r="HQ12">
            <v>1119</v>
          </cell>
          <cell r="HR12">
            <v>63</v>
          </cell>
          <cell r="HS12">
            <v>5.3299492385786802E-2</v>
          </cell>
        </row>
        <row r="13">
          <cell r="A13" t="str">
            <v>EG Urban (Blackwells)</v>
          </cell>
          <cell r="C13" t="str">
            <v>Mid Sussex</v>
          </cell>
          <cell r="D13" t="str">
            <v>Mid Sussex</v>
          </cell>
          <cell r="E13" t="str">
            <v>Mid Sussex</v>
          </cell>
          <cell r="F13" t="str">
            <v>Mid Sussex</v>
          </cell>
          <cell r="G13" t="str">
            <v>East Grinstead Ashplats, East Grinstead Baldwins, East Grinstead Town</v>
          </cell>
          <cell r="H13" t="str">
            <v>East Grinstead</v>
          </cell>
          <cell r="I13" t="str">
            <v>C2</v>
          </cell>
          <cell r="J13" t="str">
            <v>Horsham and Mid Sussex</v>
          </cell>
          <cell r="K13" t="str">
            <v>Mid Sussex</v>
          </cell>
          <cell r="L13">
            <v>11425</v>
          </cell>
          <cell r="M13">
            <v>11570</v>
          </cell>
          <cell r="N13">
            <v>11630</v>
          </cell>
          <cell r="O13">
            <v>11770</v>
          </cell>
          <cell r="P13">
            <v>11975</v>
          </cell>
          <cell r="Q13">
            <v>12235</v>
          </cell>
          <cell r="R13">
            <v>12420</v>
          </cell>
          <cell r="S13">
            <v>12625</v>
          </cell>
          <cell r="T13">
            <v>12605</v>
          </cell>
          <cell r="U13">
            <v>12705</v>
          </cell>
          <cell r="V13">
            <v>740</v>
          </cell>
          <cell r="W13">
            <v>720</v>
          </cell>
          <cell r="X13">
            <v>710</v>
          </cell>
          <cell r="Y13">
            <v>705</v>
          </cell>
          <cell r="Z13">
            <v>740</v>
          </cell>
          <cell r="AA13">
            <v>730</v>
          </cell>
          <cell r="AB13">
            <v>790</v>
          </cell>
          <cell r="AC13">
            <v>795</v>
          </cell>
          <cell r="AD13">
            <v>865</v>
          </cell>
          <cell r="AE13">
            <v>845</v>
          </cell>
          <cell r="AF13">
            <v>0.85231539424280356</v>
          </cell>
          <cell r="AG13">
            <v>4.005006257822278E-2</v>
          </cell>
          <cell r="AH13">
            <v>6.0075093867334166E-2</v>
          </cell>
          <cell r="AI13">
            <v>4.005006257822278E-2</v>
          </cell>
          <cell r="AJ13">
            <v>5.0062578222778474E-3</v>
          </cell>
          <cell r="AK13">
            <v>2.5031289111389237E-3</v>
          </cell>
          <cell r="AL13">
            <v>0.1476846057571965</v>
          </cell>
          <cell r="AM13">
            <v>1525</v>
          </cell>
          <cell r="AN13">
            <v>0.65094957432874923</v>
          </cell>
          <cell r="AO13">
            <v>0.18925998690242304</v>
          </cell>
          <cell r="AP13">
            <v>0.15979043876882776</v>
          </cell>
          <cell r="AQ13">
            <v>137</v>
          </cell>
          <cell r="AR13">
            <v>147</v>
          </cell>
          <cell r="AS13">
            <v>158</v>
          </cell>
          <cell r="AT13">
            <v>170</v>
          </cell>
          <cell r="AU13">
            <v>131</v>
          </cell>
          <cell r="AV13">
            <v>5</v>
          </cell>
          <cell r="AW13">
            <v>7</v>
          </cell>
          <cell r="AX13">
            <v>7</v>
          </cell>
          <cell r="AY13">
            <v>5</v>
          </cell>
          <cell r="AZ13">
            <v>2</v>
          </cell>
          <cell r="BA13">
            <v>9</v>
          </cell>
          <cell r="BB13">
            <v>6.8702290076335881E-2</v>
          </cell>
          <cell r="BC13">
            <v>3.6562545650761696E-2</v>
          </cell>
          <cell r="BD13">
            <v>0.12541626273440917</v>
          </cell>
          <cell r="BE13">
            <v>6</v>
          </cell>
          <cell r="BF13">
            <v>249</v>
          </cell>
          <cell r="BG13">
            <v>267</v>
          </cell>
          <cell r="BH13">
            <v>115</v>
          </cell>
          <cell r="BI13">
            <v>0.11891938392374067</v>
          </cell>
          <cell r="BJ13">
            <v>1596</v>
          </cell>
          <cell r="BK13">
            <v>2772</v>
          </cell>
          <cell r="BL13">
            <v>1536</v>
          </cell>
          <cell r="BM13">
            <v>1047</v>
          </cell>
          <cell r="BN13">
            <v>1</v>
          </cell>
          <cell r="BO13">
            <v>176</v>
          </cell>
          <cell r="BP13">
            <v>235</v>
          </cell>
          <cell r="BQ13">
            <v>77</v>
          </cell>
          <cell r="BR13">
            <v>65</v>
          </cell>
          <cell r="BS13">
            <v>70</v>
          </cell>
          <cell r="BT13">
            <v>50</v>
          </cell>
          <cell r="BU13">
            <v>316</v>
          </cell>
          <cell r="BV13">
            <v>85</v>
          </cell>
          <cell r="BW13">
            <v>0.26898734177215189</v>
          </cell>
          <cell r="BX13">
            <v>26</v>
          </cell>
          <cell r="BY13">
            <v>8</v>
          </cell>
          <cell r="BZ13">
            <v>165</v>
          </cell>
          <cell r="CA13">
            <v>3.1488549618320608E-2</v>
          </cell>
          <cell r="CB13">
            <v>90</v>
          </cell>
          <cell r="CC13">
            <v>110</v>
          </cell>
          <cell r="CD13">
            <v>95</v>
          </cell>
          <cell r="CE13">
            <v>75</v>
          </cell>
          <cell r="CF13">
            <v>250</v>
          </cell>
          <cell r="CG13">
            <v>8.8142857142857162E-2</v>
          </cell>
          <cell r="CH13">
            <v>270</v>
          </cell>
          <cell r="CI13">
            <v>8.671428571428573E-2</v>
          </cell>
          <cell r="CJ13">
            <v>250</v>
          </cell>
          <cell r="CK13">
            <v>0.10185714285714287</v>
          </cell>
          <cell r="CL13">
            <v>205</v>
          </cell>
          <cell r="CM13">
            <v>0.108</v>
          </cell>
          <cell r="CN13">
            <v>210</v>
          </cell>
          <cell r="CO13">
            <v>0.10014285714285712</v>
          </cell>
          <cell r="CP13">
            <v>230</v>
          </cell>
          <cell r="CQ13">
            <v>9.5634095634095639E-2</v>
          </cell>
          <cell r="CR13">
            <v>152</v>
          </cell>
          <cell r="CS13">
            <v>6</v>
          </cell>
          <cell r="CT13">
            <v>146</v>
          </cell>
          <cell r="CU13">
            <v>0.95652513879114864</v>
          </cell>
          <cell r="CV13">
            <v>63</v>
          </cell>
          <cell r="CW13">
            <v>80</v>
          </cell>
          <cell r="CX13">
            <v>0.43148895922005176</v>
          </cell>
          <cell r="CY13">
            <v>0.53734948524864501</v>
          </cell>
          <cell r="CZ13">
            <v>0.35393919302495835</v>
          </cell>
          <cell r="DA13">
            <v>0.51258652479973121</v>
          </cell>
          <cell r="DB13">
            <v>0.46701649179589177</v>
          </cell>
          <cell r="DC13">
            <v>0.62641550572682558</v>
          </cell>
          <cell r="DD13">
            <v>87</v>
          </cell>
          <cell r="DE13">
            <v>7</v>
          </cell>
          <cell r="DF13">
            <v>8.0459770114942528E-2</v>
          </cell>
          <cell r="DG13">
            <v>3.9520271089868816E-2</v>
          </cell>
          <cell r="DH13">
            <v>0.15688188990922067</v>
          </cell>
          <cell r="DI13" t="str">
            <v>No Sig diff</v>
          </cell>
          <cell r="DJ13">
            <v>119</v>
          </cell>
          <cell r="DK13">
            <v>10</v>
          </cell>
          <cell r="DL13">
            <v>8.4033613445378158E-2</v>
          </cell>
          <cell r="DM13">
            <v>4.6284809194831765E-2</v>
          </cell>
          <cell r="DN13">
            <v>0.14779835335938682</v>
          </cell>
          <cell r="DO13" t="str">
            <v>No Sig diff</v>
          </cell>
          <cell r="DP13">
            <v>104</v>
          </cell>
          <cell r="DQ13">
            <v>5</v>
          </cell>
          <cell r="DR13">
            <v>4.807692307692308E-2</v>
          </cell>
          <cell r="DS13">
            <v>2.070804232585223E-2</v>
          </cell>
          <cell r="DT13">
            <v>0.10764202797232544</v>
          </cell>
          <cell r="DU13" t="str">
            <v>No Sig diff</v>
          </cell>
          <cell r="DV13">
            <v>145</v>
          </cell>
          <cell r="DW13">
            <v>13</v>
          </cell>
          <cell r="DX13">
            <v>8.9655172413793102E-2</v>
          </cell>
          <cell r="DY13">
            <v>5.3143530294794135E-2</v>
          </cell>
          <cell r="DZ13">
            <v>0.14734804683119626</v>
          </cell>
          <cell r="EA13" t="str">
            <v>No Sig diff</v>
          </cell>
          <cell r="EB13">
            <v>105</v>
          </cell>
          <cell r="EC13">
            <v>12</v>
          </cell>
          <cell r="ED13">
            <v>0.11428571428571428</v>
          </cell>
          <cell r="EE13">
            <v>6.6597020035790502E-2</v>
          </cell>
          <cell r="EF13">
            <v>0.1892012678809514</v>
          </cell>
          <cell r="EG13" t="str">
            <v>No Sig diff</v>
          </cell>
          <cell r="EH13">
            <v>116</v>
          </cell>
          <cell r="EI13">
            <v>10</v>
          </cell>
          <cell r="EJ13">
            <v>8.6206896551724144E-2</v>
          </cell>
          <cell r="EK13">
            <v>4.7499354799614958E-2</v>
          </cell>
          <cell r="EL13">
            <v>0.15144230575181017</v>
          </cell>
          <cell r="EM13" t="str">
            <v>Sig better than Eng.</v>
          </cell>
          <cell r="EN13">
            <v>105</v>
          </cell>
          <cell r="EO13">
            <v>18</v>
          </cell>
          <cell r="EP13">
            <v>0.17142857142857143</v>
          </cell>
          <cell r="EQ13">
            <v>0.11127785378367308</v>
          </cell>
          <cell r="ER13">
            <v>0.25477253962688479</v>
          </cell>
          <cell r="ES13" t="str">
            <v>No Sig diff</v>
          </cell>
          <cell r="ET13">
            <v>125</v>
          </cell>
          <cell r="EU13">
            <v>18</v>
          </cell>
          <cell r="EV13">
            <v>0.14399999999999999</v>
          </cell>
          <cell r="EW13">
            <v>9.3068950253000618E-2</v>
          </cell>
          <cell r="EX13">
            <v>0.21615961006732778</v>
          </cell>
          <cell r="EY13" t="str">
            <v>No Sig diff</v>
          </cell>
          <cell r="EZ13">
            <v>159</v>
          </cell>
          <cell r="FA13">
            <v>102</v>
          </cell>
          <cell r="FB13">
            <v>0.64150943396226412</v>
          </cell>
          <cell r="FC13">
            <v>0.56443995549802972</v>
          </cell>
          <cell r="FD13">
            <v>0.71190244726532192</v>
          </cell>
          <cell r="FE13">
            <v>159</v>
          </cell>
          <cell r="FF13">
            <v>34</v>
          </cell>
          <cell r="FG13">
            <v>31</v>
          </cell>
          <cell r="FH13">
            <v>26.903225806451605</v>
          </cell>
          <cell r="FI13">
            <v>0.20872865275142338</v>
          </cell>
          <cell r="FJ13">
            <v>141</v>
          </cell>
          <cell r="FK13">
            <v>83</v>
          </cell>
          <cell r="FL13">
            <v>0.58865248226950351</v>
          </cell>
          <cell r="FM13">
            <v>0.50612931176565457</v>
          </cell>
          <cell r="FN13">
            <v>0.66647320275989053</v>
          </cell>
          <cell r="FO13">
            <v>141</v>
          </cell>
          <cell r="FP13">
            <v>34</v>
          </cell>
          <cell r="FQ13">
            <v>28</v>
          </cell>
          <cell r="FR13">
            <v>25.785714285714285</v>
          </cell>
          <cell r="FS13">
            <v>0.24159663865546221</v>
          </cell>
          <cell r="FT13">
            <v>1928</v>
          </cell>
          <cell r="FU13">
            <v>1895</v>
          </cell>
          <cell r="FV13">
            <v>33</v>
          </cell>
          <cell r="FW13">
            <v>30</v>
          </cell>
          <cell r="FX13">
            <v>3</v>
          </cell>
          <cell r="FY13">
            <v>0.90909090909090906</v>
          </cell>
          <cell r="FZ13">
            <v>9.0909090909090912E-2</v>
          </cell>
          <cell r="GA13">
            <v>0.87410399124684857</v>
          </cell>
          <cell r="GB13">
            <v>0.1258960087531516</v>
          </cell>
          <cell r="GC13">
            <v>8.167987995453567E-2</v>
          </cell>
          <cell r="GD13">
            <v>0.20088987633992925</v>
          </cell>
          <cell r="GE13">
            <v>0.91388421102706829</v>
          </cell>
          <cell r="GF13">
            <v>8.6115788972931817E-2</v>
          </cell>
          <cell r="GG13">
            <v>3.8969900613698788E-2</v>
          </cell>
          <cell r="GH13">
            <v>0.13322597203376074</v>
          </cell>
          <cell r="GI13">
            <v>0.86807430664573537</v>
          </cell>
          <cell r="GJ13">
            <v>0.13192569335426479</v>
          </cell>
          <cell r="GK13">
            <v>8.2363400835368833E-2</v>
          </cell>
          <cell r="GL13">
            <v>0.20245179541134131</v>
          </cell>
          <cell r="GM13">
            <v>0.76172969887255593</v>
          </cell>
          <cell r="GN13">
            <v>0.23827030112744399</v>
          </cell>
          <cell r="GO13">
            <v>0.17652266116613055</v>
          </cell>
          <cell r="GP13">
            <v>0.32679486242234518</v>
          </cell>
          <cell r="GQ13">
            <v>40</v>
          </cell>
          <cell r="GR13">
            <v>39</v>
          </cell>
          <cell r="GS13">
            <v>39</v>
          </cell>
          <cell r="GT13">
            <v>39</v>
          </cell>
          <cell r="GU13">
            <v>39</v>
          </cell>
          <cell r="GV13">
            <v>34</v>
          </cell>
          <cell r="GW13">
            <v>31</v>
          </cell>
          <cell r="GX13">
            <v>32</v>
          </cell>
          <cell r="GY13">
            <v>31</v>
          </cell>
          <cell r="GZ13">
            <v>32</v>
          </cell>
          <cell r="HA13">
            <v>32</v>
          </cell>
          <cell r="HB13">
            <v>31</v>
          </cell>
          <cell r="HC13">
            <v>32</v>
          </cell>
          <cell r="HD13">
            <v>41</v>
          </cell>
          <cell r="HE13">
            <v>33</v>
          </cell>
          <cell r="HF13">
            <v>36</v>
          </cell>
          <cell r="HG13">
            <v>34</v>
          </cell>
          <cell r="HH13">
            <v>36</v>
          </cell>
          <cell r="HI13">
            <v>37</v>
          </cell>
          <cell r="HJ13">
            <v>35</v>
          </cell>
          <cell r="HK13">
            <v>34</v>
          </cell>
          <cell r="HL13">
            <v>34</v>
          </cell>
          <cell r="HM13">
            <v>37</v>
          </cell>
          <cell r="HN13">
            <v>15</v>
          </cell>
          <cell r="HO13">
            <v>1.8773466833541929E-2</v>
          </cell>
          <cell r="HP13">
            <v>1264</v>
          </cell>
          <cell r="HQ13">
            <v>1157</v>
          </cell>
          <cell r="HR13">
            <v>107</v>
          </cell>
          <cell r="HS13">
            <v>8.4651898734177208E-2</v>
          </cell>
        </row>
        <row r="14">
          <cell r="A14" t="str">
            <v>Felpham</v>
          </cell>
          <cell r="C14" t="str">
            <v>Arun West</v>
          </cell>
          <cell r="D14" t="str">
            <v>Arun West South</v>
          </cell>
          <cell r="E14" t="str">
            <v>Arun</v>
          </cell>
          <cell r="F14" t="str">
            <v>Arch</v>
          </cell>
          <cell r="G14" t="str">
            <v>Felpham East, Felpham West, Hotham, Middleton-on-sea</v>
          </cell>
          <cell r="H14" t="str">
            <v>Bognor Regis/Felpham</v>
          </cell>
          <cell r="I14" t="str">
            <v>A</v>
          </cell>
          <cell r="J14" t="str">
            <v>Coastal West Sussex</v>
          </cell>
          <cell r="K14" t="str">
            <v>Bognor Regis and Littlehampton</v>
          </cell>
          <cell r="L14">
            <v>19585</v>
          </cell>
          <cell r="M14">
            <v>19635</v>
          </cell>
          <cell r="N14">
            <v>19660</v>
          </cell>
          <cell r="O14">
            <v>19650</v>
          </cell>
          <cell r="P14">
            <v>19765</v>
          </cell>
          <cell r="Q14">
            <v>19785</v>
          </cell>
          <cell r="R14">
            <v>19715</v>
          </cell>
          <cell r="S14">
            <v>19595</v>
          </cell>
          <cell r="T14">
            <v>19835</v>
          </cell>
          <cell r="U14">
            <v>20120</v>
          </cell>
          <cell r="V14">
            <v>800</v>
          </cell>
          <cell r="W14">
            <v>785</v>
          </cell>
          <cell r="X14">
            <v>770</v>
          </cell>
          <cell r="Y14">
            <v>780</v>
          </cell>
          <cell r="Z14">
            <v>785</v>
          </cell>
          <cell r="AA14">
            <v>795</v>
          </cell>
          <cell r="AB14">
            <v>840</v>
          </cell>
          <cell r="AC14">
            <v>815</v>
          </cell>
          <cell r="AD14">
            <v>905</v>
          </cell>
          <cell r="AE14">
            <v>970</v>
          </cell>
          <cell r="AF14">
            <v>0.91389913899138986</v>
          </cell>
          <cell r="AG14">
            <v>4.3050430504305043E-2</v>
          </cell>
          <cell r="AH14">
            <v>2.4600246002460024E-2</v>
          </cell>
          <cell r="AI14">
            <v>1.3530135301353014E-2</v>
          </cell>
          <cell r="AJ14">
            <v>2.4600246002460025E-3</v>
          </cell>
          <cell r="AK14">
            <v>2.4600246002460025E-3</v>
          </cell>
          <cell r="AL14">
            <v>8.6100861008610086E-2</v>
          </cell>
          <cell r="AM14">
            <v>1660</v>
          </cell>
          <cell r="AN14">
            <v>0.68471720818291215</v>
          </cell>
          <cell r="AO14">
            <v>6.3778580024067388E-2</v>
          </cell>
          <cell r="AP14">
            <v>0.25150421179302046</v>
          </cell>
          <cell r="AQ14">
            <v>140</v>
          </cell>
          <cell r="AR14">
            <v>159</v>
          </cell>
          <cell r="AS14">
            <v>169</v>
          </cell>
          <cell r="AT14">
            <v>163</v>
          </cell>
          <cell r="AU14">
            <v>155</v>
          </cell>
          <cell r="AV14">
            <v>10</v>
          </cell>
          <cell r="AW14">
            <v>9</v>
          </cell>
          <cell r="AX14">
            <v>9</v>
          </cell>
          <cell r="AY14">
            <v>9</v>
          </cell>
          <cell r="AZ14">
            <v>6</v>
          </cell>
          <cell r="BA14">
            <v>13</v>
          </cell>
          <cell r="BB14">
            <v>8.387096774193549E-2</v>
          </cell>
          <cell r="BC14">
            <v>4.9668328719835564E-2</v>
          </cell>
          <cell r="BD14">
            <v>0.13820112955793193</v>
          </cell>
          <cell r="BE14">
            <v>17</v>
          </cell>
          <cell r="BF14">
            <v>250</v>
          </cell>
          <cell r="BG14">
            <v>266</v>
          </cell>
          <cell r="BH14">
            <v>117</v>
          </cell>
          <cell r="BI14">
            <v>0.12501869560446638</v>
          </cell>
          <cell r="BJ14">
            <v>1883</v>
          </cell>
          <cell r="BK14">
            <v>3273</v>
          </cell>
          <cell r="BL14">
            <v>1896</v>
          </cell>
          <cell r="BM14">
            <v>1082</v>
          </cell>
          <cell r="BN14">
            <v>0</v>
          </cell>
          <cell r="BO14">
            <v>244</v>
          </cell>
          <cell r="BP14">
            <v>431</v>
          </cell>
          <cell r="BQ14">
            <v>139</v>
          </cell>
          <cell r="BR14">
            <v>105</v>
          </cell>
          <cell r="BS14">
            <v>115</v>
          </cell>
          <cell r="BT14">
            <v>95</v>
          </cell>
          <cell r="BU14">
            <v>430</v>
          </cell>
          <cell r="BV14">
            <v>125</v>
          </cell>
          <cell r="BW14">
            <v>0.29069767441860467</v>
          </cell>
          <cell r="BX14">
            <v>47</v>
          </cell>
          <cell r="BY14">
            <v>5</v>
          </cell>
          <cell r="BZ14">
            <v>294</v>
          </cell>
          <cell r="CA14">
            <v>3.4154275092936802E-2</v>
          </cell>
          <cell r="CB14">
            <v>130</v>
          </cell>
          <cell r="CC14">
            <v>140</v>
          </cell>
          <cell r="CD14">
            <v>150</v>
          </cell>
          <cell r="CE14">
            <v>170</v>
          </cell>
          <cell r="CF14">
            <v>325</v>
          </cell>
          <cell r="CG14">
            <v>0.13775000000000001</v>
          </cell>
          <cell r="CH14">
            <v>350</v>
          </cell>
          <cell r="CI14">
            <v>0.11091666666666668</v>
          </cell>
          <cell r="CJ14">
            <v>355</v>
          </cell>
          <cell r="CK14">
            <v>0.12124999999999998</v>
          </cell>
          <cell r="CL14">
            <v>345</v>
          </cell>
          <cell r="CM14">
            <v>0.1205</v>
          </cell>
          <cell r="CN14">
            <v>395</v>
          </cell>
          <cell r="CO14">
            <v>0.11575000000000002</v>
          </cell>
          <cell r="CP14">
            <v>390</v>
          </cell>
          <cell r="CQ14">
            <v>0.13287904599659284</v>
          </cell>
          <cell r="CR14">
            <v>178</v>
          </cell>
          <cell r="CS14">
            <v>6</v>
          </cell>
          <cell r="CT14">
            <v>172</v>
          </cell>
          <cell r="CU14">
            <v>0.95942668442668444</v>
          </cell>
          <cell r="CV14">
            <v>68</v>
          </cell>
          <cell r="CW14">
            <v>81</v>
          </cell>
          <cell r="CX14">
            <v>0.43205756661639017</v>
          </cell>
          <cell r="CY14">
            <v>0.49128645047762698</v>
          </cell>
          <cell r="CZ14">
            <v>0.32533233499934777</v>
          </cell>
          <cell r="DA14">
            <v>0.46993795371504055</v>
          </cell>
          <cell r="DB14">
            <v>0.39778405133173356</v>
          </cell>
          <cell r="DC14">
            <v>0.54534658442226325</v>
          </cell>
          <cell r="DD14">
            <v>149</v>
          </cell>
          <cell r="DE14">
            <v>10</v>
          </cell>
          <cell r="DF14">
            <v>6.7114093959731544E-2</v>
          </cell>
          <cell r="DG14">
            <v>3.6860340607094678E-2</v>
          </cell>
          <cell r="DH14">
            <v>0.11912782519982631</v>
          </cell>
          <cell r="DI14" t="str">
            <v>No Sig diff</v>
          </cell>
          <cell r="DJ14">
            <v>179</v>
          </cell>
          <cell r="DK14">
            <v>16</v>
          </cell>
          <cell r="DL14">
            <v>8.9385474860335198E-2</v>
          </cell>
          <cell r="DM14">
            <v>5.5768700800059426E-2</v>
          </cell>
          <cell r="DN14">
            <v>0.14025609057858804</v>
          </cell>
          <cell r="DO14" t="str">
            <v>No Sig diff</v>
          </cell>
          <cell r="DP14">
            <v>138</v>
          </cell>
          <cell r="DQ14">
            <v>15</v>
          </cell>
          <cell r="DR14">
            <v>0.10869565217391304</v>
          </cell>
          <cell r="DS14">
            <v>6.6985397787695536E-2</v>
          </cell>
          <cell r="DT14">
            <v>0.17160111353318763</v>
          </cell>
          <cell r="DU14" t="str">
            <v>No Sig diff</v>
          </cell>
          <cell r="DV14">
            <v>191</v>
          </cell>
          <cell r="DW14">
            <v>18</v>
          </cell>
          <cell r="DX14">
            <v>9.4240837696335081E-2</v>
          </cell>
          <cell r="DY14">
            <v>6.0444414831651493E-2</v>
          </cell>
          <cell r="DZ14">
            <v>0.14403700848472206</v>
          </cell>
          <cell r="EA14" t="str">
            <v>No Sig diff</v>
          </cell>
          <cell r="EB14">
            <v>175</v>
          </cell>
          <cell r="EC14">
            <v>22</v>
          </cell>
          <cell r="ED14">
            <v>0.12571428571428572</v>
          </cell>
          <cell r="EE14">
            <v>8.4504753621622061E-2</v>
          </cell>
          <cell r="EF14">
            <v>0.18300289888897292</v>
          </cell>
          <cell r="EG14" t="str">
            <v>Sig better than Eng.</v>
          </cell>
          <cell r="EH14">
            <v>136</v>
          </cell>
          <cell r="EI14">
            <v>24</v>
          </cell>
          <cell r="EJ14">
            <v>0.17647058823529413</v>
          </cell>
          <cell r="EK14">
            <v>0.12155217401413997</v>
          </cell>
          <cell r="EL14">
            <v>0.24916377287229574</v>
          </cell>
          <cell r="EM14" t="str">
            <v>No Sig diff</v>
          </cell>
          <cell r="EN14">
            <v>155</v>
          </cell>
          <cell r="EO14">
            <v>19</v>
          </cell>
          <cell r="EP14">
            <v>0.12258064516129032</v>
          </cell>
          <cell r="EQ14">
            <v>7.9896668098098103E-2</v>
          </cell>
          <cell r="ER14">
            <v>0.18351981731662126</v>
          </cell>
          <cell r="ES14" t="str">
            <v>Sig better than Eng.</v>
          </cell>
          <cell r="ET14">
            <v>164</v>
          </cell>
          <cell r="EU14">
            <v>23</v>
          </cell>
          <cell r="EV14">
            <v>0.1402439024390244</v>
          </cell>
          <cell r="EW14">
            <v>9.5303919572450629E-2</v>
          </cell>
          <cell r="EX14">
            <v>0.20165166679396676</v>
          </cell>
          <cell r="EY14" t="str">
            <v>No Sig diff</v>
          </cell>
          <cell r="EZ14">
            <v>190</v>
          </cell>
          <cell r="FA14">
            <v>81</v>
          </cell>
          <cell r="FB14">
            <v>0.4263157894736842</v>
          </cell>
          <cell r="FC14">
            <v>0.35814185509394658</v>
          </cell>
          <cell r="FD14">
            <v>0.49741020187906476</v>
          </cell>
          <cell r="FE14">
            <v>190</v>
          </cell>
          <cell r="FF14">
            <v>33</v>
          </cell>
          <cell r="FG14">
            <v>38</v>
          </cell>
          <cell r="FH14">
            <v>22.763157894736842</v>
          </cell>
          <cell r="FI14">
            <v>0.31020733652312599</v>
          </cell>
          <cell r="FJ14">
            <v>198</v>
          </cell>
          <cell r="FK14">
            <v>99</v>
          </cell>
          <cell r="FL14">
            <v>0.5</v>
          </cell>
          <cell r="FM14">
            <v>0.43102163323431003</v>
          </cell>
          <cell r="FN14">
            <v>0.56897836676569002</v>
          </cell>
          <cell r="FO14">
            <v>198</v>
          </cell>
          <cell r="FP14">
            <v>33.5</v>
          </cell>
          <cell r="FQ14">
            <v>39</v>
          </cell>
          <cell r="FR14">
            <v>22.179487179487182</v>
          </cell>
          <cell r="FS14">
            <v>0.33792575583620349</v>
          </cell>
          <cell r="FT14">
            <v>2287</v>
          </cell>
          <cell r="FU14">
            <v>2241</v>
          </cell>
          <cell r="FV14">
            <v>46</v>
          </cell>
          <cell r="FW14">
            <v>33</v>
          </cell>
          <cell r="FX14">
            <v>13</v>
          </cell>
          <cell r="FY14">
            <v>0.71739130434782605</v>
          </cell>
          <cell r="FZ14">
            <v>0.28260869565217389</v>
          </cell>
          <cell r="GA14">
            <v>0.88842592592592595</v>
          </cell>
          <cell r="GB14">
            <v>0.11157407407407409</v>
          </cell>
          <cell r="GC14">
            <v>6.3644792722440502E-2</v>
          </cell>
          <cell r="GD14">
            <v>0.19880765197250103</v>
          </cell>
          <cell r="GE14">
            <v>0.88981481481481473</v>
          </cell>
          <cell r="GF14">
            <v>0.11018518518518521</v>
          </cell>
          <cell r="GG14">
            <v>6.3644792722440502E-2</v>
          </cell>
          <cell r="GH14">
            <v>0.19880765197250103</v>
          </cell>
          <cell r="GI14">
            <v>0.88796296296296306</v>
          </cell>
          <cell r="GJ14">
            <v>0.11203703703703703</v>
          </cell>
          <cell r="GK14">
            <v>6.3644792722440502E-2</v>
          </cell>
          <cell r="GL14">
            <v>0.19880765197250103</v>
          </cell>
          <cell r="GM14">
            <v>0.77314814814814803</v>
          </cell>
          <cell r="GN14">
            <v>0.22685185185185186</v>
          </cell>
          <cell r="GO14">
            <v>0.1733308743374927</v>
          </cell>
          <cell r="GP14">
            <v>0.35331770957120112</v>
          </cell>
          <cell r="GQ14">
            <v>41</v>
          </cell>
          <cell r="GR14">
            <v>39</v>
          </cell>
          <cell r="GS14">
            <v>39</v>
          </cell>
          <cell r="GT14">
            <v>40</v>
          </cell>
          <cell r="GU14">
            <v>40</v>
          </cell>
          <cell r="GV14">
            <v>51</v>
          </cell>
          <cell r="GW14">
            <v>50</v>
          </cell>
          <cell r="GX14">
            <v>51</v>
          </cell>
          <cell r="GY14">
            <v>50</v>
          </cell>
          <cell r="GZ14">
            <v>51</v>
          </cell>
          <cell r="HA14">
            <v>51</v>
          </cell>
          <cell r="HB14">
            <v>50</v>
          </cell>
          <cell r="HC14">
            <v>51</v>
          </cell>
          <cell r="HD14">
            <v>58</v>
          </cell>
          <cell r="HE14">
            <v>57</v>
          </cell>
          <cell r="HF14">
            <v>56</v>
          </cell>
          <cell r="HG14">
            <v>53</v>
          </cell>
          <cell r="HH14">
            <v>56</v>
          </cell>
          <cell r="HI14">
            <v>56</v>
          </cell>
          <cell r="HJ14">
            <v>53</v>
          </cell>
          <cell r="HK14">
            <v>55</v>
          </cell>
          <cell r="HL14">
            <v>54</v>
          </cell>
          <cell r="HM14">
            <v>57</v>
          </cell>
          <cell r="HN14">
            <v>22</v>
          </cell>
          <cell r="HO14">
            <v>2.7060270602706028E-2</v>
          </cell>
          <cell r="HP14">
            <v>1298</v>
          </cell>
          <cell r="HQ14">
            <v>1163</v>
          </cell>
          <cell r="HR14">
            <v>135</v>
          </cell>
          <cell r="HS14">
            <v>0.10400616332819723</v>
          </cell>
        </row>
        <row r="15">
          <cell r="A15" t="str">
            <v>Findon</v>
          </cell>
          <cell r="C15" t="str">
            <v>Worthing</v>
          </cell>
          <cell r="D15" t="str">
            <v>Worthing</v>
          </cell>
          <cell r="E15" t="str">
            <v>Worthing</v>
          </cell>
          <cell r="F15" t="str">
            <v>CCC</v>
          </cell>
          <cell r="G15" t="str">
            <v>Findon, Broadwater, Offington, Salvington</v>
          </cell>
          <cell r="H15" t="str">
            <v>Worthing</v>
          </cell>
          <cell r="I15" t="str">
            <v>B</v>
          </cell>
          <cell r="J15" t="str">
            <v>Coastal West Sussex</v>
          </cell>
          <cell r="K15" t="str">
            <v>East Worthing and Shoreham</v>
          </cell>
          <cell r="L15">
            <v>20260</v>
          </cell>
          <cell r="M15">
            <v>20380</v>
          </cell>
          <cell r="N15">
            <v>20385</v>
          </cell>
          <cell r="O15">
            <v>20465</v>
          </cell>
          <cell r="P15">
            <v>20610</v>
          </cell>
          <cell r="Q15">
            <v>20715</v>
          </cell>
          <cell r="R15">
            <v>20880</v>
          </cell>
          <cell r="S15">
            <v>21010</v>
          </cell>
          <cell r="T15">
            <v>21080</v>
          </cell>
          <cell r="U15">
            <v>21065</v>
          </cell>
          <cell r="V15">
            <v>990</v>
          </cell>
          <cell r="W15">
            <v>980</v>
          </cell>
          <cell r="X15">
            <v>975</v>
          </cell>
          <cell r="Y15">
            <v>970</v>
          </cell>
          <cell r="Z15">
            <v>1010</v>
          </cell>
          <cell r="AA15">
            <v>970</v>
          </cell>
          <cell r="AB15">
            <v>1000</v>
          </cell>
          <cell r="AC15">
            <v>1030</v>
          </cell>
          <cell r="AD15">
            <v>1000</v>
          </cell>
          <cell r="AE15">
            <v>970</v>
          </cell>
          <cell r="AF15">
            <v>0.90761904761904766</v>
          </cell>
          <cell r="AG15">
            <v>2.6666666666666668E-2</v>
          </cell>
          <cell r="AH15">
            <v>5.3333333333333337E-2</v>
          </cell>
          <cell r="AI15">
            <v>9.5238095238095247E-3</v>
          </cell>
          <cell r="AJ15">
            <v>9.5238095238095238E-4</v>
          </cell>
          <cell r="AK15">
            <v>1.9047619047619048E-3</v>
          </cell>
          <cell r="AL15">
            <v>9.2380952380952383E-2</v>
          </cell>
          <cell r="AM15">
            <v>2130</v>
          </cell>
          <cell r="AN15">
            <v>0.784037558685446</v>
          </cell>
          <cell r="AO15">
            <v>3.5680751173708919E-2</v>
          </cell>
          <cell r="AP15">
            <v>0.18028169014084508</v>
          </cell>
          <cell r="AQ15">
            <v>189</v>
          </cell>
          <cell r="AR15">
            <v>158</v>
          </cell>
          <cell r="AS15">
            <v>178</v>
          </cell>
          <cell r="AT15">
            <v>153</v>
          </cell>
          <cell r="AU15">
            <v>160</v>
          </cell>
          <cell r="AV15">
            <v>4</v>
          </cell>
          <cell r="AW15">
            <v>8</v>
          </cell>
          <cell r="AX15">
            <v>7</v>
          </cell>
          <cell r="AY15">
            <v>3</v>
          </cell>
          <cell r="AZ15">
            <v>5</v>
          </cell>
          <cell r="BA15">
            <v>7</v>
          </cell>
          <cell r="BB15">
            <v>4.3749999999999997E-2</v>
          </cell>
          <cell r="BC15">
            <v>2.1351611551534529E-2</v>
          </cell>
          <cell r="BD15">
            <v>8.7543041542463937E-2</v>
          </cell>
          <cell r="BE15">
            <v>13</v>
          </cell>
          <cell r="BF15">
            <v>329</v>
          </cell>
          <cell r="BG15">
            <v>333</v>
          </cell>
          <cell r="BH15">
            <v>143</v>
          </cell>
          <cell r="BI15">
            <v>0.1346246371384921</v>
          </cell>
          <cell r="BJ15">
            <v>2320</v>
          </cell>
          <cell r="BK15">
            <v>4068</v>
          </cell>
          <cell r="BL15">
            <v>2557</v>
          </cell>
          <cell r="BM15">
            <v>1588</v>
          </cell>
          <cell r="BN15">
            <v>2</v>
          </cell>
          <cell r="BO15">
            <v>322</v>
          </cell>
          <cell r="BP15">
            <v>476</v>
          </cell>
          <cell r="BQ15">
            <v>169</v>
          </cell>
          <cell r="BR15">
            <v>100</v>
          </cell>
          <cell r="BS15">
            <v>90</v>
          </cell>
          <cell r="BT15">
            <v>45</v>
          </cell>
          <cell r="BU15">
            <v>371</v>
          </cell>
          <cell r="BV15">
            <v>99</v>
          </cell>
          <cell r="BW15">
            <v>0.26684636118598382</v>
          </cell>
          <cell r="BX15">
            <v>34</v>
          </cell>
          <cell r="BY15">
            <v>8</v>
          </cell>
          <cell r="BZ15">
            <v>215</v>
          </cell>
          <cell r="CA15">
            <v>2.387827632163483E-2</v>
          </cell>
          <cell r="CB15">
            <v>115</v>
          </cell>
          <cell r="CC15">
            <v>115</v>
          </cell>
          <cell r="CD15">
            <v>110</v>
          </cell>
          <cell r="CE15">
            <v>85</v>
          </cell>
          <cell r="CF15">
            <v>285</v>
          </cell>
          <cell r="CG15">
            <v>7.3857142857142857E-2</v>
          </cell>
          <cell r="CH15">
            <v>250</v>
          </cell>
          <cell r="CI15">
            <v>7.3428571428571426E-2</v>
          </cell>
          <cell r="CJ15">
            <v>285</v>
          </cell>
          <cell r="CK15">
            <v>8.1500000000000003E-2</v>
          </cell>
          <cell r="CL15">
            <v>255</v>
          </cell>
          <cell r="CM15">
            <v>7.3785714285714274E-2</v>
          </cell>
          <cell r="CN15">
            <v>260</v>
          </cell>
          <cell r="CO15">
            <v>8.4642857142857145E-2</v>
          </cell>
          <cell r="CP15">
            <v>255</v>
          </cell>
          <cell r="CQ15">
            <v>7.5667655786350152E-2</v>
          </cell>
          <cell r="CR15">
            <v>170</v>
          </cell>
          <cell r="CS15">
            <v>8</v>
          </cell>
          <cell r="CT15">
            <v>162</v>
          </cell>
          <cell r="CU15">
            <v>0.95496987256441046</v>
          </cell>
          <cell r="CV15">
            <v>58</v>
          </cell>
          <cell r="CW15">
            <v>84</v>
          </cell>
          <cell r="CX15">
            <v>0.40838999935638592</v>
          </cell>
          <cell r="CY15">
            <v>0.5585264875180842</v>
          </cell>
          <cell r="CZ15">
            <v>0.28827262158110739</v>
          </cell>
          <cell r="DA15">
            <v>0.43435427058587606</v>
          </cell>
          <cell r="DB15">
            <v>0.44204148501870449</v>
          </cell>
          <cell r="DC15">
            <v>0.59413761600299331</v>
          </cell>
          <cell r="DD15">
            <v>149</v>
          </cell>
          <cell r="DE15">
            <v>12</v>
          </cell>
          <cell r="DF15">
            <v>8.0536912751677847E-2</v>
          </cell>
          <cell r="DG15">
            <v>4.6668847532353522E-2</v>
          </cell>
          <cell r="DH15">
            <v>0.13549022786194978</v>
          </cell>
          <cell r="DI15" t="str">
            <v>No Sig diff</v>
          </cell>
          <cell r="DJ15">
            <v>195</v>
          </cell>
          <cell r="DK15">
            <v>12</v>
          </cell>
          <cell r="DL15">
            <v>6.1538461538461542E-2</v>
          </cell>
          <cell r="DM15">
            <v>3.5549562909461881E-2</v>
          </cell>
          <cell r="DN15">
            <v>0.10446881648595506</v>
          </cell>
          <cell r="DO15" t="str">
            <v>No Sig diff</v>
          </cell>
          <cell r="DP15">
            <v>178</v>
          </cell>
          <cell r="DQ15">
            <v>11</v>
          </cell>
          <cell r="DR15">
            <v>6.1797752808988762E-2</v>
          </cell>
          <cell r="DS15">
            <v>3.4853872292265949E-2</v>
          </cell>
          <cell r="DT15">
            <v>0.1072559578217525</v>
          </cell>
          <cell r="DU15" t="str">
            <v>No Sig diff</v>
          </cell>
          <cell r="DV15">
            <v>217</v>
          </cell>
          <cell r="DW15">
            <v>25</v>
          </cell>
          <cell r="DX15">
            <v>0.1152073732718894</v>
          </cell>
          <cell r="DY15">
            <v>7.9263660950678702E-2</v>
          </cell>
          <cell r="DZ15">
            <v>0.16453774802483956</v>
          </cell>
          <cell r="EA15" t="str">
            <v>No Sig diff</v>
          </cell>
          <cell r="EB15">
            <v>202</v>
          </cell>
          <cell r="EC15">
            <v>26</v>
          </cell>
          <cell r="ED15">
            <v>0.12871287128712872</v>
          </cell>
          <cell r="EE15">
            <v>8.9372024897603541E-2</v>
          </cell>
          <cell r="EF15">
            <v>0.18191180266862503</v>
          </cell>
          <cell r="EG15" t="str">
            <v>Sig better than Eng.</v>
          </cell>
          <cell r="EH15">
            <v>198</v>
          </cell>
          <cell r="EI15">
            <v>24</v>
          </cell>
          <cell r="EJ15">
            <v>0.12121212121212122</v>
          </cell>
          <cell r="EK15">
            <v>8.2822315097491175E-2</v>
          </cell>
          <cell r="EL15">
            <v>0.17402015484693928</v>
          </cell>
          <cell r="EM15" t="str">
            <v>Sig better than Eng.</v>
          </cell>
          <cell r="EN15">
            <v>168</v>
          </cell>
          <cell r="EO15">
            <v>21</v>
          </cell>
          <cell r="EP15">
            <v>0.125</v>
          </cell>
          <cell r="EQ15">
            <v>8.3230069008517427E-2</v>
          </cell>
          <cell r="ER15">
            <v>0.18353593225388359</v>
          </cell>
          <cell r="ES15" t="str">
            <v>Sig better than Eng.</v>
          </cell>
          <cell r="ET15">
            <v>171</v>
          </cell>
          <cell r="EU15">
            <v>29</v>
          </cell>
          <cell r="EV15">
            <v>0.16959064327485379</v>
          </cell>
          <cell r="EW15">
            <v>0.12075302396653985</v>
          </cell>
          <cell r="EX15">
            <v>0.23294717527576139</v>
          </cell>
          <cell r="EY15" t="str">
            <v>No Sig diff</v>
          </cell>
          <cell r="EZ15">
            <v>231</v>
          </cell>
          <cell r="FA15">
            <v>132</v>
          </cell>
          <cell r="FB15">
            <v>0.5714285714285714</v>
          </cell>
          <cell r="FC15">
            <v>0.50695673142312703</v>
          </cell>
          <cell r="FD15">
            <v>0.63356360159522707</v>
          </cell>
          <cell r="FE15">
            <v>231</v>
          </cell>
          <cell r="FF15">
            <v>34</v>
          </cell>
          <cell r="FG15">
            <v>46</v>
          </cell>
          <cell r="FH15">
            <v>24.978260869565222</v>
          </cell>
          <cell r="FI15">
            <v>0.26534526854219936</v>
          </cell>
          <cell r="FJ15">
            <v>203</v>
          </cell>
          <cell r="FK15">
            <v>123</v>
          </cell>
          <cell r="FL15">
            <v>0.60591133004926112</v>
          </cell>
          <cell r="FM15">
            <v>0.53732196053928849</v>
          </cell>
          <cell r="FN15">
            <v>0.6705667298865301</v>
          </cell>
          <cell r="FO15">
            <v>203</v>
          </cell>
          <cell r="FP15">
            <v>34</v>
          </cell>
          <cell r="FQ15">
            <v>40</v>
          </cell>
          <cell r="FR15">
            <v>25.949999999999996</v>
          </cell>
          <cell r="FS15">
            <v>0.23676470588235307</v>
          </cell>
          <cell r="FT15">
            <v>2959</v>
          </cell>
          <cell r="FU15">
            <v>2944</v>
          </cell>
          <cell r="FV15">
            <v>15</v>
          </cell>
          <cell r="FW15">
            <v>13</v>
          </cell>
          <cell r="FX15">
            <v>2</v>
          </cell>
          <cell r="FY15">
            <v>0.8666666666666667</v>
          </cell>
          <cell r="FZ15">
            <v>0.13333333333333333</v>
          </cell>
          <cell r="GB15">
            <v>0.12328767123287671</v>
          </cell>
          <cell r="GC15">
            <v>6.6236761640452516E-2</v>
          </cell>
          <cell r="GD15">
            <v>0.21800510734717918</v>
          </cell>
          <cell r="GF15">
            <v>9.5890410958904104E-2</v>
          </cell>
          <cell r="GG15">
            <v>4.7228354329351081E-2</v>
          </cell>
          <cell r="GH15">
            <v>0.18495837785738112</v>
          </cell>
          <cell r="GJ15">
            <v>0.1095890410958904</v>
          </cell>
          <cell r="GK15">
            <v>5.6586041610119112E-2</v>
          </cell>
          <cell r="GL15">
            <v>0.20162825897706282</v>
          </cell>
          <cell r="GN15">
            <v>0.19444444444444445</v>
          </cell>
          <cell r="GO15">
            <v>0.11951371043417636</v>
          </cell>
          <cell r="GP15">
            <v>0.30032975278389923</v>
          </cell>
          <cell r="GQ15">
            <v>40</v>
          </cell>
          <cell r="GR15">
            <v>39</v>
          </cell>
          <cell r="GS15">
            <v>37</v>
          </cell>
          <cell r="GT15">
            <v>40</v>
          </cell>
          <cell r="GU15">
            <v>40</v>
          </cell>
          <cell r="GV15">
            <v>51</v>
          </cell>
          <cell r="GW15">
            <v>49</v>
          </cell>
          <cell r="GX15">
            <v>48</v>
          </cell>
          <cell r="GY15">
            <v>49</v>
          </cell>
          <cell r="GZ15">
            <v>48</v>
          </cell>
          <cell r="HA15">
            <v>48</v>
          </cell>
          <cell r="HB15">
            <v>49</v>
          </cell>
          <cell r="HC15">
            <v>49</v>
          </cell>
          <cell r="HD15">
            <v>55</v>
          </cell>
          <cell r="HE15">
            <v>51</v>
          </cell>
          <cell r="HF15">
            <v>50</v>
          </cell>
          <cell r="HG15">
            <v>50</v>
          </cell>
          <cell r="HH15">
            <v>52</v>
          </cell>
          <cell r="HI15">
            <v>52</v>
          </cell>
          <cell r="HJ15">
            <v>49</v>
          </cell>
          <cell r="HK15">
            <v>53</v>
          </cell>
          <cell r="HL15">
            <v>50</v>
          </cell>
          <cell r="HM15">
            <v>52</v>
          </cell>
          <cell r="HN15">
            <v>18</v>
          </cell>
          <cell r="HO15">
            <v>1.7142857142857144E-2</v>
          </cell>
          <cell r="HP15">
            <v>1644</v>
          </cell>
          <cell r="HQ15">
            <v>1493</v>
          </cell>
          <cell r="HR15">
            <v>151</v>
          </cell>
          <cell r="HS15">
            <v>9.1849148418491483E-2</v>
          </cell>
        </row>
        <row r="16">
          <cell r="A16" t="str">
            <v>Footprints (Crescent and Lyndhurst)</v>
          </cell>
          <cell r="C16" t="str">
            <v>Worthing</v>
          </cell>
          <cell r="D16" t="str">
            <v>Worthing</v>
          </cell>
          <cell r="E16" t="str">
            <v>Worthing</v>
          </cell>
          <cell r="F16" t="str">
            <v>CCC</v>
          </cell>
          <cell r="G16" t="str">
            <v>Central, Heene, Selden</v>
          </cell>
          <cell r="H16" t="str">
            <v>Worthing</v>
          </cell>
          <cell r="I16" t="str">
            <v>B</v>
          </cell>
          <cell r="J16" t="str">
            <v>Coastal West Sussex</v>
          </cell>
          <cell r="K16" t="str">
            <v>East Worthing and Shoreham</v>
          </cell>
          <cell r="L16">
            <v>23280</v>
          </cell>
          <cell r="M16">
            <v>23505</v>
          </cell>
          <cell r="N16">
            <v>23940</v>
          </cell>
          <cell r="O16">
            <v>24325</v>
          </cell>
          <cell r="P16">
            <v>24680</v>
          </cell>
          <cell r="Q16">
            <v>24925</v>
          </cell>
          <cell r="R16">
            <v>25605</v>
          </cell>
          <cell r="S16">
            <v>26230</v>
          </cell>
          <cell r="T16">
            <v>26505</v>
          </cell>
          <cell r="U16">
            <v>26715</v>
          </cell>
          <cell r="V16">
            <v>1165</v>
          </cell>
          <cell r="W16">
            <v>1230</v>
          </cell>
          <cell r="X16">
            <v>1310</v>
          </cell>
          <cell r="Y16">
            <v>1420</v>
          </cell>
          <cell r="Z16">
            <v>1490</v>
          </cell>
          <cell r="AA16">
            <v>1510</v>
          </cell>
          <cell r="AB16">
            <v>1600</v>
          </cell>
          <cell r="AC16">
            <v>1685</v>
          </cell>
          <cell r="AD16">
            <v>1730</v>
          </cell>
          <cell r="AE16">
            <v>1725</v>
          </cell>
          <cell r="AF16">
            <v>0.76271186440677963</v>
          </cell>
          <cell r="AG16">
            <v>5.5084745762711863E-2</v>
          </cell>
          <cell r="AH16">
            <v>7.8087167070217914E-2</v>
          </cell>
          <cell r="AI16">
            <v>8.4140435835351093E-2</v>
          </cell>
          <cell r="AJ16">
            <v>1.2711864406779662E-2</v>
          </cell>
          <cell r="AK16">
            <v>7.2639225181598066E-3</v>
          </cell>
          <cell r="AL16">
            <v>0.23728813559322035</v>
          </cell>
          <cell r="AM16">
            <v>2740</v>
          </cell>
          <cell r="AN16">
            <v>0.49069003285870755</v>
          </cell>
          <cell r="AO16">
            <v>0.14603870025556773</v>
          </cell>
          <cell r="AP16">
            <v>0.3632712668857247</v>
          </cell>
          <cell r="AQ16">
            <v>329</v>
          </cell>
          <cell r="AR16">
            <v>338</v>
          </cell>
          <cell r="AS16">
            <v>395</v>
          </cell>
          <cell r="AT16">
            <v>376</v>
          </cell>
          <cell r="AU16">
            <v>335</v>
          </cell>
          <cell r="AV16">
            <v>17</v>
          </cell>
          <cell r="AW16">
            <v>25</v>
          </cell>
          <cell r="AX16">
            <v>19</v>
          </cell>
          <cell r="AY16">
            <v>21</v>
          </cell>
          <cell r="AZ16">
            <v>16</v>
          </cell>
          <cell r="BA16">
            <v>23</v>
          </cell>
          <cell r="BB16">
            <v>6.8656716417910449E-2</v>
          </cell>
          <cell r="BC16">
            <v>4.6181975108283008E-2</v>
          </cell>
          <cell r="BD16">
            <v>0.10091176895173444</v>
          </cell>
          <cell r="BE16">
            <v>30</v>
          </cell>
          <cell r="BF16">
            <v>673</v>
          </cell>
          <cell r="BG16">
            <v>453</v>
          </cell>
          <cell r="BH16">
            <v>177</v>
          </cell>
          <cell r="BI16">
            <v>0.11220050150894859</v>
          </cell>
          <cell r="BJ16">
            <v>2659</v>
          </cell>
          <cell r="BK16">
            <v>4378</v>
          </cell>
          <cell r="BL16">
            <v>2528</v>
          </cell>
          <cell r="BM16">
            <v>1469</v>
          </cell>
          <cell r="BN16">
            <v>3</v>
          </cell>
          <cell r="BO16">
            <v>311</v>
          </cell>
          <cell r="BP16">
            <v>538</v>
          </cell>
          <cell r="BQ16">
            <v>207</v>
          </cell>
          <cell r="BR16">
            <v>245</v>
          </cell>
          <cell r="BS16">
            <v>215</v>
          </cell>
          <cell r="BT16">
            <v>195</v>
          </cell>
          <cell r="BU16">
            <v>763</v>
          </cell>
          <cell r="BV16">
            <v>300</v>
          </cell>
          <cell r="BW16">
            <v>0.39318479685452162</v>
          </cell>
          <cell r="BX16">
            <v>94</v>
          </cell>
          <cell r="BY16">
            <v>1</v>
          </cell>
          <cell r="BZ16">
            <v>954</v>
          </cell>
          <cell r="CA16">
            <v>7.3577047663118927E-2</v>
          </cell>
          <cell r="CB16">
            <v>320</v>
          </cell>
          <cell r="CC16">
            <v>315</v>
          </cell>
          <cell r="CD16">
            <v>310</v>
          </cell>
          <cell r="CE16">
            <v>340</v>
          </cell>
          <cell r="CF16">
            <v>690</v>
          </cell>
          <cell r="CG16">
            <v>0.20273333333333335</v>
          </cell>
          <cell r="CH16">
            <v>720</v>
          </cell>
          <cell r="CI16">
            <v>0.17546666666666672</v>
          </cell>
          <cell r="CJ16">
            <v>740</v>
          </cell>
          <cell r="CK16">
            <v>0.19153333333333336</v>
          </cell>
          <cell r="CL16">
            <v>640</v>
          </cell>
          <cell r="CM16">
            <v>0.17419999999999999</v>
          </cell>
          <cell r="CN16">
            <v>705</v>
          </cell>
          <cell r="CO16">
            <v>0.16993333333333335</v>
          </cell>
          <cell r="CP16">
            <v>590</v>
          </cell>
          <cell r="CQ16">
            <v>0.14603960396039603</v>
          </cell>
          <cell r="CR16">
            <v>345</v>
          </cell>
          <cell r="CS16">
            <v>15</v>
          </cell>
          <cell r="CT16">
            <v>330</v>
          </cell>
          <cell r="CU16">
            <v>0.95079867129533424</v>
          </cell>
          <cell r="CV16">
            <v>149</v>
          </cell>
          <cell r="CW16">
            <v>198</v>
          </cell>
          <cell r="CX16">
            <v>0.44137272070529121</v>
          </cell>
          <cell r="CY16">
            <v>0.60952388106850341</v>
          </cell>
          <cell r="CZ16">
            <v>0.39868699754486908</v>
          </cell>
          <cell r="DA16">
            <v>0.50545916039350647</v>
          </cell>
          <cell r="DB16">
            <v>0.54628440930361477</v>
          </cell>
          <cell r="DC16">
            <v>0.65141413994848563</v>
          </cell>
          <cell r="DD16">
            <v>161</v>
          </cell>
          <cell r="DE16">
            <v>13</v>
          </cell>
          <cell r="DF16">
            <v>8.0745341614906832E-2</v>
          </cell>
          <cell r="DG16">
            <v>4.7793188465854376E-2</v>
          </cell>
          <cell r="DH16">
            <v>0.13323808263660591</v>
          </cell>
          <cell r="DI16" t="str">
            <v>No Sig diff</v>
          </cell>
          <cell r="DJ16">
            <v>213</v>
          </cell>
          <cell r="DK16">
            <v>28</v>
          </cell>
          <cell r="DL16">
            <v>0.13145539906103287</v>
          </cell>
          <cell r="DM16">
            <v>9.2538847220180187E-2</v>
          </cell>
          <cell r="DN16">
            <v>0.18342986810827064</v>
          </cell>
          <cell r="DO16" t="str">
            <v>No Sig diff</v>
          </cell>
          <cell r="DP16">
            <v>221</v>
          </cell>
          <cell r="DQ16">
            <v>18</v>
          </cell>
          <cell r="DR16">
            <v>8.1447963800904979E-2</v>
          </cell>
          <cell r="DS16">
            <v>5.2138724552875479E-2</v>
          </cell>
          <cell r="DT16">
            <v>0.12505928434488195</v>
          </cell>
          <cell r="DU16" t="str">
            <v>No Sig diff</v>
          </cell>
          <cell r="DV16">
            <v>259</v>
          </cell>
          <cell r="DW16">
            <v>21</v>
          </cell>
          <cell r="DX16">
            <v>8.1081081081081086E-2</v>
          </cell>
          <cell r="DY16">
            <v>5.3641549235695814E-2</v>
          </cell>
          <cell r="DZ16">
            <v>0.12076571142391865</v>
          </cell>
          <cell r="EA16" t="str">
            <v>No Sig diff</v>
          </cell>
          <cell r="EB16">
            <v>152</v>
          </cell>
          <cell r="EC16">
            <v>33</v>
          </cell>
          <cell r="ED16">
            <v>0.21710526315789475</v>
          </cell>
          <cell r="EE16">
            <v>0.15897583021997941</v>
          </cell>
          <cell r="EF16">
            <v>0.28918128630862894</v>
          </cell>
          <cell r="EG16" t="str">
            <v>No Sig diff</v>
          </cell>
          <cell r="EH16">
            <v>156</v>
          </cell>
          <cell r="EI16">
            <v>39</v>
          </cell>
          <cell r="EJ16">
            <v>0.25</v>
          </cell>
          <cell r="EK16">
            <v>0.18861184195741063</v>
          </cell>
          <cell r="EL16">
            <v>0.32340462376129686</v>
          </cell>
          <cell r="EM16" t="str">
            <v>No Sig diff</v>
          </cell>
          <cell r="EN16">
            <v>148</v>
          </cell>
          <cell r="EO16">
            <v>19</v>
          </cell>
          <cell r="EP16">
            <v>0.12837837837837837</v>
          </cell>
          <cell r="EQ16">
            <v>8.3749542616648201E-2</v>
          </cell>
          <cell r="ER16">
            <v>0.19181063143373209</v>
          </cell>
          <cell r="ES16" t="str">
            <v>No Sig diff</v>
          </cell>
          <cell r="ET16">
            <v>154</v>
          </cell>
          <cell r="EU16">
            <v>22</v>
          </cell>
          <cell r="EV16">
            <v>0.14285714285714285</v>
          </cell>
          <cell r="EW16">
            <v>9.6271191632122291E-2</v>
          </cell>
          <cell r="EX16">
            <v>0.20682698788382736</v>
          </cell>
          <cell r="EY16" t="str">
            <v>No Sig diff</v>
          </cell>
          <cell r="EZ16">
            <v>287</v>
          </cell>
          <cell r="FA16">
            <v>148</v>
          </cell>
          <cell r="FB16">
            <v>0.51567944250871078</v>
          </cell>
          <cell r="FC16">
            <v>0.45803701743184799</v>
          </cell>
          <cell r="FD16">
            <v>0.57290767675478294</v>
          </cell>
          <cell r="FE16">
            <v>287</v>
          </cell>
          <cell r="FF16">
            <v>34</v>
          </cell>
          <cell r="FG16">
            <v>57</v>
          </cell>
          <cell r="FH16">
            <v>26.05263157894737</v>
          </cell>
          <cell r="FI16">
            <v>0.2337461300309597</v>
          </cell>
          <cell r="FJ16">
            <v>281</v>
          </cell>
          <cell r="FK16">
            <v>171</v>
          </cell>
          <cell r="FL16">
            <v>0.60854092526690395</v>
          </cell>
          <cell r="FM16">
            <v>0.55037759347384574</v>
          </cell>
          <cell r="FN16">
            <v>0.66377662499053558</v>
          </cell>
          <cell r="FO16">
            <v>281</v>
          </cell>
          <cell r="FP16">
            <v>34</v>
          </cell>
          <cell r="FQ16">
            <v>56</v>
          </cell>
          <cell r="FR16">
            <v>27.053571428571423</v>
          </cell>
          <cell r="FS16">
            <v>0.20430672268907579</v>
          </cell>
          <cell r="FT16">
            <v>2914</v>
          </cell>
          <cell r="FU16">
            <v>2738</v>
          </cell>
          <cell r="FV16">
            <v>176</v>
          </cell>
          <cell r="FW16">
            <v>144</v>
          </cell>
          <cell r="FX16">
            <v>32</v>
          </cell>
          <cell r="FY16">
            <v>0.81818181818181823</v>
          </cell>
          <cell r="FZ16">
            <v>0.18181818181818182</v>
          </cell>
          <cell r="GA16">
            <v>0.85523886335006882</v>
          </cell>
          <cell r="GB16">
            <v>0.14476113664993123</v>
          </cell>
          <cell r="GC16">
            <v>0.10589945678565693</v>
          </cell>
          <cell r="GD16">
            <v>0.19796894649729968</v>
          </cell>
          <cell r="GE16">
            <v>0.9014757716031061</v>
          </cell>
          <cell r="GF16">
            <v>9.852422839689394E-2</v>
          </cell>
          <cell r="GG16">
            <v>6.877515560848059E-2</v>
          </cell>
          <cell r="GH16">
            <v>0.14807679808484558</v>
          </cell>
          <cell r="GI16">
            <v>0.90265936870775587</v>
          </cell>
          <cell r="GJ16">
            <v>9.7340631292244212E-2</v>
          </cell>
          <cell r="GK16">
            <v>6.877515560848059E-2</v>
          </cell>
          <cell r="GL16">
            <v>0.14807679808484558</v>
          </cell>
          <cell r="GM16">
            <v>0.76029450914425445</v>
          </cell>
          <cell r="GN16">
            <v>0.2397054908557455</v>
          </cell>
          <cell r="GO16">
            <v>0.19288785338762213</v>
          </cell>
          <cell r="GP16">
            <v>0.30458113826424538</v>
          </cell>
          <cell r="GQ16">
            <v>74</v>
          </cell>
          <cell r="GR16">
            <v>72</v>
          </cell>
          <cell r="GS16">
            <v>72</v>
          </cell>
          <cell r="GT16">
            <v>74</v>
          </cell>
          <cell r="GU16">
            <v>72</v>
          </cell>
          <cell r="GV16">
            <v>85</v>
          </cell>
          <cell r="GW16">
            <v>82</v>
          </cell>
          <cell r="GX16">
            <v>82</v>
          </cell>
          <cell r="GY16">
            <v>81</v>
          </cell>
          <cell r="GZ16">
            <v>82</v>
          </cell>
          <cell r="HA16">
            <v>82</v>
          </cell>
          <cell r="HB16">
            <v>81</v>
          </cell>
          <cell r="HC16">
            <v>83</v>
          </cell>
          <cell r="HD16">
            <v>89</v>
          </cell>
          <cell r="HE16">
            <v>82</v>
          </cell>
          <cell r="HF16">
            <v>76</v>
          </cell>
          <cell r="HG16">
            <v>76</v>
          </cell>
          <cell r="HH16">
            <v>75</v>
          </cell>
          <cell r="HI16">
            <v>77</v>
          </cell>
          <cell r="HJ16">
            <v>77</v>
          </cell>
          <cell r="HK16">
            <v>82</v>
          </cell>
          <cell r="HL16">
            <v>80</v>
          </cell>
          <cell r="HM16">
            <v>80</v>
          </cell>
          <cell r="HN16">
            <v>23</v>
          </cell>
          <cell r="HO16">
            <v>1.3990267639902677E-2</v>
          </cell>
          <cell r="HP16">
            <v>2494</v>
          </cell>
          <cell r="HQ16">
            <v>2125</v>
          </cell>
          <cell r="HR16">
            <v>369</v>
          </cell>
          <cell r="HS16">
            <v>0.14795509222133119</v>
          </cell>
        </row>
        <row r="17">
          <cell r="A17" t="str">
            <v>HH Rural</v>
          </cell>
          <cell r="C17" t="str">
            <v>Mid Sussex</v>
          </cell>
          <cell r="D17" t="str">
            <v>Mid Sussex</v>
          </cell>
          <cell r="E17" t="str">
            <v>Mid Sussex</v>
          </cell>
          <cell r="F17" t="str">
            <v>Mid Sussex</v>
          </cell>
          <cell r="G17" t="str">
            <v>Cuckfield, Haywards Heath Heath, Haywards Heath Lucastes, High Weald, Linfield</v>
          </cell>
          <cell r="H17" t="str">
            <v>Haywards Heath/Cuckfield</v>
          </cell>
          <cell r="I17" t="str">
            <v>C2</v>
          </cell>
          <cell r="J17" t="str">
            <v>Horsham and Mid Sussex</v>
          </cell>
          <cell r="K17" t="str">
            <v>Mid Sussex</v>
          </cell>
          <cell r="L17">
            <v>18190</v>
          </cell>
          <cell r="M17">
            <v>18585</v>
          </cell>
          <cell r="N17">
            <v>19055</v>
          </cell>
          <cell r="O17">
            <v>19605</v>
          </cell>
          <cell r="P17">
            <v>19925</v>
          </cell>
          <cell r="Q17">
            <v>20205</v>
          </cell>
          <cell r="R17">
            <v>20375</v>
          </cell>
          <cell r="S17">
            <v>20565</v>
          </cell>
          <cell r="T17">
            <v>20850</v>
          </cell>
          <cell r="U17">
            <v>21065</v>
          </cell>
          <cell r="V17">
            <v>1015</v>
          </cell>
          <cell r="W17">
            <v>1105</v>
          </cell>
          <cell r="X17">
            <v>1200</v>
          </cell>
          <cell r="Y17">
            <v>1320</v>
          </cell>
          <cell r="Z17">
            <v>1365</v>
          </cell>
          <cell r="AA17">
            <v>1365</v>
          </cell>
          <cell r="AB17">
            <v>1320</v>
          </cell>
          <cell r="AC17">
            <v>1305</v>
          </cell>
          <cell r="AD17">
            <v>1385</v>
          </cell>
          <cell r="AE17">
            <v>1420</v>
          </cell>
          <cell r="AF17">
            <v>0.89266817838246415</v>
          </cell>
          <cell r="AG17">
            <v>4.1572184429327287E-2</v>
          </cell>
          <cell r="AH17">
            <v>3.3257747543461828E-2</v>
          </cell>
          <cell r="AI17">
            <v>2.5699168556311415E-2</v>
          </cell>
          <cell r="AJ17">
            <v>6.8027210884353739E-3</v>
          </cell>
          <cell r="AK17">
            <v>0</v>
          </cell>
          <cell r="AL17">
            <v>0.10733182161753591</v>
          </cell>
          <cell r="AM17">
            <v>2610</v>
          </cell>
          <cell r="AN17">
            <v>0.78024502297090348</v>
          </cell>
          <cell r="AO17">
            <v>7.2358346094946402E-2</v>
          </cell>
          <cell r="AP17">
            <v>0.14739663093415006</v>
          </cell>
          <cell r="AQ17">
            <v>230</v>
          </cell>
          <cell r="AR17">
            <v>212</v>
          </cell>
          <cell r="AS17">
            <v>237</v>
          </cell>
          <cell r="AT17">
            <v>258</v>
          </cell>
          <cell r="AU17">
            <v>230</v>
          </cell>
          <cell r="AV17">
            <v>4</v>
          </cell>
          <cell r="AW17">
            <v>5</v>
          </cell>
          <cell r="AX17">
            <v>3</v>
          </cell>
          <cell r="AY17">
            <v>3</v>
          </cell>
          <cell r="AZ17">
            <v>3</v>
          </cell>
          <cell r="BA17">
            <v>8</v>
          </cell>
          <cell r="BB17">
            <v>3.4782608695652174E-2</v>
          </cell>
          <cell r="BC17">
            <v>1.7728315594474731E-2</v>
          </cell>
          <cell r="BD17">
            <v>6.7121731615965546E-2</v>
          </cell>
          <cell r="BE17">
            <v>5</v>
          </cell>
          <cell r="BF17">
            <v>347</v>
          </cell>
          <cell r="BG17">
            <v>472</v>
          </cell>
          <cell r="BH17">
            <v>203</v>
          </cell>
          <cell r="BI17">
            <v>0.14428556510470478</v>
          </cell>
          <cell r="BJ17">
            <v>2468</v>
          </cell>
          <cell r="BK17">
            <v>4544</v>
          </cell>
          <cell r="BL17">
            <v>2646</v>
          </cell>
          <cell r="BM17">
            <v>1671</v>
          </cell>
          <cell r="BN17">
            <v>1</v>
          </cell>
          <cell r="BO17">
            <v>365</v>
          </cell>
          <cell r="BP17">
            <v>438</v>
          </cell>
          <cell r="BQ17">
            <v>171</v>
          </cell>
          <cell r="BR17">
            <v>50</v>
          </cell>
          <cell r="BS17">
            <v>60</v>
          </cell>
          <cell r="BT17">
            <v>45</v>
          </cell>
          <cell r="BU17">
            <v>304</v>
          </cell>
          <cell r="BV17">
            <v>73</v>
          </cell>
          <cell r="BW17">
            <v>0.24013157894736842</v>
          </cell>
          <cell r="BX17">
            <v>32</v>
          </cell>
          <cell r="BY17">
            <v>10</v>
          </cell>
          <cell r="BZ17">
            <v>153</v>
          </cell>
          <cell r="CA17">
            <v>1.7888460189407224E-2</v>
          </cell>
          <cell r="CB17">
            <v>50</v>
          </cell>
          <cell r="CC17">
            <v>75</v>
          </cell>
          <cell r="CD17">
            <v>80</v>
          </cell>
          <cell r="CE17">
            <v>66</v>
          </cell>
          <cell r="CF17">
            <v>200</v>
          </cell>
          <cell r="CG17">
            <v>5.5E-2</v>
          </cell>
          <cell r="CH17">
            <v>195</v>
          </cell>
          <cell r="CI17">
            <v>4.2428571428571434E-2</v>
          </cell>
          <cell r="CJ17">
            <v>200</v>
          </cell>
          <cell r="CK17">
            <v>5.1071428571428566E-2</v>
          </cell>
          <cell r="CL17">
            <v>160</v>
          </cell>
          <cell r="CM17">
            <v>4.8785714285714279E-2</v>
          </cell>
          <cell r="CN17">
            <v>210</v>
          </cell>
          <cell r="CO17">
            <v>5.0499999999999996E-2</v>
          </cell>
          <cell r="CP17">
            <v>205</v>
          </cell>
          <cell r="CQ17">
            <v>5.2295918367346941E-2</v>
          </cell>
          <cell r="CR17">
            <v>247</v>
          </cell>
          <cell r="CS17">
            <v>8</v>
          </cell>
          <cell r="CT17">
            <v>239</v>
          </cell>
          <cell r="CU17">
            <v>0.89712698548558967</v>
          </cell>
          <cell r="CV17">
            <v>130</v>
          </cell>
          <cell r="CW17">
            <v>168</v>
          </cell>
          <cell r="CX17">
            <v>0.51632972644659469</v>
          </cell>
          <cell r="CY17">
            <v>0.66402832692714997</v>
          </cell>
          <cell r="CZ17">
            <v>0.48058990740273499</v>
          </cell>
          <cell r="DA17">
            <v>0.60588621530441222</v>
          </cell>
          <cell r="DB17">
            <v>0.64215388951563079</v>
          </cell>
          <cell r="DC17">
            <v>0.75728343917928798</v>
          </cell>
          <cell r="DD17">
            <v>194</v>
          </cell>
          <cell r="DE17">
            <v>7</v>
          </cell>
          <cell r="DF17">
            <v>3.608247422680412E-2</v>
          </cell>
          <cell r="DG17">
            <v>1.758630667851303E-2</v>
          </cell>
          <cell r="DH17">
            <v>7.2594279974277642E-2</v>
          </cell>
          <cell r="DI17" t="str">
            <v>Sig better than Eng.</v>
          </cell>
          <cell r="DJ17">
            <v>208</v>
          </cell>
          <cell r="DK17">
            <v>7</v>
          </cell>
          <cell r="DL17">
            <v>3.3653846153846152E-2</v>
          </cell>
          <cell r="DM17">
            <v>1.6395766201128759E-2</v>
          </cell>
          <cell r="DN17">
            <v>6.782504175599266E-2</v>
          </cell>
          <cell r="DO17" t="str">
            <v>Sig better than Eng.</v>
          </cell>
          <cell r="DP17">
            <v>226</v>
          </cell>
          <cell r="DQ17">
            <v>10</v>
          </cell>
          <cell r="DR17">
            <v>4.4247787610619468E-2</v>
          </cell>
          <cell r="DS17">
            <v>2.4209353106802618E-2</v>
          </cell>
          <cell r="DT17">
            <v>7.9520665589665557E-2</v>
          </cell>
          <cell r="DU17" t="str">
            <v>Sig better than Eng.</v>
          </cell>
          <cell r="DV17">
            <v>234</v>
          </cell>
          <cell r="DW17">
            <v>9</v>
          </cell>
          <cell r="DX17">
            <v>3.8461538461538464E-2</v>
          </cell>
          <cell r="DY17">
            <v>2.0364448140159225E-2</v>
          </cell>
          <cell r="DZ17">
            <v>7.1467560160631355E-2</v>
          </cell>
          <cell r="EA17" t="str">
            <v>Sig better than Eng.</v>
          </cell>
          <cell r="EB17">
            <v>165</v>
          </cell>
          <cell r="EC17">
            <v>20</v>
          </cell>
          <cell r="ED17">
            <v>0.12121212121212122</v>
          </cell>
          <cell r="EE17">
            <v>7.9852303583502038E-2</v>
          </cell>
          <cell r="EF17">
            <v>0.17980820353905713</v>
          </cell>
          <cell r="EG17" t="str">
            <v>Sig better than Eng.</v>
          </cell>
          <cell r="EH17">
            <v>144</v>
          </cell>
          <cell r="EI17">
            <v>14</v>
          </cell>
          <cell r="EJ17">
            <v>9.7222222222222224E-2</v>
          </cell>
          <cell r="EK17">
            <v>5.8799052664080885E-2</v>
          </cell>
          <cell r="EL17">
            <v>0.15657665503447649</v>
          </cell>
          <cell r="EM17" t="str">
            <v>Sig better than Eng.</v>
          </cell>
          <cell r="EN17">
            <v>168</v>
          </cell>
          <cell r="EO17">
            <v>17</v>
          </cell>
          <cell r="EP17">
            <v>0.10119047619047619</v>
          </cell>
          <cell r="EQ17">
            <v>6.4142045214917287E-2</v>
          </cell>
          <cell r="ER17">
            <v>0.15606941644509648</v>
          </cell>
          <cell r="ES17" t="str">
            <v>Sig better than Eng.</v>
          </cell>
          <cell r="ET17">
            <v>157</v>
          </cell>
          <cell r="EU17">
            <v>14</v>
          </cell>
          <cell r="EV17">
            <v>8.9171974522292988E-2</v>
          </cell>
          <cell r="EW17">
            <v>5.3860798787169005E-2</v>
          </cell>
          <cell r="EX17">
            <v>0.14410718194465799</v>
          </cell>
          <cell r="EY17" t="str">
            <v>Sig better than Eng.</v>
          </cell>
          <cell r="EZ17">
            <v>272</v>
          </cell>
          <cell r="FA17">
            <v>163</v>
          </cell>
          <cell r="FB17">
            <v>0.59926470588235292</v>
          </cell>
          <cell r="FC17">
            <v>0.54003535664635594</v>
          </cell>
          <cell r="FD17">
            <v>0.6557292692763258</v>
          </cell>
          <cell r="FE17">
            <v>272</v>
          </cell>
          <cell r="FF17">
            <v>34</v>
          </cell>
          <cell r="FG17">
            <v>54</v>
          </cell>
          <cell r="FH17">
            <v>27.407407407407408</v>
          </cell>
          <cell r="FI17">
            <v>0.19389978213507622</v>
          </cell>
          <cell r="FJ17">
            <v>291</v>
          </cell>
          <cell r="FK17">
            <v>187</v>
          </cell>
          <cell r="FL17">
            <v>0.6426116838487973</v>
          </cell>
          <cell r="FM17">
            <v>0.58602068090959913</v>
          </cell>
          <cell r="FN17">
            <v>0.69548654108008678</v>
          </cell>
          <cell r="FO17">
            <v>291</v>
          </cell>
          <cell r="FP17">
            <v>34</v>
          </cell>
          <cell r="FQ17">
            <v>58</v>
          </cell>
          <cell r="FR17">
            <v>28.379310344827584</v>
          </cell>
          <cell r="FS17">
            <v>0.16531440162271813</v>
          </cell>
          <cell r="FT17">
            <v>3289</v>
          </cell>
          <cell r="FU17">
            <v>3245</v>
          </cell>
          <cell r="FV17">
            <v>44</v>
          </cell>
          <cell r="FW17">
            <v>36</v>
          </cell>
          <cell r="FX17">
            <v>8</v>
          </cell>
          <cell r="FY17">
            <v>0.81818181818181823</v>
          </cell>
          <cell r="FZ17">
            <v>0.18181818181818182</v>
          </cell>
          <cell r="GA17">
            <v>0.88936076994900526</v>
          </cell>
          <cell r="GB17">
            <v>3.9210658622423331E-2</v>
          </cell>
          <cell r="GC17">
            <v>2.1261640780226743E-2</v>
          </cell>
          <cell r="GD17">
            <v>8.0052890963794948E-2</v>
          </cell>
          <cell r="GE17">
            <v>0.91070530776413128</v>
          </cell>
          <cell r="GF17">
            <v>1.7866120807297277E-2</v>
          </cell>
          <cell r="GG17">
            <v>8.1306524115839253E-3</v>
          </cell>
          <cell r="GH17">
            <v>5.2334539866256941E-2</v>
          </cell>
          <cell r="GI17">
            <v>0.89753070458952811</v>
          </cell>
          <cell r="GJ17">
            <v>3.1040723981900449E-2</v>
          </cell>
          <cell r="GK17">
            <v>1.4399085841634563E-2</v>
          </cell>
          <cell r="GL17">
            <v>6.6490776169296717E-2</v>
          </cell>
          <cell r="GM17">
            <v>0.82585191769015309</v>
          </cell>
          <cell r="GN17">
            <v>0.10271951088127559</v>
          </cell>
          <cell r="GO17">
            <v>7.6896904231561619E-2</v>
          </cell>
          <cell r="GP17">
            <v>0.16739031564409299</v>
          </cell>
          <cell r="GQ17">
            <v>72</v>
          </cell>
          <cell r="GR17">
            <v>69</v>
          </cell>
          <cell r="GS17">
            <v>70</v>
          </cell>
          <cell r="GT17">
            <v>70</v>
          </cell>
          <cell r="GU17">
            <v>70</v>
          </cell>
          <cell r="GV17">
            <v>69</v>
          </cell>
          <cell r="GW17">
            <v>66</v>
          </cell>
          <cell r="GX17">
            <v>65</v>
          </cell>
          <cell r="GY17">
            <v>64</v>
          </cell>
          <cell r="GZ17">
            <v>66</v>
          </cell>
          <cell r="HA17">
            <v>66</v>
          </cell>
          <cell r="HB17">
            <v>63</v>
          </cell>
          <cell r="HC17">
            <v>68</v>
          </cell>
          <cell r="HD17">
            <v>86</v>
          </cell>
          <cell r="HE17">
            <v>81</v>
          </cell>
          <cell r="HF17">
            <v>77</v>
          </cell>
          <cell r="HG17">
            <v>73</v>
          </cell>
          <cell r="HH17">
            <v>77</v>
          </cell>
          <cell r="HI17">
            <v>76</v>
          </cell>
          <cell r="HJ17">
            <v>75</v>
          </cell>
          <cell r="HK17">
            <v>83</v>
          </cell>
          <cell r="HL17">
            <v>80</v>
          </cell>
          <cell r="HM17">
            <v>79</v>
          </cell>
          <cell r="HN17">
            <v>20</v>
          </cell>
          <cell r="HO17">
            <v>1.5117157974300832E-2</v>
          </cell>
          <cell r="HP17">
            <v>2067</v>
          </cell>
          <cell r="HQ17">
            <v>1975</v>
          </cell>
          <cell r="HR17">
            <v>92</v>
          </cell>
          <cell r="HS17">
            <v>4.450895016932753E-2</v>
          </cell>
        </row>
        <row r="18">
          <cell r="A18" t="str">
            <v>HH Urban</v>
          </cell>
          <cell r="C18" t="str">
            <v>Mid Sussex</v>
          </cell>
          <cell r="D18" t="str">
            <v>Mid Sussex</v>
          </cell>
          <cell r="E18" t="str">
            <v>Mid Sussex</v>
          </cell>
          <cell r="F18" t="str">
            <v>Mid Sussex</v>
          </cell>
          <cell r="G18" t="str">
            <v>Haywards Heath Ashenground, Haywards Heath Brentswood, Haywards Heath Franklands, Haywards Heath Heath</v>
          </cell>
          <cell r="H18" t="str">
            <v>Haywards Heath/Cuckfield</v>
          </cell>
          <cell r="I18" t="str">
            <v>C2</v>
          </cell>
          <cell r="J18" t="str">
            <v>Horsham and Mid Sussex</v>
          </cell>
          <cell r="K18" t="str">
            <v>Mid Sussex</v>
          </cell>
          <cell r="L18">
            <v>16860</v>
          </cell>
          <cell r="M18">
            <v>17050</v>
          </cell>
          <cell r="N18">
            <v>17235</v>
          </cell>
          <cell r="O18">
            <v>17490</v>
          </cell>
          <cell r="P18">
            <v>17540</v>
          </cell>
          <cell r="Q18">
            <v>17695</v>
          </cell>
          <cell r="R18">
            <v>17985</v>
          </cell>
          <cell r="S18">
            <v>18150</v>
          </cell>
          <cell r="T18">
            <v>18425</v>
          </cell>
          <cell r="U18">
            <v>18995</v>
          </cell>
          <cell r="V18">
            <v>1095</v>
          </cell>
          <cell r="W18">
            <v>1100</v>
          </cell>
          <cell r="X18">
            <v>1120</v>
          </cell>
          <cell r="Y18">
            <v>1200</v>
          </cell>
          <cell r="Z18">
            <v>1220</v>
          </cell>
          <cell r="AA18">
            <v>1205</v>
          </cell>
          <cell r="AB18">
            <v>1225</v>
          </cell>
          <cell r="AC18">
            <v>1230</v>
          </cell>
          <cell r="AD18">
            <v>1245</v>
          </cell>
          <cell r="AE18">
            <v>1320</v>
          </cell>
          <cell r="AF18">
            <v>0.80475799835931094</v>
          </cell>
          <cell r="AG18">
            <v>4.2657916324856437E-2</v>
          </cell>
          <cell r="AH18">
            <v>5.0861361771944218E-2</v>
          </cell>
          <cell r="AI18">
            <v>9.5980311730926984E-2</v>
          </cell>
          <cell r="AJ18">
            <v>5.742411812961444E-3</v>
          </cell>
          <cell r="AK18">
            <v>0</v>
          </cell>
          <cell r="AL18">
            <v>0.19524200164068908</v>
          </cell>
          <cell r="AM18">
            <v>2250</v>
          </cell>
          <cell r="AN18">
            <v>0.604982206405694</v>
          </cell>
          <cell r="AO18">
            <v>0.20862989323843417</v>
          </cell>
          <cell r="AP18">
            <v>0.18638790035587188</v>
          </cell>
          <cell r="AQ18">
            <v>243</v>
          </cell>
          <cell r="AR18">
            <v>242</v>
          </cell>
          <cell r="AS18">
            <v>260</v>
          </cell>
          <cell r="AT18">
            <v>236</v>
          </cell>
          <cell r="AU18">
            <v>254</v>
          </cell>
          <cell r="AV18">
            <v>11</v>
          </cell>
          <cell r="AW18">
            <v>9</v>
          </cell>
          <cell r="AX18">
            <v>6</v>
          </cell>
          <cell r="AY18">
            <v>9</v>
          </cell>
          <cell r="AZ18">
            <v>11</v>
          </cell>
          <cell r="BA18">
            <v>13</v>
          </cell>
          <cell r="BB18">
            <v>5.1181102362204724E-2</v>
          </cell>
          <cell r="BC18">
            <v>3.0151261764165438E-2</v>
          </cell>
          <cell r="BD18">
            <v>8.5584426969453661E-2</v>
          </cell>
          <cell r="BE18">
            <v>21</v>
          </cell>
          <cell r="BF18">
            <v>382</v>
          </cell>
          <cell r="BG18">
            <v>376</v>
          </cell>
          <cell r="BH18">
            <v>179</v>
          </cell>
          <cell r="BI18">
            <v>0.14581754480108117</v>
          </cell>
          <cell r="BJ18">
            <v>2212</v>
          </cell>
          <cell r="BK18">
            <v>3909</v>
          </cell>
          <cell r="BL18">
            <v>2175</v>
          </cell>
          <cell r="BM18">
            <v>1420</v>
          </cell>
          <cell r="BN18">
            <v>1</v>
          </cell>
          <cell r="BO18">
            <v>260</v>
          </cell>
          <cell r="BP18">
            <v>376</v>
          </cell>
          <cell r="BQ18">
            <v>118</v>
          </cell>
          <cell r="BR18">
            <v>100</v>
          </cell>
          <cell r="BS18">
            <v>95</v>
          </cell>
          <cell r="BT18">
            <v>95</v>
          </cell>
          <cell r="BU18">
            <v>384</v>
          </cell>
          <cell r="BV18">
            <v>122</v>
          </cell>
          <cell r="BW18">
            <v>0.31770833333333331</v>
          </cell>
          <cell r="BX18">
            <v>26</v>
          </cell>
          <cell r="BY18">
            <v>7</v>
          </cell>
          <cell r="BZ18">
            <v>248</v>
          </cell>
          <cell r="CA18">
            <v>3.1746031746031744E-2</v>
          </cell>
          <cell r="CB18">
            <v>165</v>
          </cell>
          <cell r="CC18">
            <v>130</v>
          </cell>
          <cell r="CD18">
            <v>155</v>
          </cell>
          <cell r="CE18">
            <v>145</v>
          </cell>
          <cell r="CF18">
            <v>405</v>
          </cell>
          <cell r="CG18">
            <v>0.11745454545454544</v>
          </cell>
          <cell r="CH18">
            <v>410</v>
          </cell>
          <cell r="CI18">
            <v>0.11699999999999998</v>
          </cell>
          <cell r="CJ18">
            <v>455</v>
          </cell>
          <cell r="CK18">
            <v>0.12945454545454546</v>
          </cell>
          <cell r="CL18">
            <v>420</v>
          </cell>
          <cell r="CM18">
            <v>0.11809090909090911</v>
          </cell>
          <cell r="CN18">
            <v>430</v>
          </cell>
          <cell r="CO18">
            <v>0.11572727272727272</v>
          </cell>
          <cell r="CP18">
            <v>370</v>
          </cell>
          <cell r="CQ18">
            <v>0.10914454277286136</v>
          </cell>
          <cell r="CR18">
            <v>237</v>
          </cell>
          <cell r="CS18">
            <v>2</v>
          </cell>
          <cell r="CT18">
            <v>235</v>
          </cell>
          <cell r="CU18">
            <v>0.99147727272727271</v>
          </cell>
          <cell r="CV18">
            <v>107</v>
          </cell>
          <cell r="CW18">
            <v>138</v>
          </cell>
          <cell r="CX18">
            <v>0.46357004386608791</v>
          </cell>
          <cell r="CY18">
            <v>0.59349185514040581</v>
          </cell>
          <cell r="CZ18">
            <v>0.39287546928976086</v>
          </cell>
          <cell r="DA18">
            <v>0.51920014902798606</v>
          </cell>
          <cell r="DB18">
            <v>0.52337579384151411</v>
          </cell>
          <cell r="DC18">
            <v>0.64828609420478922</v>
          </cell>
          <cell r="DD18">
            <v>177</v>
          </cell>
          <cell r="DE18">
            <v>8</v>
          </cell>
          <cell r="DF18">
            <v>4.519774011299435E-2</v>
          </cell>
          <cell r="DG18">
            <v>2.3077636816594912E-2</v>
          </cell>
          <cell r="DH18">
            <v>8.663978611332683E-2</v>
          </cell>
          <cell r="DI18" t="str">
            <v>Sig better than Eng.</v>
          </cell>
          <cell r="DJ18">
            <v>178</v>
          </cell>
          <cell r="DK18">
            <v>12</v>
          </cell>
          <cell r="DL18">
            <v>6.741573033707865E-2</v>
          </cell>
          <cell r="DM18">
            <v>3.898189964215943E-2</v>
          </cell>
          <cell r="DN18">
            <v>0.11412652239347418</v>
          </cell>
          <cell r="DO18" t="str">
            <v>No Sig diff</v>
          </cell>
          <cell r="DP18">
            <v>204</v>
          </cell>
          <cell r="DQ18">
            <v>11</v>
          </cell>
          <cell r="DR18">
            <v>5.3921568627450983E-2</v>
          </cell>
          <cell r="DS18">
            <v>3.0372420984158512E-2</v>
          </cell>
          <cell r="DT18">
            <v>9.3960130217705773E-2</v>
          </cell>
          <cell r="DU18" t="str">
            <v>Sig better than Eng.</v>
          </cell>
          <cell r="DV18">
            <v>197</v>
          </cell>
          <cell r="DW18">
            <v>17</v>
          </cell>
          <cell r="DX18">
            <v>8.6294416243654817E-2</v>
          </cell>
          <cell r="DY18">
            <v>5.4574988236147239E-2</v>
          </cell>
          <cell r="DZ18">
            <v>0.13383959032194798</v>
          </cell>
          <cell r="EA18" t="str">
            <v>No Sig diff</v>
          </cell>
          <cell r="EB18">
            <v>147</v>
          </cell>
          <cell r="EC18">
            <v>25</v>
          </cell>
          <cell r="ED18">
            <v>0.17006802721088435</v>
          </cell>
          <cell r="EE18">
            <v>0.11793015070055879</v>
          </cell>
          <cell r="EF18">
            <v>0.23901056865893572</v>
          </cell>
          <cell r="EG18" t="str">
            <v>No Sig diff</v>
          </cell>
          <cell r="EH18">
            <v>165</v>
          </cell>
          <cell r="EI18">
            <v>29</v>
          </cell>
          <cell r="EJ18">
            <v>0.17575757575757575</v>
          </cell>
          <cell r="EK18">
            <v>0.12525193987760452</v>
          </cell>
          <cell r="EL18">
            <v>0.24101745421930615</v>
          </cell>
          <cell r="EM18" t="str">
            <v>No Sig diff</v>
          </cell>
          <cell r="EN18">
            <v>149</v>
          </cell>
          <cell r="EO18">
            <v>32</v>
          </cell>
          <cell r="EP18">
            <v>0.21476510067114093</v>
          </cell>
          <cell r="EQ18">
            <v>0.15643634438513321</v>
          </cell>
          <cell r="ER18">
            <v>0.28743182688299307</v>
          </cell>
          <cell r="ES18" t="str">
            <v>No Sig diff</v>
          </cell>
          <cell r="ET18">
            <v>143</v>
          </cell>
          <cell r="EU18">
            <v>20</v>
          </cell>
          <cell r="EV18">
            <v>0.13986013986013987</v>
          </cell>
          <cell r="EW18">
            <v>9.2396955251221199E-2</v>
          </cell>
          <cell r="EX18">
            <v>0.2061662650599326</v>
          </cell>
          <cell r="EY18" t="str">
            <v>No Sig diff</v>
          </cell>
          <cell r="EZ18">
            <v>228</v>
          </cell>
          <cell r="FA18">
            <v>130</v>
          </cell>
          <cell r="FB18">
            <v>0.57017543859649122</v>
          </cell>
          <cell r="FC18">
            <v>0.50527816193920483</v>
          </cell>
          <cell r="FD18">
            <v>0.63274719453833861</v>
          </cell>
          <cell r="FE18">
            <v>228</v>
          </cell>
          <cell r="FF18">
            <v>34</v>
          </cell>
          <cell r="FG18">
            <v>45</v>
          </cell>
          <cell r="FH18">
            <v>23.866666666666671</v>
          </cell>
          <cell r="FI18">
            <v>0.29803921568627439</v>
          </cell>
          <cell r="FJ18">
            <v>247</v>
          </cell>
          <cell r="FK18">
            <v>141</v>
          </cell>
          <cell r="FL18">
            <v>0.57085020242914974</v>
          </cell>
          <cell r="FM18">
            <v>0.50850446183921483</v>
          </cell>
          <cell r="FN18">
            <v>0.63102590193936048</v>
          </cell>
          <cell r="FO18">
            <v>247</v>
          </cell>
          <cell r="FP18">
            <v>34</v>
          </cell>
          <cell r="FQ18">
            <v>49</v>
          </cell>
          <cell r="FR18">
            <v>24.959183673469393</v>
          </cell>
          <cell r="FS18">
            <v>0.26590636254501782</v>
          </cell>
          <cell r="FT18">
            <v>2747</v>
          </cell>
          <cell r="FU18">
            <v>2657</v>
          </cell>
          <cell r="FV18">
            <v>90</v>
          </cell>
          <cell r="FW18">
            <v>75</v>
          </cell>
          <cell r="FX18">
            <v>15</v>
          </cell>
          <cell r="FY18">
            <v>0.83333333333333337</v>
          </cell>
          <cell r="FZ18">
            <v>0.16666666666666666</v>
          </cell>
          <cell r="GA18">
            <v>0.90808540874330357</v>
          </cell>
          <cell r="GB18">
            <v>9.1914591256696501E-2</v>
          </cell>
          <cell r="GC18">
            <v>6.7227027172261908E-2</v>
          </cell>
          <cell r="GD18">
            <v>0.1593496190820943</v>
          </cell>
          <cell r="GE18">
            <v>0.95988835725677835</v>
          </cell>
          <cell r="GF18">
            <v>4.0111642743221688E-2</v>
          </cell>
          <cell r="GG18">
            <v>2.3753540562369307E-2</v>
          </cell>
          <cell r="GH18">
            <v>8.9084377199980441E-2</v>
          </cell>
          <cell r="GI18">
            <v>0.91131967447756923</v>
          </cell>
          <cell r="GJ18">
            <v>8.8680325522430783E-2</v>
          </cell>
          <cell r="GK18">
            <v>5.8070662732992634E-2</v>
          </cell>
          <cell r="GL18">
            <v>0.14575823782296227</v>
          </cell>
          <cell r="GM18">
            <v>0.83214431767063357</v>
          </cell>
          <cell r="GN18">
            <v>0.16785568232936654</v>
          </cell>
          <cell r="GO18">
            <v>0.12997636711378782</v>
          </cell>
          <cell r="GP18">
            <v>0.24446062618017678</v>
          </cell>
          <cell r="GQ18">
            <v>65</v>
          </cell>
          <cell r="GR18">
            <v>63</v>
          </cell>
          <cell r="GS18">
            <v>63</v>
          </cell>
          <cell r="GT18">
            <v>64</v>
          </cell>
          <cell r="GU18">
            <v>63</v>
          </cell>
          <cell r="GV18">
            <v>74</v>
          </cell>
          <cell r="GW18">
            <v>65</v>
          </cell>
          <cell r="GX18">
            <v>66</v>
          </cell>
          <cell r="GY18">
            <v>64</v>
          </cell>
          <cell r="GZ18">
            <v>66</v>
          </cell>
          <cell r="HA18">
            <v>71</v>
          </cell>
          <cell r="HB18">
            <v>66</v>
          </cell>
          <cell r="HC18">
            <v>67</v>
          </cell>
          <cell r="HD18">
            <v>72</v>
          </cell>
          <cell r="HE18">
            <v>68</v>
          </cell>
          <cell r="HF18">
            <v>67</v>
          </cell>
          <cell r="HG18">
            <v>63</v>
          </cell>
          <cell r="HH18">
            <v>66</v>
          </cell>
          <cell r="HI18">
            <v>66</v>
          </cell>
          <cell r="HJ18">
            <v>63</v>
          </cell>
          <cell r="HK18">
            <v>69</v>
          </cell>
          <cell r="HL18">
            <v>69</v>
          </cell>
          <cell r="HM18">
            <v>68</v>
          </cell>
          <cell r="HN18">
            <v>26</v>
          </cell>
          <cell r="HO18">
            <v>2.1346469622331693E-2</v>
          </cell>
          <cell r="HP18">
            <v>1900</v>
          </cell>
          <cell r="HQ18">
            <v>1785</v>
          </cell>
          <cell r="HR18">
            <v>115</v>
          </cell>
          <cell r="HS18">
            <v>6.0526315789473685E-2</v>
          </cell>
        </row>
        <row r="19">
          <cell r="A19" t="str">
            <v>Horsham Nursery School</v>
          </cell>
          <cell r="C19" t="str">
            <v>Horsham</v>
          </cell>
          <cell r="D19" t="str">
            <v>Horsham Town</v>
          </cell>
          <cell r="E19" t="str">
            <v>Horsham</v>
          </cell>
          <cell r="F19" t="str">
            <v>Horsham</v>
          </cell>
          <cell r="G19" t="str">
            <v>Forest, Holbrook East, Horsham Park, Roffey North, Roffey South</v>
          </cell>
          <cell r="H19" t="str">
            <v>Horsham E</v>
          </cell>
          <cell r="I19" t="str">
            <v>C3</v>
          </cell>
          <cell r="J19" t="str">
            <v>Horsham and Mid Sussex</v>
          </cell>
          <cell r="K19" t="str">
            <v>Horsham</v>
          </cell>
          <cell r="L19">
            <v>16890</v>
          </cell>
          <cell r="M19">
            <v>17035</v>
          </cell>
          <cell r="N19">
            <v>17080</v>
          </cell>
          <cell r="O19">
            <v>17315</v>
          </cell>
          <cell r="P19">
            <v>17440</v>
          </cell>
          <cell r="Q19">
            <v>17640</v>
          </cell>
          <cell r="R19">
            <v>17925</v>
          </cell>
          <cell r="S19">
            <v>18020</v>
          </cell>
          <cell r="T19">
            <v>18165</v>
          </cell>
          <cell r="U19">
            <v>18135</v>
          </cell>
          <cell r="V19">
            <v>985</v>
          </cell>
          <cell r="W19">
            <v>970</v>
          </cell>
          <cell r="X19">
            <v>935</v>
          </cell>
          <cell r="Y19">
            <v>955</v>
          </cell>
          <cell r="Z19">
            <v>1005</v>
          </cell>
          <cell r="AA19">
            <v>1025</v>
          </cell>
          <cell r="AB19">
            <v>1095</v>
          </cell>
          <cell r="AC19">
            <v>1110</v>
          </cell>
          <cell r="AD19">
            <v>1155</v>
          </cell>
          <cell r="AE19">
            <v>1095</v>
          </cell>
          <cell r="AF19">
            <v>0.83729433272394882</v>
          </cell>
          <cell r="AG19">
            <v>4.3875685557586835E-2</v>
          </cell>
          <cell r="AH19">
            <v>6.2157221206581355E-2</v>
          </cell>
          <cell r="AI19">
            <v>4.3875685557586835E-2</v>
          </cell>
          <cell r="AJ19">
            <v>7.3126142595978062E-3</v>
          </cell>
          <cell r="AK19">
            <v>5.4844606946983544E-3</v>
          </cell>
          <cell r="AL19">
            <v>0.16270566727605118</v>
          </cell>
          <cell r="AM19">
            <v>2085</v>
          </cell>
          <cell r="AN19">
            <v>0.66314779270633395</v>
          </cell>
          <cell r="AO19">
            <v>0.16794625719769674</v>
          </cell>
          <cell r="AP19">
            <v>0.16890595009596929</v>
          </cell>
          <cell r="AQ19">
            <v>203</v>
          </cell>
          <cell r="AR19">
            <v>201</v>
          </cell>
          <cell r="AS19">
            <v>193</v>
          </cell>
          <cell r="AT19">
            <v>194</v>
          </cell>
          <cell r="AU19">
            <v>199</v>
          </cell>
          <cell r="AV19">
            <v>6</v>
          </cell>
          <cell r="AW19">
            <v>6</v>
          </cell>
          <cell r="AX19">
            <v>3</v>
          </cell>
          <cell r="AY19">
            <v>6</v>
          </cell>
          <cell r="AZ19">
            <v>3</v>
          </cell>
          <cell r="BA19">
            <v>11</v>
          </cell>
          <cell r="BB19">
            <v>5.5276381909547742E-2</v>
          </cell>
          <cell r="BC19">
            <v>3.1142457209597071E-2</v>
          </cell>
          <cell r="BD19">
            <v>9.625486565987218E-2</v>
          </cell>
          <cell r="BE19">
            <v>9</v>
          </cell>
          <cell r="BF19">
            <v>298</v>
          </cell>
          <cell r="BG19">
            <v>371</v>
          </cell>
          <cell r="BH19">
            <v>148</v>
          </cell>
          <cell r="BI19">
            <v>0.15448969415237962</v>
          </cell>
          <cell r="BJ19">
            <v>2199</v>
          </cell>
          <cell r="BK19">
            <v>3972</v>
          </cell>
          <cell r="BL19">
            <v>2190</v>
          </cell>
          <cell r="BM19">
            <v>1385</v>
          </cell>
          <cell r="BN19">
            <v>5</v>
          </cell>
          <cell r="BO19">
            <v>246</v>
          </cell>
          <cell r="BP19">
            <v>405</v>
          </cell>
          <cell r="BQ19">
            <v>149</v>
          </cell>
          <cell r="BR19">
            <v>80</v>
          </cell>
          <cell r="BS19">
            <v>105</v>
          </cell>
          <cell r="BT19">
            <v>70</v>
          </cell>
          <cell r="BU19">
            <v>375</v>
          </cell>
          <cell r="BV19">
            <v>107</v>
          </cell>
          <cell r="BW19">
            <v>0.28533333333333333</v>
          </cell>
          <cell r="BX19">
            <v>35</v>
          </cell>
          <cell r="BY19">
            <v>7</v>
          </cell>
          <cell r="BZ19">
            <v>286</v>
          </cell>
          <cell r="CA19">
            <v>3.7725893681572351E-2</v>
          </cell>
          <cell r="CB19">
            <v>150</v>
          </cell>
          <cell r="CC19">
            <v>145</v>
          </cell>
          <cell r="CD19">
            <v>135</v>
          </cell>
          <cell r="CE19">
            <v>125</v>
          </cell>
          <cell r="CF19">
            <v>345</v>
          </cell>
          <cell r="CG19">
            <v>9.7272727272727275E-2</v>
          </cell>
          <cell r="CH19">
            <v>340</v>
          </cell>
          <cell r="CI19">
            <v>8.827272727272728E-2</v>
          </cell>
          <cell r="CJ19">
            <v>350</v>
          </cell>
          <cell r="CK19">
            <v>0.10281818181818182</v>
          </cell>
          <cell r="CL19">
            <v>305</v>
          </cell>
          <cell r="CM19">
            <v>9.7727272727272746E-2</v>
          </cell>
          <cell r="CN19">
            <v>335</v>
          </cell>
          <cell r="CO19">
            <v>0.10109090909090908</v>
          </cell>
          <cell r="CP19">
            <v>335</v>
          </cell>
          <cell r="CQ19">
            <v>0.10105580693815988</v>
          </cell>
          <cell r="CR19">
            <v>198</v>
          </cell>
          <cell r="CS19">
            <v>8</v>
          </cell>
          <cell r="CT19">
            <v>190</v>
          </cell>
          <cell r="CU19">
            <v>0.95203417272382795</v>
          </cell>
          <cell r="CV19">
            <v>93</v>
          </cell>
          <cell r="CW19">
            <v>115</v>
          </cell>
          <cell r="CX19">
            <v>0.51884419876961396</v>
          </cell>
          <cell r="CY19">
            <v>0.62537395540632246</v>
          </cell>
          <cell r="CZ19">
            <v>0.41930894701947735</v>
          </cell>
          <cell r="DA19">
            <v>0.56005564757734805</v>
          </cell>
          <cell r="DB19">
            <v>0.53433430731905218</v>
          </cell>
          <cell r="DC19">
            <v>0.67201974671269327</v>
          </cell>
          <cell r="DD19">
            <v>161</v>
          </cell>
          <cell r="DE19">
            <v>11</v>
          </cell>
          <cell r="DF19">
            <v>6.8322981366459631E-2</v>
          </cell>
          <cell r="DG19">
            <v>3.8575583671797267E-2</v>
          </cell>
          <cell r="DH19">
            <v>0.11818994731518039</v>
          </cell>
          <cell r="DI19" t="str">
            <v>No Sig diff</v>
          </cell>
          <cell r="DJ19">
            <v>168</v>
          </cell>
          <cell r="DK19">
            <v>11</v>
          </cell>
          <cell r="DL19">
            <v>6.5476190476190479E-2</v>
          </cell>
          <cell r="DM19">
            <v>3.695089521739349E-2</v>
          </cell>
          <cell r="DN19">
            <v>0.11342875703903946</v>
          </cell>
          <cell r="DO19" t="str">
            <v>No Sig diff</v>
          </cell>
          <cell r="DP19">
            <v>115</v>
          </cell>
          <cell r="DQ19">
            <v>6</v>
          </cell>
          <cell r="DR19">
            <v>5.2173913043478258E-2</v>
          </cell>
          <cell r="DS19">
            <v>2.4128549061825513E-2</v>
          </cell>
          <cell r="DT19">
            <v>0.10917054519277661</v>
          </cell>
          <cell r="DU19" t="str">
            <v>No Sig diff</v>
          </cell>
          <cell r="DV19">
            <v>172</v>
          </cell>
          <cell r="DW19">
            <v>14</v>
          </cell>
          <cell r="DX19">
            <v>8.1395348837209308E-2</v>
          </cell>
          <cell r="DY19">
            <v>4.910271749221258E-2</v>
          </cell>
          <cell r="DZ19">
            <v>0.13197777987310397</v>
          </cell>
          <cell r="EA19" t="str">
            <v>No Sig diff</v>
          </cell>
          <cell r="EB19">
            <v>181</v>
          </cell>
          <cell r="EC19">
            <v>18</v>
          </cell>
          <cell r="ED19">
            <v>9.9447513812154692E-2</v>
          </cell>
          <cell r="EE19">
            <v>6.3834231714869225E-2</v>
          </cell>
          <cell r="EF19">
            <v>0.15170972187047022</v>
          </cell>
          <cell r="EG19" t="str">
            <v>Sig better than Eng.</v>
          </cell>
          <cell r="EH19">
            <v>172</v>
          </cell>
          <cell r="EI19">
            <v>27</v>
          </cell>
          <cell r="EJ19">
            <v>0.15697674418604651</v>
          </cell>
          <cell r="EK19">
            <v>0.11018266234093407</v>
          </cell>
          <cell r="EL19">
            <v>0.21875830077786704</v>
          </cell>
          <cell r="EM19" t="str">
            <v>No Sig diff</v>
          </cell>
          <cell r="EN19">
            <v>196</v>
          </cell>
          <cell r="EO19">
            <v>24</v>
          </cell>
          <cell r="EP19">
            <v>0.12244897959183673</v>
          </cell>
          <cell r="EQ19">
            <v>8.3682204688779863E-2</v>
          </cell>
          <cell r="ER19">
            <v>0.1757307275757328</v>
          </cell>
          <cell r="ES19" t="str">
            <v>Sig better than Eng.</v>
          </cell>
          <cell r="ET19">
            <v>178</v>
          </cell>
          <cell r="EU19">
            <v>26</v>
          </cell>
          <cell r="EV19">
            <v>0.14606741573033707</v>
          </cell>
          <cell r="EW19">
            <v>0.10167044863273805</v>
          </cell>
          <cell r="EX19">
            <v>0.20541826030550761</v>
          </cell>
          <cell r="EY19" t="str">
            <v>No Sig diff</v>
          </cell>
          <cell r="EZ19">
            <v>197</v>
          </cell>
          <cell r="FA19">
            <v>96</v>
          </cell>
          <cell r="FB19">
            <v>0.48730964467005078</v>
          </cell>
          <cell r="FC19">
            <v>0.41842434381975807</v>
          </cell>
          <cell r="FD19">
            <v>0.55668039785380308</v>
          </cell>
          <cell r="FE19">
            <v>197</v>
          </cell>
          <cell r="FF19">
            <v>34</v>
          </cell>
          <cell r="FG19">
            <v>39</v>
          </cell>
          <cell r="FH19">
            <v>24.076923076923077</v>
          </cell>
          <cell r="FI19">
            <v>0.29185520361990952</v>
          </cell>
          <cell r="FJ19">
            <v>215</v>
          </cell>
          <cell r="FK19">
            <v>140</v>
          </cell>
          <cell r="FL19">
            <v>0.65116279069767447</v>
          </cell>
          <cell r="FM19">
            <v>0.58530853616604794</v>
          </cell>
          <cell r="FN19">
            <v>0.71171013822168405</v>
          </cell>
          <cell r="FO19">
            <v>215</v>
          </cell>
          <cell r="FP19">
            <v>34</v>
          </cell>
          <cell r="FQ19">
            <v>43</v>
          </cell>
          <cell r="FR19">
            <v>24.232558139534884</v>
          </cell>
          <cell r="FS19">
            <v>0.28727770177838574</v>
          </cell>
          <cell r="FT19">
            <v>2770</v>
          </cell>
          <cell r="FU19">
            <v>2686</v>
          </cell>
          <cell r="FV19">
            <v>84</v>
          </cell>
          <cell r="FW19">
            <v>74</v>
          </cell>
          <cell r="FX19">
            <v>10</v>
          </cell>
          <cell r="FY19">
            <v>0.88095238095238093</v>
          </cell>
          <cell r="FZ19">
            <v>0.11904761904761904</v>
          </cell>
          <cell r="GA19">
            <v>0.90972777222777235</v>
          </cell>
          <cell r="GB19">
            <v>9.0272227772227778E-2</v>
          </cell>
          <cell r="GC19">
            <v>4.2986910653413021E-2</v>
          </cell>
          <cell r="GD19">
            <v>0.13784827338561564</v>
          </cell>
          <cell r="GE19">
            <v>0.88209429459429456</v>
          </cell>
          <cell r="GF19">
            <v>0.11790570540570541</v>
          </cell>
          <cell r="GG19">
            <v>6.6278187495025204E-2</v>
          </cell>
          <cell r="GH19">
            <v>0.1752358718003717</v>
          </cell>
          <cell r="GI19">
            <v>0.87754884004884015</v>
          </cell>
          <cell r="GJ19">
            <v>0.12245115995115995</v>
          </cell>
          <cell r="GK19">
            <v>6.6278187495025204E-2</v>
          </cell>
          <cell r="GL19">
            <v>0.1752358718003717</v>
          </cell>
          <cell r="GM19">
            <v>0.77176874162520082</v>
          </cell>
          <cell r="GN19">
            <v>0.22823125837479907</v>
          </cell>
          <cell r="GO19">
            <v>0.16395460040058435</v>
          </cell>
          <cell r="GP19">
            <v>0.30869018535562776</v>
          </cell>
          <cell r="GQ19">
            <v>58</v>
          </cell>
          <cell r="GR19">
            <v>56</v>
          </cell>
          <cell r="GS19">
            <v>57</v>
          </cell>
          <cell r="GT19">
            <v>58</v>
          </cell>
          <cell r="GU19">
            <v>56</v>
          </cell>
          <cell r="GV19">
            <v>68</v>
          </cell>
          <cell r="GW19">
            <v>66</v>
          </cell>
          <cell r="GX19">
            <v>62</v>
          </cell>
          <cell r="GY19">
            <v>65</v>
          </cell>
          <cell r="GZ19">
            <v>63</v>
          </cell>
          <cell r="HA19">
            <v>65</v>
          </cell>
          <cell r="HB19">
            <v>65</v>
          </cell>
          <cell r="HC19">
            <v>66</v>
          </cell>
          <cell r="HD19">
            <v>56</v>
          </cell>
          <cell r="HE19">
            <v>52</v>
          </cell>
          <cell r="HF19">
            <v>49</v>
          </cell>
          <cell r="HG19">
            <v>48</v>
          </cell>
          <cell r="HH19">
            <v>48</v>
          </cell>
          <cell r="HI19">
            <v>51</v>
          </cell>
          <cell r="HJ19">
            <v>46</v>
          </cell>
          <cell r="HK19">
            <v>52</v>
          </cell>
          <cell r="HL19">
            <v>49</v>
          </cell>
          <cell r="HM19">
            <v>51</v>
          </cell>
          <cell r="HN19">
            <v>19</v>
          </cell>
          <cell r="HO19">
            <v>1.736745886654479E-2</v>
          </cell>
          <cell r="HP19">
            <v>1659</v>
          </cell>
          <cell r="HQ19">
            <v>1527</v>
          </cell>
          <cell r="HR19">
            <v>132</v>
          </cell>
          <cell r="HS19">
            <v>7.956600361663653E-2</v>
          </cell>
        </row>
        <row r="20">
          <cell r="A20" t="str">
            <v>Kingston Buci</v>
          </cell>
          <cell r="C20" t="str">
            <v>Adur</v>
          </cell>
          <cell r="D20" t="str">
            <v>Adur East</v>
          </cell>
          <cell r="E20" t="str">
            <v>Adur</v>
          </cell>
          <cell r="F20" t="str">
            <v>Adur</v>
          </cell>
          <cell r="G20" t="str">
            <v>Buckingham, St Mary's, St Nicolas, Southlands</v>
          </cell>
          <cell r="H20" t="str">
            <v>Shoreham</v>
          </cell>
          <cell r="I20" t="str">
            <v>B</v>
          </cell>
          <cell r="J20" t="str">
            <v>Coastal West Sussex</v>
          </cell>
          <cell r="K20" t="str">
            <v>East Worthing and Shoreham</v>
          </cell>
          <cell r="L20">
            <v>14170</v>
          </cell>
          <cell r="M20">
            <v>14160</v>
          </cell>
          <cell r="N20">
            <v>14375</v>
          </cell>
          <cell r="O20">
            <v>14435</v>
          </cell>
          <cell r="P20">
            <v>14450</v>
          </cell>
          <cell r="Q20">
            <v>14610</v>
          </cell>
          <cell r="R20">
            <v>14625</v>
          </cell>
          <cell r="S20">
            <v>14590</v>
          </cell>
          <cell r="T20">
            <v>14850</v>
          </cell>
          <cell r="U20">
            <v>15185</v>
          </cell>
          <cell r="V20">
            <v>770</v>
          </cell>
          <cell r="W20">
            <v>775</v>
          </cell>
          <cell r="X20">
            <v>805</v>
          </cell>
          <cell r="Y20">
            <v>800</v>
          </cell>
          <cell r="Z20">
            <v>830</v>
          </cell>
          <cell r="AA20">
            <v>815</v>
          </cell>
          <cell r="AB20">
            <v>860</v>
          </cell>
          <cell r="AC20">
            <v>905</v>
          </cell>
          <cell r="AD20">
            <v>945</v>
          </cell>
          <cell r="AE20">
            <v>990</v>
          </cell>
          <cell r="AF20">
            <v>0.89910313901345296</v>
          </cell>
          <cell r="AG20">
            <v>2.1300448430493273E-2</v>
          </cell>
          <cell r="AH20">
            <v>4.708520179372197E-2</v>
          </cell>
          <cell r="AI20">
            <v>2.8026905829596414E-2</v>
          </cell>
          <cell r="AJ20">
            <v>0</v>
          </cell>
          <cell r="AK20">
            <v>4.4843049327354259E-3</v>
          </cell>
          <cell r="AL20">
            <v>0.10089686098654709</v>
          </cell>
          <cell r="AM20">
            <v>1660</v>
          </cell>
          <cell r="AN20">
            <v>0.59975889089813139</v>
          </cell>
          <cell r="AO20">
            <v>0.20253164556962025</v>
          </cell>
          <cell r="AP20">
            <v>0.19770946353224833</v>
          </cell>
          <cell r="AQ20">
            <v>150</v>
          </cell>
          <cell r="AR20">
            <v>168</v>
          </cell>
          <cell r="AS20">
            <v>169</v>
          </cell>
          <cell r="AT20">
            <v>178</v>
          </cell>
          <cell r="AU20">
            <v>202</v>
          </cell>
          <cell r="AV20">
            <v>7</v>
          </cell>
          <cell r="AW20">
            <v>5</v>
          </cell>
          <cell r="AX20">
            <v>7</v>
          </cell>
          <cell r="AY20">
            <v>4</v>
          </cell>
          <cell r="AZ20">
            <v>6</v>
          </cell>
          <cell r="BA20">
            <v>16</v>
          </cell>
          <cell r="BB20">
            <v>7.9207920792079209E-2</v>
          </cell>
          <cell r="BC20">
            <v>4.9341090217535556E-2</v>
          </cell>
          <cell r="BD20">
            <v>0.12478058102419014</v>
          </cell>
          <cell r="BE20">
            <v>9</v>
          </cell>
          <cell r="BF20">
            <v>299</v>
          </cell>
          <cell r="BG20">
            <v>296</v>
          </cell>
          <cell r="BH20">
            <v>106</v>
          </cell>
          <cell r="BI20">
            <v>0.10826011162237827</v>
          </cell>
          <cell r="BJ20">
            <v>1701</v>
          </cell>
          <cell r="BK20">
            <v>2930</v>
          </cell>
          <cell r="BL20">
            <v>1708</v>
          </cell>
          <cell r="BM20">
            <v>897</v>
          </cell>
          <cell r="BN20">
            <v>3</v>
          </cell>
          <cell r="BO20">
            <v>278</v>
          </cell>
          <cell r="BP20">
            <v>406</v>
          </cell>
          <cell r="BQ20">
            <v>124</v>
          </cell>
          <cell r="BR20">
            <v>135</v>
          </cell>
          <cell r="BS20">
            <v>105</v>
          </cell>
          <cell r="BT20">
            <v>95</v>
          </cell>
          <cell r="BU20">
            <v>405</v>
          </cell>
          <cell r="BV20">
            <v>156</v>
          </cell>
          <cell r="BW20">
            <v>0.38518518518518519</v>
          </cell>
          <cell r="BX20">
            <v>30</v>
          </cell>
          <cell r="BY20">
            <v>3</v>
          </cell>
          <cell r="BZ20">
            <v>345</v>
          </cell>
          <cell r="CA20">
            <v>5.3889409559512651E-2</v>
          </cell>
          <cell r="CB20">
            <v>165</v>
          </cell>
          <cell r="CC20">
            <v>165</v>
          </cell>
          <cell r="CD20">
            <v>155</v>
          </cell>
          <cell r="CE20">
            <v>155</v>
          </cell>
          <cell r="CF20">
            <v>415</v>
          </cell>
          <cell r="CG20">
            <v>0.16354545454545455</v>
          </cell>
          <cell r="CH20">
            <v>425</v>
          </cell>
          <cell r="CI20">
            <v>0.15463636363636366</v>
          </cell>
          <cell r="CJ20">
            <v>420</v>
          </cell>
          <cell r="CK20">
            <v>0.15981818181818183</v>
          </cell>
          <cell r="CL20">
            <v>420</v>
          </cell>
          <cell r="CM20">
            <v>0.1598181818181818</v>
          </cell>
          <cell r="CN20">
            <v>445</v>
          </cell>
          <cell r="CO20">
            <v>0.15672727272727272</v>
          </cell>
          <cell r="CP20">
            <v>435</v>
          </cell>
          <cell r="CQ20">
            <v>0.16322701688555347</v>
          </cell>
          <cell r="CR20">
            <v>181</v>
          </cell>
          <cell r="CS20">
            <v>5</v>
          </cell>
          <cell r="CT20">
            <v>176</v>
          </cell>
          <cell r="CU20">
            <v>0.97242984471245353</v>
          </cell>
          <cell r="CV20">
            <v>73</v>
          </cell>
          <cell r="CW20">
            <v>95</v>
          </cell>
          <cell r="CX20">
            <v>0.42210762312085143</v>
          </cell>
          <cell r="CY20">
            <v>0.5499432456088803</v>
          </cell>
          <cell r="CZ20">
            <v>0.34456265326077334</v>
          </cell>
          <cell r="DA20">
            <v>0.48862388422554792</v>
          </cell>
          <cell r="DB20">
            <v>0.4660727025222357</v>
          </cell>
          <cell r="DC20">
            <v>0.61177357998414772</v>
          </cell>
          <cell r="DD20">
            <v>128</v>
          </cell>
          <cell r="DE20">
            <v>6</v>
          </cell>
          <cell r="DF20">
            <v>4.6875E-2</v>
          </cell>
          <cell r="DG20">
            <v>2.1657844171923776E-2</v>
          </cell>
          <cell r="DH20">
            <v>9.8497522450943217E-2</v>
          </cell>
          <cell r="DI20" t="str">
            <v>No Sig diff</v>
          </cell>
          <cell r="DJ20">
            <v>156</v>
          </cell>
          <cell r="DK20">
            <v>9</v>
          </cell>
          <cell r="DL20">
            <v>5.7692307692307696E-2</v>
          </cell>
          <cell r="DM20">
            <v>3.0645742163795515E-2</v>
          </cell>
          <cell r="DN20">
            <v>0.10599877410776384</v>
          </cell>
          <cell r="DO20" t="str">
            <v>No Sig diff</v>
          </cell>
          <cell r="DP20">
            <v>132</v>
          </cell>
          <cell r="DQ20">
            <v>9</v>
          </cell>
          <cell r="DR20">
            <v>6.8181818181818177E-2</v>
          </cell>
          <cell r="DS20">
            <v>3.6282334854811568E-2</v>
          </cell>
          <cell r="DT20">
            <v>0.12450406283489571</v>
          </cell>
          <cell r="DU20" t="str">
            <v>No Sig diff</v>
          </cell>
          <cell r="DV20">
            <v>165</v>
          </cell>
          <cell r="DW20">
            <v>17</v>
          </cell>
          <cell r="DX20">
            <v>0.10303030303030303</v>
          </cell>
          <cell r="DY20">
            <v>6.5326799711821093E-2</v>
          </cell>
          <cell r="DZ20">
            <v>0.15879741175262088</v>
          </cell>
          <cell r="EA20" t="str">
            <v>No Sig diff</v>
          </cell>
          <cell r="EB20">
            <v>135</v>
          </cell>
          <cell r="EC20">
            <v>25</v>
          </cell>
          <cell r="ED20">
            <v>0.18518518518518517</v>
          </cell>
          <cell r="EE20">
            <v>0.12869783265528051</v>
          </cell>
          <cell r="EF20">
            <v>0.25909310009649444</v>
          </cell>
          <cell r="EG20" t="str">
            <v>No Sig diff</v>
          </cell>
          <cell r="EH20">
            <v>120</v>
          </cell>
          <cell r="EI20">
            <v>27</v>
          </cell>
          <cell r="EJ20">
            <v>0.22500000000000001</v>
          </cell>
          <cell r="EK20">
            <v>0.15949154668383531</v>
          </cell>
          <cell r="EL20">
            <v>0.30756899484645162</v>
          </cell>
          <cell r="EM20" t="str">
            <v>No Sig diff</v>
          </cell>
          <cell r="EN20">
            <v>121</v>
          </cell>
          <cell r="EO20">
            <v>18</v>
          </cell>
          <cell r="EP20">
            <v>0.1487603305785124</v>
          </cell>
          <cell r="EQ20">
            <v>9.6217408704644847E-2</v>
          </cell>
          <cell r="ER20">
            <v>0.22291903200226135</v>
          </cell>
          <cell r="ES20" t="str">
            <v>No Sig diff</v>
          </cell>
          <cell r="ET20">
            <v>125</v>
          </cell>
          <cell r="EU20">
            <v>27</v>
          </cell>
          <cell r="EV20">
            <v>0.216</v>
          </cell>
          <cell r="EW20">
            <v>0.15290810140879452</v>
          </cell>
          <cell r="EX20">
            <v>0.2960270422175349</v>
          </cell>
          <cell r="EY20" t="str">
            <v>No Sig diff</v>
          </cell>
          <cell r="EZ20">
            <v>179</v>
          </cell>
          <cell r="FA20">
            <v>88</v>
          </cell>
          <cell r="FB20">
            <v>0.49162011173184356</v>
          </cell>
          <cell r="FC20">
            <v>0.41933238292420277</v>
          </cell>
          <cell r="FD20">
            <v>0.56425995975699406</v>
          </cell>
          <cell r="FE20">
            <v>179</v>
          </cell>
          <cell r="FF20">
            <v>34</v>
          </cell>
          <cell r="FG20">
            <v>35</v>
          </cell>
          <cell r="FH20">
            <v>23.971428571428568</v>
          </cell>
          <cell r="FI20">
            <v>0.29495798319327743</v>
          </cell>
          <cell r="FJ20">
            <v>172</v>
          </cell>
          <cell r="FK20">
            <v>106</v>
          </cell>
          <cell r="FL20">
            <v>0.61627906976744184</v>
          </cell>
          <cell r="FM20">
            <v>0.5418179440123243</v>
          </cell>
          <cell r="FN20">
            <v>0.6856596956084211</v>
          </cell>
          <cell r="FO20">
            <v>172</v>
          </cell>
          <cell r="FP20">
            <v>34</v>
          </cell>
          <cell r="FQ20">
            <v>34</v>
          </cell>
          <cell r="FR20">
            <v>26.941176470588232</v>
          </cell>
          <cell r="FS20">
            <v>0.20761245674740494</v>
          </cell>
          <cell r="FT20">
            <v>2048</v>
          </cell>
          <cell r="FU20">
            <v>2022</v>
          </cell>
          <cell r="FV20">
            <v>26</v>
          </cell>
          <cell r="FW20">
            <v>22</v>
          </cell>
          <cell r="FX20">
            <v>4</v>
          </cell>
          <cell r="FY20">
            <v>0.84615384615384615</v>
          </cell>
          <cell r="FZ20">
            <v>0.15384615384615385</v>
          </cell>
          <cell r="GA20">
            <v>0.92550505050505061</v>
          </cell>
          <cell r="GB20">
            <v>7.4494949494949489E-2</v>
          </cell>
          <cell r="GC20">
            <v>4.283011146065737E-2</v>
          </cell>
          <cell r="GD20">
            <v>0.15590067811002259</v>
          </cell>
          <cell r="GE20">
            <v>0.9412878787878789</v>
          </cell>
          <cell r="GF20">
            <v>5.8712121212121209E-2</v>
          </cell>
          <cell r="GG20">
            <v>2.8956279687604513E-2</v>
          </cell>
          <cell r="GH20">
            <v>0.12971104936160943</v>
          </cell>
          <cell r="GI20">
            <v>0.93118686868686884</v>
          </cell>
          <cell r="GJ20">
            <v>6.8813131313131312E-2</v>
          </cell>
          <cell r="GK20">
            <v>3.5767126237989492E-2</v>
          </cell>
          <cell r="GL20">
            <v>0.14293193307195745</v>
          </cell>
          <cell r="GM20">
            <v>0.79608585858585845</v>
          </cell>
          <cell r="GN20">
            <v>0.20391414141414141</v>
          </cell>
          <cell r="GO20">
            <v>0.14776236248775229</v>
          </cell>
          <cell r="GP20">
            <v>0.31138092047245669</v>
          </cell>
          <cell r="GQ20">
            <v>57</v>
          </cell>
          <cell r="GR20">
            <v>52</v>
          </cell>
          <cell r="GS20">
            <v>53</v>
          </cell>
          <cell r="GT20">
            <v>55</v>
          </cell>
          <cell r="GU20">
            <v>53</v>
          </cell>
          <cell r="GV20">
            <v>42</v>
          </cell>
          <cell r="GW20">
            <v>40</v>
          </cell>
          <cell r="GX20">
            <v>41</v>
          </cell>
          <cell r="GY20">
            <v>40</v>
          </cell>
          <cell r="GZ20">
            <v>41</v>
          </cell>
          <cell r="HA20">
            <v>41</v>
          </cell>
          <cell r="HB20">
            <v>40</v>
          </cell>
          <cell r="HC20">
            <v>41</v>
          </cell>
          <cell r="HD20">
            <v>41</v>
          </cell>
          <cell r="HE20">
            <v>38</v>
          </cell>
          <cell r="HF20">
            <v>37</v>
          </cell>
          <cell r="HG20">
            <v>37</v>
          </cell>
          <cell r="HH20">
            <v>37</v>
          </cell>
          <cell r="HI20">
            <v>38</v>
          </cell>
          <cell r="HJ20">
            <v>36</v>
          </cell>
          <cell r="HK20">
            <v>37</v>
          </cell>
          <cell r="HL20">
            <v>36</v>
          </cell>
          <cell r="HM20">
            <v>38</v>
          </cell>
          <cell r="HN20">
            <v>22</v>
          </cell>
          <cell r="HO20">
            <v>2.4663677130044841E-2</v>
          </cell>
          <cell r="HP20">
            <v>1387</v>
          </cell>
          <cell r="HQ20">
            <v>1218</v>
          </cell>
          <cell r="HR20">
            <v>169</v>
          </cell>
          <cell r="HS20">
            <v>0.12184571016582552</v>
          </cell>
        </row>
        <row r="21">
          <cell r="A21" t="str">
            <v>Lancing</v>
          </cell>
          <cell r="C21" t="str">
            <v>Adur</v>
          </cell>
          <cell r="D21" t="str">
            <v>Adur West</v>
          </cell>
          <cell r="E21" t="str">
            <v>Adur</v>
          </cell>
          <cell r="F21" t="str">
            <v>Adur</v>
          </cell>
          <cell r="G21" t="str">
            <v>Marine, Mash Barn, Widewater</v>
          </cell>
          <cell r="H21" t="str">
            <v>Lancing</v>
          </cell>
          <cell r="I21" t="str">
            <v>B</v>
          </cell>
          <cell r="J21" t="str">
            <v>Coastal West Sussex</v>
          </cell>
          <cell r="K21" t="str">
            <v>East Worthing and Shoreham</v>
          </cell>
          <cell r="L21">
            <v>13875</v>
          </cell>
          <cell r="M21">
            <v>13885</v>
          </cell>
          <cell r="N21">
            <v>14085</v>
          </cell>
          <cell r="O21">
            <v>14295</v>
          </cell>
          <cell r="P21">
            <v>14475</v>
          </cell>
          <cell r="Q21">
            <v>14595</v>
          </cell>
          <cell r="R21">
            <v>14705</v>
          </cell>
          <cell r="S21">
            <v>14760</v>
          </cell>
          <cell r="T21">
            <v>14890</v>
          </cell>
          <cell r="U21">
            <v>15055</v>
          </cell>
          <cell r="V21">
            <v>680</v>
          </cell>
          <cell r="W21">
            <v>650</v>
          </cell>
          <cell r="X21">
            <v>690</v>
          </cell>
          <cell r="Y21">
            <v>730</v>
          </cell>
          <cell r="Z21">
            <v>725</v>
          </cell>
          <cell r="AA21">
            <v>805</v>
          </cell>
          <cell r="AB21">
            <v>850</v>
          </cell>
          <cell r="AC21">
            <v>875</v>
          </cell>
          <cell r="AD21">
            <v>910</v>
          </cell>
          <cell r="AE21">
            <v>955</v>
          </cell>
          <cell r="AF21">
            <v>0.88173302107728335</v>
          </cell>
          <cell r="AG21">
            <v>3.864168618266979E-2</v>
          </cell>
          <cell r="AH21">
            <v>4.6838407494145202E-2</v>
          </cell>
          <cell r="AI21">
            <v>1.9906323185011711E-2</v>
          </cell>
          <cell r="AJ21">
            <v>5.8548009367681503E-3</v>
          </cell>
          <cell r="AK21">
            <v>7.0257611241217799E-3</v>
          </cell>
          <cell r="AL21">
            <v>0.11826697892271663</v>
          </cell>
          <cell r="AM21">
            <v>1580</v>
          </cell>
          <cell r="AN21">
            <v>0.6198608475648324</v>
          </cell>
          <cell r="AO21">
            <v>0.12397216951296648</v>
          </cell>
          <cell r="AP21">
            <v>0.25616698292220114</v>
          </cell>
          <cell r="AQ21">
            <v>180</v>
          </cell>
          <cell r="AR21">
            <v>169</v>
          </cell>
          <cell r="AS21">
            <v>185</v>
          </cell>
          <cell r="AT21">
            <v>195</v>
          </cell>
          <cell r="AU21">
            <v>199</v>
          </cell>
          <cell r="AV21">
            <v>11</v>
          </cell>
          <cell r="AW21">
            <v>12</v>
          </cell>
          <cell r="AX21">
            <v>7</v>
          </cell>
          <cell r="AY21">
            <v>13</v>
          </cell>
          <cell r="AZ21">
            <v>8</v>
          </cell>
          <cell r="BA21">
            <v>9</v>
          </cell>
          <cell r="BB21">
            <v>4.5226130653266333E-2</v>
          </cell>
          <cell r="BC21">
            <v>2.3973316045364932E-2</v>
          </cell>
          <cell r="BD21">
            <v>8.3704172312679903E-2</v>
          </cell>
          <cell r="BE21">
            <v>14</v>
          </cell>
          <cell r="BF21">
            <v>316</v>
          </cell>
          <cell r="BG21">
            <v>254</v>
          </cell>
          <cell r="BH21">
            <v>103</v>
          </cell>
          <cell r="BI21">
            <v>0.11967164501186521</v>
          </cell>
          <cell r="BJ21">
            <v>1619</v>
          </cell>
          <cell r="BK21">
            <v>2755</v>
          </cell>
          <cell r="BL21">
            <v>1633</v>
          </cell>
          <cell r="BM21">
            <v>831</v>
          </cell>
          <cell r="BN21">
            <v>0</v>
          </cell>
          <cell r="BO21">
            <v>297</v>
          </cell>
          <cell r="BP21">
            <v>388</v>
          </cell>
          <cell r="BQ21">
            <v>117</v>
          </cell>
          <cell r="BR21">
            <v>135</v>
          </cell>
          <cell r="BS21">
            <v>145</v>
          </cell>
          <cell r="BT21">
            <v>140</v>
          </cell>
          <cell r="BU21">
            <v>388</v>
          </cell>
          <cell r="BV21">
            <v>152</v>
          </cell>
          <cell r="BW21">
            <v>0.39175257731958762</v>
          </cell>
          <cell r="BX21">
            <v>44</v>
          </cell>
          <cell r="BY21">
            <v>3</v>
          </cell>
          <cell r="BZ21">
            <v>296</v>
          </cell>
          <cell r="CA21">
            <v>4.3929949539922825E-2</v>
          </cell>
          <cell r="CB21">
            <v>190</v>
          </cell>
          <cell r="CC21">
            <v>180</v>
          </cell>
          <cell r="CD21">
            <v>200</v>
          </cell>
          <cell r="CE21">
            <v>175</v>
          </cell>
          <cell r="CF21">
            <v>405</v>
          </cell>
          <cell r="CG21">
            <v>0.17611111111111108</v>
          </cell>
          <cell r="CH21">
            <v>375</v>
          </cell>
          <cell r="CI21">
            <v>0.15288888888888888</v>
          </cell>
          <cell r="CJ21">
            <v>460</v>
          </cell>
          <cell r="CK21">
            <v>0.18899999999999997</v>
          </cell>
          <cell r="CL21">
            <v>370</v>
          </cell>
          <cell r="CM21">
            <v>0.15466666666666665</v>
          </cell>
          <cell r="CN21">
            <v>420</v>
          </cell>
          <cell r="CO21">
            <v>0.16600000000000001</v>
          </cell>
          <cell r="CP21">
            <v>405</v>
          </cell>
          <cell r="CQ21">
            <v>0.16396761133603238</v>
          </cell>
          <cell r="CR21">
            <v>188</v>
          </cell>
          <cell r="CS21">
            <v>14</v>
          </cell>
          <cell r="CT21">
            <v>174</v>
          </cell>
          <cell r="CU21">
            <v>0.91221703151023581</v>
          </cell>
          <cell r="CV21">
            <v>68</v>
          </cell>
          <cell r="CW21">
            <v>86</v>
          </cell>
          <cell r="CX21">
            <v>0.35166311538860562</v>
          </cell>
          <cell r="CY21">
            <v>0.46023725729608089</v>
          </cell>
          <cell r="CZ21">
            <v>0.3214116321508444</v>
          </cell>
          <cell r="DA21">
            <v>0.46491507656072817</v>
          </cell>
          <cell r="DB21">
            <v>0.42089495809986699</v>
          </cell>
          <cell r="DC21">
            <v>0.56785907920074208</v>
          </cell>
          <cell r="DD21">
            <v>130</v>
          </cell>
          <cell r="DE21">
            <v>7</v>
          </cell>
          <cell r="DF21">
            <v>5.3846153846153849E-2</v>
          </cell>
          <cell r="DG21">
            <v>2.632495898818149E-2</v>
          </cell>
          <cell r="DH21">
            <v>0.10697797253915731</v>
          </cell>
          <cell r="DI21" t="str">
            <v>No Sig diff</v>
          </cell>
          <cell r="DJ21">
            <v>154</v>
          </cell>
          <cell r="DK21">
            <v>11</v>
          </cell>
          <cell r="DL21">
            <v>7.1428571428571425E-2</v>
          </cell>
          <cell r="DM21">
            <v>4.0349744563473719E-2</v>
          </cell>
          <cell r="DN21">
            <v>0.12336807085566588</v>
          </cell>
          <cell r="DO21" t="str">
            <v>No Sig diff</v>
          </cell>
          <cell r="DP21">
            <v>127</v>
          </cell>
          <cell r="DQ21">
            <v>12</v>
          </cell>
          <cell r="DR21">
            <v>9.4488188976377951E-2</v>
          </cell>
          <cell r="DS21">
            <v>5.4879198646489942E-2</v>
          </cell>
          <cell r="DT21">
            <v>0.15790854517443623</v>
          </cell>
          <cell r="DU21" t="str">
            <v>No Sig diff</v>
          </cell>
          <cell r="DV21">
            <v>158</v>
          </cell>
          <cell r="DW21">
            <v>10</v>
          </cell>
          <cell r="DX21">
            <v>6.3291139240506333E-2</v>
          </cell>
          <cell r="DY21">
            <v>3.4738438192433274E-2</v>
          </cell>
          <cell r="DZ21">
            <v>0.11257522911149487</v>
          </cell>
          <cell r="EA21" t="str">
            <v>No Sig diff</v>
          </cell>
          <cell r="EB21">
            <v>110</v>
          </cell>
          <cell r="EC21">
            <v>24</v>
          </cell>
          <cell r="ED21">
            <v>0.21818181818181817</v>
          </cell>
          <cell r="EE21">
            <v>0.15122956180325126</v>
          </cell>
          <cell r="EF21">
            <v>0.30415338354662314</v>
          </cell>
          <cell r="EG21" t="str">
            <v>No Sig diff</v>
          </cell>
          <cell r="EH21">
            <v>113</v>
          </cell>
          <cell r="EI21">
            <v>17</v>
          </cell>
          <cell r="EJ21">
            <v>0.15044247787610621</v>
          </cell>
          <cell r="EK21">
            <v>9.6100867119634975E-2</v>
          </cell>
          <cell r="EL21">
            <v>0.22776926598753502</v>
          </cell>
          <cell r="EM21" t="str">
            <v>No Sig diff</v>
          </cell>
          <cell r="EN21">
            <v>98</v>
          </cell>
          <cell r="EO21">
            <v>16</v>
          </cell>
          <cell r="EP21">
            <v>0.16326530612244897</v>
          </cell>
          <cell r="EQ21">
            <v>0.10306803521803502</v>
          </cell>
          <cell r="ER21">
            <v>0.24886583568023959</v>
          </cell>
          <cell r="ES21" t="str">
            <v>No Sig diff</v>
          </cell>
          <cell r="ET21">
            <v>126</v>
          </cell>
          <cell r="EU21">
            <v>11</v>
          </cell>
          <cell r="EV21">
            <v>8.7301587301587297E-2</v>
          </cell>
          <cell r="EW21">
            <v>4.9446843632529658E-2</v>
          </cell>
          <cell r="EX21">
            <v>0.14957632705118967</v>
          </cell>
          <cell r="EY21" t="str">
            <v>Sig better than Eng.</v>
          </cell>
          <cell r="EZ21">
            <v>171</v>
          </cell>
          <cell r="FA21">
            <v>83</v>
          </cell>
          <cell r="FB21">
            <v>0.4853801169590643</v>
          </cell>
          <cell r="FC21">
            <v>0.41161906981424612</v>
          </cell>
          <cell r="FD21">
            <v>0.55978359386904153</v>
          </cell>
          <cell r="FE21">
            <v>171</v>
          </cell>
          <cell r="FF21">
            <v>34</v>
          </cell>
          <cell r="FG21">
            <v>34</v>
          </cell>
          <cell r="FH21">
            <v>22.558823529411764</v>
          </cell>
          <cell r="FI21">
            <v>0.33650519031141868</v>
          </cell>
          <cell r="FJ21">
            <v>169</v>
          </cell>
          <cell r="FK21">
            <v>90</v>
          </cell>
          <cell r="FL21">
            <v>0.53254437869822491</v>
          </cell>
          <cell r="FM21">
            <v>0.45743480329711905</v>
          </cell>
          <cell r="FN21">
            <v>0.60620733485106337</v>
          </cell>
          <cell r="FO21">
            <v>169</v>
          </cell>
          <cell r="FP21">
            <v>34</v>
          </cell>
          <cell r="FQ21">
            <v>33</v>
          </cell>
          <cell r="FR21">
            <v>22.090909090909093</v>
          </cell>
          <cell r="FS21">
            <v>0.35026737967914429</v>
          </cell>
          <cell r="FT21">
            <v>1894</v>
          </cell>
          <cell r="FU21">
            <v>1869</v>
          </cell>
          <cell r="FV21">
            <v>25</v>
          </cell>
          <cell r="FW21">
            <v>20</v>
          </cell>
          <cell r="FX21">
            <v>5</v>
          </cell>
          <cell r="FY21">
            <v>0.8</v>
          </cell>
          <cell r="FZ21">
            <v>0.2</v>
          </cell>
          <cell r="GA21">
            <v>0.84947089947089938</v>
          </cell>
          <cell r="GB21">
            <v>0.15052910052910054</v>
          </cell>
          <cell r="GC21">
            <v>8.5202569718038565E-2</v>
          </cell>
          <cell r="GD21">
            <v>0.21470101193978974</v>
          </cell>
          <cell r="GE21">
            <v>0.87645502645502649</v>
          </cell>
          <cell r="GF21">
            <v>0.12354497354497355</v>
          </cell>
          <cell r="GG21">
            <v>7.1039064247299846E-2</v>
          </cell>
          <cell r="GH21">
            <v>0.19341659749446916</v>
          </cell>
          <cell r="GI21">
            <v>0.8838624338624339</v>
          </cell>
          <cell r="GJ21">
            <v>0.11613756613756615</v>
          </cell>
          <cell r="GK21">
            <v>7.1039064247299846E-2</v>
          </cell>
          <cell r="GL21">
            <v>0.19341659749446916</v>
          </cell>
          <cell r="GM21">
            <v>0.71941659704817595</v>
          </cell>
          <cell r="GN21">
            <v>0.28058340295182405</v>
          </cell>
          <cell r="GO21">
            <v>0.16829549205620981</v>
          </cell>
          <cell r="GP21">
            <v>0.3265716491399448</v>
          </cell>
          <cell r="GQ21">
            <v>53</v>
          </cell>
          <cell r="GR21">
            <v>51</v>
          </cell>
          <cell r="GS21">
            <v>51</v>
          </cell>
          <cell r="GT21">
            <v>52</v>
          </cell>
          <cell r="GU21">
            <v>51</v>
          </cell>
          <cell r="GV21">
            <v>58</v>
          </cell>
          <cell r="GW21">
            <v>54</v>
          </cell>
          <cell r="GX21">
            <v>56</v>
          </cell>
          <cell r="GY21">
            <v>52</v>
          </cell>
          <cell r="GZ21">
            <v>55</v>
          </cell>
          <cell r="HA21">
            <v>57</v>
          </cell>
          <cell r="HB21">
            <v>55</v>
          </cell>
          <cell r="HC21">
            <v>56</v>
          </cell>
          <cell r="HD21">
            <v>37</v>
          </cell>
          <cell r="HE21">
            <v>34</v>
          </cell>
          <cell r="HF21">
            <v>33</v>
          </cell>
          <cell r="HG21">
            <v>33</v>
          </cell>
          <cell r="HH21">
            <v>33</v>
          </cell>
          <cell r="HI21">
            <v>33</v>
          </cell>
          <cell r="HJ21">
            <v>33</v>
          </cell>
          <cell r="HK21">
            <v>35</v>
          </cell>
          <cell r="HL21">
            <v>34</v>
          </cell>
          <cell r="HM21">
            <v>34</v>
          </cell>
          <cell r="HN21">
            <v>12</v>
          </cell>
          <cell r="HO21">
            <v>1.405152224824356E-2</v>
          </cell>
          <cell r="HP21">
            <v>1322</v>
          </cell>
          <cell r="HQ21">
            <v>1162</v>
          </cell>
          <cell r="HR21">
            <v>160</v>
          </cell>
          <cell r="HS21">
            <v>0.12102874432677761</v>
          </cell>
        </row>
        <row r="22">
          <cell r="A22" t="str">
            <v>Langley Green</v>
          </cell>
          <cell r="C22" t="str">
            <v>Crawley</v>
          </cell>
          <cell r="D22" t="str">
            <v>Crawley</v>
          </cell>
          <cell r="E22" t="str">
            <v>Crawley</v>
          </cell>
          <cell r="F22" t="str">
            <v>Crawley</v>
          </cell>
          <cell r="G22" t="str">
            <v>Ifield, Langley Green</v>
          </cell>
          <cell r="H22" t="str">
            <v>Crawley NW</v>
          </cell>
          <cell r="I22" t="str">
            <v>C1</v>
          </cell>
          <cell r="J22" t="str">
            <v>Crawley</v>
          </cell>
          <cell r="K22" t="str">
            <v>Crawley</v>
          </cell>
          <cell r="L22">
            <v>15625</v>
          </cell>
          <cell r="M22">
            <v>15845</v>
          </cell>
          <cell r="N22">
            <v>16080</v>
          </cell>
          <cell r="O22">
            <v>16165</v>
          </cell>
          <cell r="P22">
            <v>16350</v>
          </cell>
          <cell r="Q22">
            <v>16480</v>
          </cell>
          <cell r="R22">
            <v>16875</v>
          </cell>
          <cell r="S22">
            <v>17185</v>
          </cell>
          <cell r="T22">
            <v>17290</v>
          </cell>
          <cell r="U22">
            <v>17405</v>
          </cell>
          <cell r="V22">
            <v>935</v>
          </cell>
          <cell r="W22">
            <v>940</v>
          </cell>
          <cell r="X22">
            <v>970</v>
          </cell>
          <cell r="Y22">
            <v>1025</v>
          </cell>
          <cell r="Z22">
            <v>1100</v>
          </cell>
          <cell r="AA22">
            <v>1170</v>
          </cell>
          <cell r="AB22">
            <v>1285</v>
          </cell>
          <cell r="AC22">
            <v>1305</v>
          </cell>
          <cell r="AD22">
            <v>1330</v>
          </cell>
          <cell r="AE22">
            <v>1310</v>
          </cell>
          <cell r="AF22">
            <v>0.57689364957918898</v>
          </cell>
          <cell r="AG22">
            <v>5.9678653404743688E-2</v>
          </cell>
          <cell r="AH22">
            <v>7.1155317521040554E-2</v>
          </cell>
          <cell r="AI22">
            <v>0.24483550114766642</v>
          </cell>
          <cell r="AJ22">
            <v>3.8255547054322873E-2</v>
          </cell>
          <cell r="AK22">
            <v>9.181331293037491E-3</v>
          </cell>
          <cell r="AL22">
            <v>0.42310635042081102</v>
          </cell>
          <cell r="AM22">
            <v>2405</v>
          </cell>
          <cell r="AN22">
            <v>0.44675540765391014</v>
          </cell>
          <cell r="AO22">
            <v>0.38019966722129783</v>
          </cell>
          <cell r="AP22">
            <v>0.17304492512479203</v>
          </cell>
          <cell r="AQ22">
            <v>278</v>
          </cell>
          <cell r="AR22">
            <v>290</v>
          </cell>
          <cell r="AS22">
            <v>295</v>
          </cell>
          <cell r="AT22">
            <v>260</v>
          </cell>
          <cell r="AU22">
            <v>242</v>
          </cell>
          <cell r="AV22">
            <v>16</v>
          </cell>
          <cell r="AW22">
            <v>8</v>
          </cell>
          <cell r="AX22">
            <v>11</v>
          </cell>
          <cell r="AY22">
            <v>12</v>
          </cell>
          <cell r="AZ22">
            <v>8</v>
          </cell>
          <cell r="BA22">
            <v>20</v>
          </cell>
          <cell r="BB22">
            <v>8.2644628099173556E-2</v>
          </cell>
          <cell r="BC22">
            <v>5.4134868300491863E-2</v>
          </cell>
          <cell r="BD22">
            <v>0.12419737488990565</v>
          </cell>
          <cell r="BE22">
            <v>25</v>
          </cell>
          <cell r="BF22">
            <v>379</v>
          </cell>
          <cell r="BG22">
            <v>343</v>
          </cell>
          <cell r="BH22">
            <v>285</v>
          </cell>
          <cell r="BI22">
            <v>0.19692138070707646</v>
          </cell>
          <cell r="BJ22">
            <v>2149</v>
          </cell>
          <cell r="BK22">
            <v>3986</v>
          </cell>
          <cell r="BL22">
            <v>2183</v>
          </cell>
          <cell r="BM22">
            <v>1076</v>
          </cell>
          <cell r="BN22">
            <v>1</v>
          </cell>
          <cell r="BO22">
            <v>300</v>
          </cell>
          <cell r="BP22">
            <v>546</v>
          </cell>
          <cell r="BQ22">
            <v>260</v>
          </cell>
          <cell r="BR22">
            <v>200</v>
          </cell>
          <cell r="BS22">
            <v>185</v>
          </cell>
          <cell r="BT22">
            <v>160</v>
          </cell>
          <cell r="BU22">
            <v>523</v>
          </cell>
          <cell r="BV22">
            <v>219</v>
          </cell>
          <cell r="BW22">
            <v>0.41873804971319312</v>
          </cell>
          <cell r="BX22">
            <v>47</v>
          </cell>
          <cell r="BY22">
            <v>3</v>
          </cell>
          <cell r="BZ22">
            <v>382</v>
          </cell>
          <cell r="CA22">
            <v>5.8276125095347062E-2</v>
          </cell>
          <cell r="CB22">
            <v>280</v>
          </cell>
          <cell r="CC22">
            <v>300</v>
          </cell>
          <cell r="CD22">
            <v>300</v>
          </cell>
          <cell r="CE22">
            <v>280</v>
          </cell>
          <cell r="CF22">
            <v>780</v>
          </cell>
          <cell r="CG22">
            <v>0.23018181818181818</v>
          </cell>
          <cell r="CH22">
            <v>810</v>
          </cell>
          <cell r="CI22">
            <v>0.21772727272727277</v>
          </cell>
          <cell r="CJ22">
            <v>750</v>
          </cell>
          <cell r="CK22">
            <v>0.22318181818181818</v>
          </cell>
          <cell r="CL22">
            <v>705</v>
          </cell>
          <cell r="CM22">
            <v>0.23072727272727275</v>
          </cell>
          <cell r="CN22">
            <v>725</v>
          </cell>
          <cell r="CO22">
            <v>0.21154545454545454</v>
          </cell>
          <cell r="CP22">
            <v>735</v>
          </cell>
          <cell r="CQ22">
            <v>0.19573901464713714</v>
          </cell>
          <cell r="CR22">
            <v>243</v>
          </cell>
          <cell r="CS22">
            <v>9</v>
          </cell>
          <cell r="CT22">
            <v>234</v>
          </cell>
          <cell r="CU22">
            <v>0.96748431604046592</v>
          </cell>
          <cell r="CV22">
            <v>83</v>
          </cell>
          <cell r="CW22">
            <v>121</v>
          </cell>
          <cell r="CX22">
            <v>0.36981045743336588</v>
          </cell>
          <cell r="CY22">
            <v>0.52300648035510899</v>
          </cell>
          <cell r="CZ22">
            <v>0.29619960630889919</v>
          </cell>
          <cell r="DA22">
            <v>0.41789582527245578</v>
          </cell>
          <cell r="DB22">
            <v>0.45330934839463238</v>
          </cell>
          <cell r="DC22">
            <v>0.58032648318403168</v>
          </cell>
          <cell r="DD22">
            <v>182</v>
          </cell>
          <cell r="DE22">
            <v>13</v>
          </cell>
          <cell r="DF22">
            <v>7.1428571428571425E-2</v>
          </cell>
          <cell r="DG22">
            <v>4.2215244868037641E-2</v>
          </cell>
          <cell r="DH22">
            <v>0.11835957525047065</v>
          </cell>
          <cell r="DI22" t="str">
            <v>No Sig diff</v>
          </cell>
          <cell r="DJ22">
            <v>199</v>
          </cell>
          <cell r="DK22">
            <v>23</v>
          </cell>
          <cell r="DL22">
            <v>0.11557788944723618</v>
          </cell>
          <cell r="DM22">
            <v>7.8261508207020325E-2</v>
          </cell>
          <cell r="DN22">
            <v>0.16745482173099549</v>
          </cell>
          <cell r="DO22" t="str">
            <v>No Sig diff</v>
          </cell>
          <cell r="DP22">
            <v>164</v>
          </cell>
          <cell r="DQ22">
            <v>16</v>
          </cell>
          <cell r="DR22">
            <v>9.7560975609756101E-2</v>
          </cell>
          <cell r="DS22">
            <v>6.0946967227705207E-2</v>
          </cell>
          <cell r="DT22">
            <v>0.15259657006354138</v>
          </cell>
          <cell r="DU22" t="str">
            <v>No Sig diff</v>
          </cell>
          <cell r="DV22">
            <v>175</v>
          </cell>
          <cell r="DW22">
            <v>13</v>
          </cell>
          <cell r="DX22">
            <v>7.4285714285714288E-2</v>
          </cell>
          <cell r="DY22">
            <v>4.3924003825929425E-2</v>
          </cell>
          <cell r="DZ22">
            <v>0.12293584521283889</v>
          </cell>
          <cell r="EA22" t="str">
            <v>No Sig diff</v>
          </cell>
          <cell r="EB22">
            <v>171</v>
          </cell>
          <cell r="EC22">
            <v>34</v>
          </cell>
          <cell r="ED22">
            <v>0.19883040935672514</v>
          </cell>
          <cell r="EE22">
            <v>0.14591834770221057</v>
          </cell>
          <cell r="EF22">
            <v>0.26497652417351536</v>
          </cell>
          <cell r="EG22" t="str">
            <v>No Sig diff</v>
          </cell>
          <cell r="EH22">
            <v>175</v>
          </cell>
          <cell r="EI22">
            <v>32</v>
          </cell>
          <cell r="EJ22">
            <v>0.18285714285714286</v>
          </cell>
          <cell r="EK22">
            <v>0.13260870016222265</v>
          </cell>
          <cell r="EL22">
            <v>0.24672984509484641</v>
          </cell>
          <cell r="EM22" t="str">
            <v>No Sig diff</v>
          </cell>
          <cell r="EN22">
            <v>188</v>
          </cell>
          <cell r="EO22">
            <v>36</v>
          </cell>
          <cell r="EP22">
            <v>0.19148936170212766</v>
          </cell>
          <cell r="EQ22">
            <v>0.14164627861962834</v>
          </cell>
          <cell r="ER22">
            <v>0.25368776067987386</v>
          </cell>
          <cell r="ES22" t="str">
            <v>No Sig diff</v>
          </cell>
          <cell r="ET22">
            <v>173</v>
          </cell>
          <cell r="EU22">
            <v>38</v>
          </cell>
          <cell r="EV22">
            <v>0.21965317919075145</v>
          </cell>
          <cell r="EW22">
            <v>0.16442041037655816</v>
          </cell>
          <cell r="EX22">
            <v>0.28706567978088754</v>
          </cell>
          <cell r="EY22" t="str">
            <v>No Sig diff</v>
          </cell>
          <cell r="EZ22">
            <v>213</v>
          </cell>
          <cell r="FA22">
            <v>77</v>
          </cell>
          <cell r="FB22">
            <v>0.36150234741784038</v>
          </cell>
          <cell r="FC22">
            <v>0.29996303420485582</v>
          </cell>
          <cell r="FD22">
            <v>0.42794877601411613</v>
          </cell>
          <cell r="FE22">
            <v>213</v>
          </cell>
          <cell r="FF22">
            <v>32</v>
          </cell>
          <cell r="FG22">
            <v>42</v>
          </cell>
          <cell r="FH22">
            <v>22.095238095238102</v>
          </cell>
          <cell r="FI22">
            <v>0.30952380952380931</v>
          </cell>
          <cell r="FJ22">
            <v>276</v>
          </cell>
          <cell r="FK22">
            <v>140</v>
          </cell>
          <cell r="FL22">
            <v>0.50724637681159424</v>
          </cell>
          <cell r="FM22">
            <v>0.44857125889871413</v>
          </cell>
          <cell r="FN22">
            <v>0.56572254880532213</v>
          </cell>
          <cell r="FO22">
            <v>276</v>
          </cell>
          <cell r="FP22">
            <v>34</v>
          </cell>
          <cell r="FQ22">
            <v>55</v>
          </cell>
          <cell r="FR22">
            <v>22.472727272727269</v>
          </cell>
          <cell r="FS22">
            <v>0.33903743315508034</v>
          </cell>
          <cell r="FT22">
            <v>2421</v>
          </cell>
          <cell r="FU22">
            <v>2397</v>
          </cell>
          <cell r="FV22">
            <v>24</v>
          </cell>
          <cell r="FW22">
            <v>18</v>
          </cell>
          <cell r="FX22">
            <v>6</v>
          </cell>
          <cell r="FY22">
            <v>0.75</v>
          </cell>
          <cell r="FZ22">
            <v>0.25</v>
          </cell>
          <cell r="GA22">
            <v>0.89145702782066427</v>
          </cell>
          <cell r="GB22">
            <v>0.1085429721793358</v>
          </cell>
          <cell r="GC22">
            <v>6.5066148885121536E-2</v>
          </cell>
          <cell r="GD22">
            <v>0.16697738327579825</v>
          </cell>
          <cell r="GE22">
            <v>0.94403778040141684</v>
          </cell>
          <cell r="GF22">
            <v>5.5962219598583232E-2</v>
          </cell>
          <cell r="GG22">
            <v>2.8820370601525466E-2</v>
          </cell>
          <cell r="GH22">
            <v>0.10722860307950929</v>
          </cell>
          <cell r="GI22">
            <v>0.88092210819483541</v>
          </cell>
          <cell r="GJ22">
            <v>0.1190778918051645</v>
          </cell>
          <cell r="GK22">
            <v>7.6104144741722793E-2</v>
          </cell>
          <cell r="GL22">
            <v>0.18336640412773555</v>
          </cell>
          <cell r="GM22">
            <v>0.72868041049859233</v>
          </cell>
          <cell r="GN22">
            <v>0.27131958950140767</v>
          </cell>
          <cell r="GO22">
            <v>0.20122466904115702</v>
          </cell>
          <cell r="GP22">
            <v>0.34756778676870415</v>
          </cell>
          <cell r="GQ22">
            <v>73</v>
          </cell>
          <cell r="GR22">
            <v>71</v>
          </cell>
          <cell r="GS22">
            <v>70</v>
          </cell>
          <cell r="GT22">
            <v>72</v>
          </cell>
          <cell r="GU22">
            <v>71</v>
          </cell>
          <cell r="GV22">
            <v>56</v>
          </cell>
          <cell r="GW22">
            <v>55</v>
          </cell>
          <cell r="GX22">
            <v>53</v>
          </cell>
          <cell r="GY22">
            <v>55</v>
          </cell>
          <cell r="GZ22">
            <v>54</v>
          </cell>
          <cell r="HA22">
            <v>53</v>
          </cell>
          <cell r="HB22">
            <v>56</v>
          </cell>
          <cell r="HC22">
            <v>56</v>
          </cell>
          <cell r="HD22">
            <v>66</v>
          </cell>
          <cell r="HE22">
            <v>64</v>
          </cell>
          <cell r="HF22">
            <v>60</v>
          </cell>
          <cell r="HG22">
            <v>64</v>
          </cell>
          <cell r="HH22">
            <v>59</v>
          </cell>
          <cell r="HI22">
            <v>61</v>
          </cell>
          <cell r="HJ22">
            <v>64</v>
          </cell>
          <cell r="HK22">
            <v>65</v>
          </cell>
          <cell r="HL22">
            <v>63</v>
          </cell>
          <cell r="HM22">
            <v>60</v>
          </cell>
          <cell r="HN22">
            <v>26</v>
          </cell>
          <cell r="HO22">
            <v>1.9892884468247895E-2</v>
          </cell>
          <cell r="HP22">
            <v>2123</v>
          </cell>
          <cell r="HQ22">
            <v>1864</v>
          </cell>
          <cell r="HR22">
            <v>259</v>
          </cell>
          <cell r="HS22">
            <v>0.12199717381064532</v>
          </cell>
        </row>
        <row r="23">
          <cell r="A23" t="str">
            <v>Littlehampton</v>
          </cell>
          <cell r="C23" t="str">
            <v>Arun East</v>
          </cell>
          <cell r="D23" t="str">
            <v>Arun East</v>
          </cell>
          <cell r="E23" t="str">
            <v>Arun</v>
          </cell>
          <cell r="F23" t="str">
            <v>Arun</v>
          </cell>
          <cell r="G23" t="str">
            <v>Beach, Brookfield, Ham, River, Wick with Toddington</v>
          </cell>
          <cell r="H23" t="str">
            <v>Littlehampton</v>
          </cell>
          <cell r="I23" t="str">
            <v>B</v>
          </cell>
          <cell r="J23" t="str">
            <v>Coastal West Sussex</v>
          </cell>
          <cell r="K23" t="str">
            <v>Bognor Regis and Littlehampton</v>
          </cell>
          <cell r="L23">
            <v>18555</v>
          </cell>
          <cell r="M23">
            <v>18535</v>
          </cell>
          <cell r="N23">
            <v>18740</v>
          </cell>
          <cell r="O23">
            <v>18880</v>
          </cell>
          <cell r="P23">
            <v>19110</v>
          </cell>
          <cell r="Q23">
            <v>19395</v>
          </cell>
          <cell r="R23">
            <v>19645</v>
          </cell>
          <cell r="S23">
            <v>19930</v>
          </cell>
          <cell r="T23">
            <v>20235</v>
          </cell>
          <cell r="U23">
            <v>20490</v>
          </cell>
          <cell r="V23">
            <v>960</v>
          </cell>
          <cell r="W23">
            <v>995</v>
          </cell>
          <cell r="X23">
            <v>1000</v>
          </cell>
          <cell r="Y23">
            <v>1025</v>
          </cell>
          <cell r="Z23">
            <v>1065</v>
          </cell>
          <cell r="AA23">
            <v>1165</v>
          </cell>
          <cell r="AB23">
            <v>1225</v>
          </cell>
          <cell r="AC23">
            <v>1320</v>
          </cell>
          <cell r="AD23">
            <v>1410</v>
          </cell>
          <cell r="AE23">
            <v>1430</v>
          </cell>
          <cell r="AF23">
            <v>0.83437499999999998</v>
          </cell>
          <cell r="AG23">
            <v>7.5781249999999994E-2</v>
          </cell>
          <cell r="AH23">
            <v>4.6093750000000003E-2</v>
          </cell>
          <cell r="AI23">
            <v>3.4375000000000003E-2</v>
          </cell>
          <cell r="AJ23">
            <v>4.6874999999999998E-3</v>
          </cell>
          <cell r="AK23">
            <v>4.6874999999999998E-3</v>
          </cell>
          <cell r="AL23">
            <v>0.16562499999999999</v>
          </cell>
          <cell r="AM23">
            <v>2345</v>
          </cell>
          <cell r="AN23">
            <v>0.4166311300639659</v>
          </cell>
          <cell r="AO23">
            <v>0.2298507462686567</v>
          </cell>
          <cell r="AP23">
            <v>0.35351812366737739</v>
          </cell>
          <cell r="AQ23">
            <v>268</v>
          </cell>
          <cell r="AR23">
            <v>267</v>
          </cell>
          <cell r="AS23">
            <v>297</v>
          </cell>
          <cell r="AT23">
            <v>321</v>
          </cell>
          <cell r="AU23">
            <v>285</v>
          </cell>
          <cell r="AV23">
            <v>30</v>
          </cell>
          <cell r="AW23">
            <v>20</v>
          </cell>
          <cell r="AX23">
            <v>31</v>
          </cell>
          <cell r="AY23">
            <v>19</v>
          </cell>
          <cell r="AZ23">
            <v>17</v>
          </cell>
          <cell r="BA23">
            <v>18</v>
          </cell>
          <cell r="BB23">
            <v>6.3157894736842107E-2</v>
          </cell>
          <cell r="BC23">
            <v>4.0320286324222479E-2</v>
          </cell>
          <cell r="BD23">
            <v>9.7615102118150499E-2</v>
          </cell>
          <cell r="BE23">
            <v>35</v>
          </cell>
          <cell r="BF23">
            <v>464</v>
          </cell>
          <cell r="BG23">
            <v>346</v>
          </cell>
          <cell r="BH23">
            <v>223</v>
          </cell>
          <cell r="BI23">
            <v>0.15733980667725542</v>
          </cell>
          <cell r="BJ23">
            <v>2358</v>
          </cell>
          <cell r="BK23">
            <v>4123</v>
          </cell>
          <cell r="BL23">
            <v>2370</v>
          </cell>
          <cell r="BM23">
            <v>1004</v>
          </cell>
          <cell r="BN23">
            <v>2</v>
          </cell>
          <cell r="BO23">
            <v>421</v>
          </cell>
          <cell r="BP23">
            <v>698</v>
          </cell>
          <cell r="BQ23">
            <v>245</v>
          </cell>
          <cell r="BR23">
            <v>300</v>
          </cell>
          <cell r="BS23">
            <v>285</v>
          </cell>
          <cell r="BT23">
            <v>235</v>
          </cell>
          <cell r="BU23">
            <v>697</v>
          </cell>
          <cell r="BV23">
            <v>280</v>
          </cell>
          <cell r="BW23">
            <v>0.40172166427546629</v>
          </cell>
          <cell r="BX23">
            <v>56</v>
          </cell>
          <cell r="BY23">
            <v>1</v>
          </cell>
          <cell r="BZ23">
            <v>653</v>
          </cell>
          <cell r="CA23">
            <v>7.3927318012000448E-2</v>
          </cell>
          <cell r="CB23">
            <v>380</v>
          </cell>
          <cell r="CC23">
            <v>445</v>
          </cell>
          <cell r="CD23">
            <v>420</v>
          </cell>
          <cell r="CE23">
            <v>390</v>
          </cell>
          <cell r="CF23">
            <v>1070</v>
          </cell>
          <cell r="CG23">
            <v>0.28491666666666665</v>
          </cell>
          <cell r="CH23">
            <v>1035</v>
          </cell>
          <cell r="CI23">
            <v>0.25833333333333336</v>
          </cell>
          <cell r="CJ23">
            <v>1095</v>
          </cell>
          <cell r="CK23">
            <v>0.28950000000000004</v>
          </cell>
          <cell r="CL23">
            <v>970</v>
          </cell>
          <cell r="CM23">
            <v>0.26874999999999999</v>
          </cell>
          <cell r="CN23">
            <v>1030</v>
          </cell>
          <cell r="CO23">
            <v>0.27366666666666667</v>
          </cell>
          <cell r="CP23">
            <v>1010</v>
          </cell>
          <cell r="CQ23">
            <v>0.25602027883396705</v>
          </cell>
          <cell r="CR23">
            <v>282</v>
          </cell>
          <cell r="CS23">
            <v>14</v>
          </cell>
          <cell r="CT23">
            <v>268</v>
          </cell>
          <cell r="CU23">
            <v>0.9510487396272832</v>
          </cell>
          <cell r="CV23">
            <v>87</v>
          </cell>
          <cell r="CW23">
            <v>115</v>
          </cell>
          <cell r="CX23">
            <v>0.31667658923114633</v>
          </cell>
          <cell r="CY23">
            <v>0.42742557459181335</v>
          </cell>
          <cell r="CZ23">
            <v>0.2713876119009872</v>
          </cell>
          <cell r="DA23">
            <v>0.38282278121029534</v>
          </cell>
          <cell r="DB23">
            <v>0.37125981974450212</v>
          </cell>
          <cell r="DC23">
            <v>0.48895289236431427</v>
          </cell>
          <cell r="DD23">
            <v>155</v>
          </cell>
          <cell r="DE23">
            <v>7</v>
          </cell>
          <cell r="DF23">
            <v>4.5161290322580643E-2</v>
          </cell>
          <cell r="DG23">
            <v>2.2045753492620307E-2</v>
          </cell>
          <cell r="DH23">
            <v>9.0276677648195372E-2</v>
          </cell>
          <cell r="DI23" t="str">
            <v>Sig better than Eng.</v>
          </cell>
          <cell r="DJ23">
            <v>201</v>
          </cell>
          <cell r="DK23">
            <v>20</v>
          </cell>
          <cell r="DL23">
            <v>9.950248756218906E-2</v>
          </cell>
          <cell r="DM23">
            <v>6.5338926232430275E-2</v>
          </cell>
          <cell r="DN23">
            <v>0.14868737036346685</v>
          </cell>
          <cell r="DO23" t="str">
            <v>No Sig diff</v>
          </cell>
          <cell r="DP23">
            <v>151</v>
          </cell>
          <cell r="DQ23">
            <v>12</v>
          </cell>
          <cell r="DR23">
            <v>7.9470198675496692E-2</v>
          </cell>
          <cell r="DS23">
            <v>4.604266587121892E-2</v>
          </cell>
          <cell r="DT23">
            <v>0.13376356324041994</v>
          </cell>
          <cell r="DU23" t="str">
            <v>No Sig diff</v>
          </cell>
          <cell r="DV23">
            <v>218</v>
          </cell>
          <cell r="DW23">
            <v>21</v>
          </cell>
          <cell r="DX23">
            <v>9.6330275229357804E-2</v>
          </cell>
          <cell r="DY23">
            <v>6.3870955682172159E-2</v>
          </cell>
          <cell r="DZ23">
            <v>0.14276967436230478</v>
          </cell>
          <cell r="EA23" t="str">
            <v>No Sig diff</v>
          </cell>
          <cell r="EB23">
            <v>168</v>
          </cell>
          <cell r="EC23">
            <v>28</v>
          </cell>
          <cell r="ED23">
            <v>0.16666666666666666</v>
          </cell>
          <cell r="EE23">
            <v>0.11790131485380641</v>
          </cell>
          <cell r="EF23">
            <v>0.23033513071277231</v>
          </cell>
          <cell r="EG23" t="str">
            <v>No Sig diff</v>
          </cell>
          <cell r="EH23">
            <v>185</v>
          </cell>
          <cell r="EI23">
            <v>34</v>
          </cell>
          <cell r="EJ23">
            <v>0.18378378378378379</v>
          </cell>
          <cell r="EK23">
            <v>0.13460281913919561</v>
          </cell>
          <cell r="EL23">
            <v>0.2458298425725948</v>
          </cell>
          <cell r="EM23" t="str">
            <v>No Sig diff</v>
          </cell>
          <cell r="EN23">
            <v>192</v>
          </cell>
          <cell r="EO23">
            <v>57</v>
          </cell>
          <cell r="EP23">
            <v>0.296875</v>
          </cell>
          <cell r="EQ23">
            <v>0.23674735383073847</v>
          </cell>
          <cell r="ER23">
            <v>0.36497129925888039</v>
          </cell>
          <cell r="ES23" t="str">
            <v>Sig worse than Eng.</v>
          </cell>
          <cell r="ET23">
            <v>188</v>
          </cell>
          <cell r="EU23">
            <v>39</v>
          </cell>
          <cell r="EV23">
            <v>0.20744680851063829</v>
          </cell>
          <cell r="EW23">
            <v>0.15562878542840139</v>
          </cell>
          <cell r="EX23">
            <v>0.27098107942457483</v>
          </cell>
          <cell r="EY23" t="str">
            <v>No Sig diff</v>
          </cell>
          <cell r="EZ23">
            <v>250</v>
          </cell>
          <cell r="FA23">
            <v>132</v>
          </cell>
          <cell r="FB23">
            <v>0.52800000000000002</v>
          </cell>
          <cell r="FC23">
            <v>0.46616258903849139</v>
          </cell>
          <cell r="FD23">
            <v>0.58898994618976364</v>
          </cell>
          <cell r="FE23">
            <v>250</v>
          </cell>
          <cell r="FF23">
            <v>34</v>
          </cell>
          <cell r="FG23">
            <v>50</v>
          </cell>
          <cell r="FH23">
            <v>22.36</v>
          </cell>
          <cell r="FI23">
            <v>0.34235294117647058</v>
          </cell>
          <cell r="FJ23">
            <v>253</v>
          </cell>
          <cell r="FK23">
            <v>137</v>
          </cell>
          <cell r="FL23">
            <v>0.54150197628458496</v>
          </cell>
          <cell r="FM23">
            <v>0.47994063804216835</v>
          </cell>
          <cell r="FN23">
            <v>0.6018218628267451</v>
          </cell>
          <cell r="FO23">
            <v>253</v>
          </cell>
          <cell r="FP23">
            <v>34</v>
          </cell>
          <cell r="FQ23">
            <v>50</v>
          </cell>
          <cell r="FR23">
            <v>24.740000000000006</v>
          </cell>
          <cell r="FS23">
            <v>0.27235294117647041</v>
          </cell>
          <cell r="FT23">
            <v>2884</v>
          </cell>
          <cell r="FU23">
            <v>2719</v>
          </cell>
          <cell r="FV23">
            <v>165</v>
          </cell>
          <cell r="FW23">
            <v>134</v>
          </cell>
          <cell r="FX23">
            <v>31</v>
          </cell>
          <cell r="FY23">
            <v>0.81212121212121213</v>
          </cell>
          <cell r="FZ23">
            <v>0.18787878787878787</v>
          </cell>
          <cell r="GA23">
            <v>0.83216741591741583</v>
          </cell>
          <cell r="GB23">
            <v>0.16783258408258406</v>
          </cell>
          <cell r="GC23">
            <v>0.13481123375916229</v>
          </cell>
          <cell r="GD23">
            <v>0.24417148861634683</v>
          </cell>
          <cell r="GE23">
            <v>0.84033272283272276</v>
          </cell>
          <cell r="GF23">
            <v>0.15966727716727719</v>
          </cell>
          <cell r="GG23">
            <v>0.12060131558197143</v>
          </cell>
          <cell r="GH23">
            <v>0.22580925295913523</v>
          </cell>
          <cell r="GI23">
            <v>0.81671092796092803</v>
          </cell>
          <cell r="GJ23">
            <v>0.18328907203907199</v>
          </cell>
          <cell r="GK23">
            <v>0.14772594103731715</v>
          </cell>
          <cell r="GL23">
            <v>0.2599586367030608</v>
          </cell>
          <cell r="GM23">
            <v>0.6699114774114775</v>
          </cell>
          <cell r="GN23">
            <v>0.33008852258852261</v>
          </cell>
          <cell r="GO23">
            <v>0.27049843060050693</v>
          </cell>
          <cell r="GP23">
            <v>0.40270685367004644</v>
          </cell>
          <cell r="GQ23">
            <v>93</v>
          </cell>
          <cell r="GR23">
            <v>90</v>
          </cell>
          <cell r="GS23">
            <v>90</v>
          </cell>
          <cell r="GT23">
            <v>92</v>
          </cell>
          <cell r="GU23">
            <v>90</v>
          </cell>
          <cell r="GV23">
            <v>66</v>
          </cell>
          <cell r="GW23">
            <v>56</v>
          </cell>
          <cell r="GX23">
            <v>60</v>
          </cell>
          <cell r="GY23">
            <v>58</v>
          </cell>
          <cell r="GZ23">
            <v>60</v>
          </cell>
          <cell r="HA23">
            <v>64</v>
          </cell>
          <cell r="HB23">
            <v>57</v>
          </cell>
          <cell r="HC23">
            <v>61</v>
          </cell>
          <cell r="HD23">
            <v>50</v>
          </cell>
          <cell r="HE23">
            <v>45</v>
          </cell>
          <cell r="HF23">
            <v>41</v>
          </cell>
          <cell r="HG23">
            <v>41</v>
          </cell>
          <cell r="HH23">
            <v>41</v>
          </cell>
          <cell r="HI23">
            <v>41</v>
          </cell>
          <cell r="HJ23">
            <v>41</v>
          </cell>
          <cell r="HK23">
            <v>44</v>
          </cell>
          <cell r="HL23">
            <v>40</v>
          </cell>
          <cell r="HM23">
            <v>45</v>
          </cell>
          <cell r="HN23">
            <v>17</v>
          </cell>
          <cell r="HO23">
            <v>1.328125E-2</v>
          </cell>
          <cell r="HP23">
            <v>2075</v>
          </cell>
          <cell r="HQ23">
            <v>1726</v>
          </cell>
          <cell r="HR23">
            <v>349</v>
          </cell>
          <cell r="HS23">
            <v>0.16819277108433736</v>
          </cell>
        </row>
        <row r="24">
          <cell r="A24" t="str">
            <v>Maidenbower and Pound Hill</v>
          </cell>
          <cell r="C24" t="str">
            <v>Crawley</v>
          </cell>
          <cell r="D24" t="str">
            <v>Crawley</v>
          </cell>
          <cell r="E24" t="str">
            <v>Crawley</v>
          </cell>
          <cell r="F24" t="str">
            <v>Crawley</v>
          </cell>
          <cell r="G24" t="str">
            <v>Maidenbower, Pound Hill North, Pound Hill South and Worth</v>
          </cell>
          <cell r="H24" t="str">
            <v>Crawley SE</v>
          </cell>
          <cell r="I24" t="str">
            <v>C1</v>
          </cell>
          <cell r="J24" t="str">
            <v>Crawley</v>
          </cell>
          <cell r="K24" t="str">
            <v>Crawley</v>
          </cell>
          <cell r="L24">
            <v>22545</v>
          </cell>
          <cell r="M24">
            <v>22820</v>
          </cell>
          <cell r="N24">
            <v>22870</v>
          </cell>
          <cell r="O24">
            <v>23175</v>
          </cell>
          <cell r="P24">
            <v>23725</v>
          </cell>
          <cell r="Q24">
            <v>24090</v>
          </cell>
          <cell r="R24">
            <v>24460</v>
          </cell>
          <cell r="S24">
            <v>24445</v>
          </cell>
          <cell r="T24">
            <v>24605</v>
          </cell>
          <cell r="U24">
            <v>24745</v>
          </cell>
          <cell r="V24">
            <v>1565</v>
          </cell>
          <cell r="W24">
            <v>1550</v>
          </cell>
          <cell r="X24">
            <v>1525</v>
          </cell>
          <cell r="Y24">
            <v>1580</v>
          </cell>
          <cell r="Z24">
            <v>1705</v>
          </cell>
          <cell r="AA24">
            <v>1710</v>
          </cell>
          <cell r="AB24">
            <v>1820</v>
          </cell>
          <cell r="AC24">
            <v>1840</v>
          </cell>
          <cell r="AD24">
            <v>1825</v>
          </cell>
          <cell r="AE24">
            <v>1825</v>
          </cell>
          <cell r="AF24">
            <v>0.7443897099069513</v>
          </cell>
          <cell r="AG24">
            <v>4.3787629994526546E-2</v>
          </cell>
          <cell r="AH24">
            <v>6.7870826491516142E-2</v>
          </cell>
          <cell r="AI24">
            <v>0.10509031198686371</v>
          </cell>
          <cell r="AJ24">
            <v>3.1746031746031744E-2</v>
          </cell>
          <cell r="AK24">
            <v>7.1154898741105635E-3</v>
          </cell>
          <cell r="AL24">
            <v>0.2556102900930487</v>
          </cell>
          <cell r="AM24">
            <v>3425</v>
          </cell>
          <cell r="AN24">
            <v>0.67952088810984512</v>
          </cell>
          <cell r="AO24">
            <v>0.12795793163891322</v>
          </cell>
          <cell r="AP24">
            <v>0.1925211802512416</v>
          </cell>
          <cell r="AQ24">
            <v>316</v>
          </cell>
          <cell r="AR24">
            <v>353</v>
          </cell>
          <cell r="AS24">
            <v>351</v>
          </cell>
          <cell r="AT24">
            <v>329</v>
          </cell>
          <cell r="AU24">
            <v>332</v>
          </cell>
          <cell r="AV24">
            <v>6</v>
          </cell>
          <cell r="AW24">
            <v>11</v>
          </cell>
          <cell r="AX24">
            <v>9</v>
          </cell>
          <cell r="AY24">
            <v>5</v>
          </cell>
          <cell r="AZ24">
            <v>8</v>
          </cell>
          <cell r="BA24">
            <v>23</v>
          </cell>
          <cell r="BB24">
            <v>6.9277108433734941E-2</v>
          </cell>
          <cell r="BC24">
            <v>4.6603311300102486E-2</v>
          </cell>
          <cell r="BD24">
            <v>0.10180438974941115</v>
          </cell>
          <cell r="BE24">
            <v>10</v>
          </cell>
          <cell r="BF24">
            <v>664</v>
          </cell>
          <cell r="BG24">
            <v>570</v>
          </cell>
          <cell r="BH24">
            <v>221</v>
          </cell>
          <cell r="BI24">
            <v>0.13170795051194636</v>
          </cell>
          <cell r="BJ24">
            <v>3454</v>
          </cell>
          <cell r="BK24">
            <v>5931</v>
          </cell>
          <cell r="BL24">
            <v>3289</v>
          </cell>
          <cell r="BM24">
            <v>2085</v>
          </cell>
          <cell r="BN24">
            <v>1</v>
          </cell>
          <cell r="BO24">
            <v>390</v>
          </cell>
          <cell r="BP24">
            <v>537</v>
          </cell>
          <cell r="BQ24">
            <v>276</v>
          </cell>
          <cell r="BR24">
            <v>140</v>
          </cell>
          <cell r="BS24">
            <v>130</v>
          </cell>
          <cell r="BT24">
            <v>110</v>
          </cell>
          <cell r="BU24">
            <v>602</v>
          </cell>
          <cell r="BV24">
            <v>174</v>
          </cell>
          <cell r="BW24">
            <v>0.28903654485049834</v>
          </cell>
          <cell r="BX24">
            <v>48</v>
          </cell>
          <cell r="BY24">
            <v>9</v>
          </cell>
          <cell r="BZ24">
            <v>211</v>
          </cell>
          <cell r="CA24">
            <v>2.1561414265276926E-2</v>
          </cell>
          <cell r="CB24">
            <v>220</v>
          </cell>
          <cell r="CC24">
            <v>200</v>
          </cell>
          <cell r="CD24">
            <v>185</v>
          </cell>
          <cell r="CE24">
            <v>170</v>
          </cell>
          <cell r="CF24">
            <v>445</v>
          </cell>
          <cell r="CG24">
            <v>0.08</v>
          </cell>
          <cell r="CH24">
            <v>485</v>
          </cell>
          <cell r="CI24">
            <v>8.257142857142856E-2</v>
          </cell>
          <cell r="CJ24">
            <v>450</v>
          </cell>
          <cell r="CK24">
            <v>9.1642857142857151E-2</v>
          </cell>
          <cell r="CL24">
            <v>405</v>
          </cell>
          <cell r="CM24">
            <v>9.6857142857142864E-2</v>
          </cell>
          <cell r="CN24">
            <v>365</v>
          </cell>
          <cell r="CO24">
            <v>8.7357142857142842E-2</v>
          </cell>
          <cell r="CP24">
            <v>410</v>
          </cell>
          <cell r="CQ24">
            <v>8.0313418217433888E-2</v>
          </cell>
          <cell r="CR24">
            <v>337</v>
          </cell>
          <cell r="CS24">
            <v>7</v>
          </cell>
          <cell r="CT24">
            <v>330</v>
          </cell>
          <cell r="CU24">
            <v>0.98116732804232809</v>
          </cell>
          <cell r="CV24">
            <v>122</v>
          </cell>
          <cell r="CW24">
            <v>194</v>
          </cell>
          <cell r="CX24">
            <v>0.37347750194862989</v>
          </cell>
          <cell r="CY24">
            <v>0.58998427864520797</v>
          </cell>
          <cell r="CZ24">
            <v>0.31939213882089795</v>
          </cell>
          <cell r="DA24">
            <v>0.4230006606384864</v>
          </cell>
          <cell r="DB24">
            <v>0.53405685232247369</v>
          </cell>
          <cell r="DC24">
            <v>0.63967823641422061</v>
          </cell>
          <cell r="DD24">
            <v>267</v>
          </cell>
          <cell r="DE24">
            <v>21</v>
          </cell>
          <cell r="DF24">
            <v>7.9000000000000001E-2</v>
          </cell>
          <cell r="DG24">
            <v>5.1999999999999998E-2</v>
          </cell>
          <cell r="DH24">
            <v>0.11700000000000001</v>
          </cell>
          <cell r="DI24" t="str">
            <v>No Sig diff</v>
          </cell>
          <cell r="DJ24">
            <v>276</v>
          </cell>
          <cell r="DK24">
            <v>23</v>
          </cell>
          <cell r="DL24">
            <v>8.3000000000000004E-2</v>
          </cell>
          <cell r="DM24">
            <v>5.6000000000000001E-2</v>
          </cell>
          <cell r="DN24">
            <v>0.122</v>
          </cell>
          <cell r="DO24" t="str">
            <v>No Sig diff</v>
          </cell>
          <cell r="DP24">
            <v>239</v>
          </cell>
          <cell r="DQ24">
            <v>10</v>
          </cell>
          <cell r="DR24">
            <v>4.1841004184100417E-2</v>
          </cell>
          <cell r="DS24">
            <v>2.2883426077391942E-2</v>
          </cell>
          <cell r="DT24">
            <v>7.5293627118033973E-2</v>
          </cell>
          <cell r="DU24" t="str">
            <v>Sig better than Eng.</v>
          </cell>
          <cell r="DV24">
            <v>265</v>
          </cell>
          <cell r="DW24">
            <v>23</v>
          </cell>
          <cell r="DX24">
            <v>8.6792452830188674E-2</v>
          </cell>
          <cell r="DY24">
            <v>5.8529585664442121E-2</v>
          </cell>
          <cell r="DZ24">
            <v>0.1268639136839462</v>
          </cell>
          <cell r="EA24" t="str">
            <v>No Sig diff</v>
          </cell>
          <cell r="EB24">
            <v>252</v>
          </cell>
          <cell r="EC24">
            <v>37</v>
          </cell>
          <cell r="ED24">
            <v>0.14699999999999999</v>
          </cell>
          <cell r="EE24">
            <v>0.108</v>
          </cell>
          <cell r="EF24">
            <v>0.19600000000000001</v>
          </cell>
          <cell r="EG24" t="str">
            <v>No Sig diff</v>
          </cell>
          <cell r="EH24">
            <v>282</v>
          </cell>
          <cell r="EI24">
            <v>34</v>
          </cell>
          <cell r="EJ24">
            <v>0.121</v>
          </cell>
          <cell r="EK24">
            <v>8.7999999999999995E-2</v>
          </cell>
          <cell r="EL24">
            <v>0.16400000000000001</v>
          </cell>
          <cell r="EM24" t="str">
            <v>Sig better than Eng.</v>
          </cell>
          <cell r="EN24">
            <v>263</v>
          </cell>
          <cell r="EO24">
            <v>38</v>
          </cell>
          <cell r="EP24">
            <v>0.14448669201520911</v>
          </cell>
          <cell r="EQ24">
            <v>0.10711124264128175</v>
          </cell>
          <cell r="ER24">
            <v>0.1920981050123905</v>
          </cell>
          <cell r="ES24" t="str">
            <v>No Sig diff</v>
          </cell>
          <cell r="ET24">
            <v>249</v>
          </cell>
          <cell r="EU24">
            <v>34</v>
          </cell>
          <cell r="EV24">
            <v>0.13654618473895583</v>
          </cell>
          <cell r="EW24">
            <v>9.9385816160059939E-2</v>
          </cell>
          <cell r="EX24">
            <v>0.1847505717400014</v>
          </cell>
          <cell r="EY24" t="str">
            <v>Sig better than Eng.</v>
          </cell>
          <cell r="EZ24">
            <v>324</v>
          </cell>
          <cell r="FA24">
            <v>210</v>
          </cell>
          <cell r="FB24">
            <v>0.64814814814814814</v>
          </cell>
          <cell r="FC24">
            <v>0.5946899178918934</v>
          </cell>
          <cell r="FD24">
            <v>0.69813454776699435</v>
          </cell>
          <cell r="FE24">
            <v>324</v>
          </cell>
          <cell r="FF24">
            <v>34</v>
          </cell>
          <cell r="FG24">
            <v>64</v>
          </cell>
          <cell r="FH24">
            <v>26.765625000000004</v>
          </cell>
          <cell r="FI24">
            <v>0.21277573529411753</v>
          </cell>
          <cell r="FJ24">
            <v>330</v>
          </cell>
          <cell r="FK24">
            <v>227</v>
          </cell>
          <cell r="FL24">
            <v>0.68787878787878787</v>
          </cell>
          <cell r="FM24">
            <v>0.63596542157199598</v>
          </cell>
          <cell r="FN24">
            <v>0.73546837349358407</v>
          </cell>
          <cell r="FO24">
            <v>330</v>
          </cell>
          <cell r="FP24">
            <v>34</v>
          </cell>
          <cell r="FQ24">
            <v>66</v>
          </cell>
          <cell r="FR24">
            <v>24.878787878787882</v>
          </cell>
          <cell r="FS24">
            <v>0.26827094474153285</v>
          </cell>
          <cell r="FT24">
            <v>2918</v>
          </cell>
          <cell r="FU24">
            <v>2877</v>
          </cell>
          <cell r="FV24">
            <v>41</v>
          </cell>
          <cell r="FW24">
            <v>31</v>
          </cell>
          <cell r="FX24">
            <v>10</v>
          </cell>
          <cell r="FY24">
            <v>0.75609756097560976</v>
          </cell>
          <cell r="FZ24">
            <v>0.24390243902439024</v>
          </cell>
          <cell r="GA24">
            <v>0.94883774022429479</v>
          </cell>
          <cell r="GB24">
            <v>5.1162259775705154E-2</v>
          </cell>
          <cell r="GC24">
            <v>3.5005301144816203E-2</v>
          </cell>
          <cell r="GD24">
            <v>0.10293256696562286</v>
          </cell>
          <cell r="GE24">
            <v>0.98154979940694231</v>
          </cell>
          <cell r="GF24">
            <v>1.8450200593057735E-2</v>
          </cell>
          <cell r="GG24">
            <v>1.0833366500687466E-2</v>
          </cell>
          <cell r="GH24">
            <v>5.7743180653120271E-2</v>
          </cell>
          <cell r="GI24">
            <v>0.94172540811196281</v>
          </cell>
          <cell r="GJ24">
            <v>5.8274591888037262E-2</v>
          </cell>
          <cell r="GK24">
            <v>3.8966557352548399E-2</v>
          </cell>
          <cell r="GL24">
            <v>0.10961620637767483</v>
          </cell>
          <cell r="GM24">
            <v>0.85018930649182767</v>
          </cell>
          <cell r="GN24">
            <v>0.14981069350817247</v>
          </cell>
          <cell r="GO24">
            <v>0.10020126624456825</v>
          </cell>
          <cell r="GP24">
            <v>0.19775294244526492</v>
          </cell>
          <cell r="GQ24">
            <v>97</v>
          </cell>
          <cell r="GR24">
            <v>96</v>
          </cell>
          <cell r="GS24">
            <v>96</v>
          </cell>
          <cell r="GT24">
            <v>96</v>
          </cell>
          <cell r="GU24">
            <v>96</v>
          </cell>
          <cell r="GV24">
            <v>83</v>
          </cell>
          <cell r="GW24">
            <v>80</v>
          </cell>
          <cell r="GX24">
            <v>82</v>
          </cell>
          <cell r="GY24">
            <v>80</v>
          </cell>
          <cell r="GZ24">
            <v>82</v>
          </cell>
          <cell r="HA24">
            <v>82</v>
          </cell>
          <cell r="HB24">
            <v>77</v>
          </cell>
          <cell r="HC24">
            <v>82</v>
          </cell>
          <cell r="HD24">
            <v>96</v>
          </cell>
          <cell r="HE24">
            <v>91</v>
          </cell>
          <cell r="HF24">
            <v>90</v>
          </cell>
          <cell r="HG24">
            <v>88</v>
          </cell>
          <cell r="HH24">
            <v>90</v>
          </cell>
          <cell r="HI24">
            <v>93</v>
          </cell>
          <cell r="HJ24">
            <v>83</v>
          </cell>
          <cell r="HK24">
            <v>88</v>
          </cell>
          <cell r="HL24">
            <v>84</v>
          </cell>
          <cell r="HM24">
            <v>92</v>
          </cell>
          <cell r="HN24">
            <v>25</v>
          </cell>
          <cell r="HO24">
            <v>1.3683634373289545E-2</v>
          </cell>
          <cell r="HP24">
            <v>2936</v>
          </cell>
          <cell r="HQ24">
            <v>2702</v>
          </cell>
          <cell r="HR24">
            <v>234</v>
          </cell>
          <cell r="HS24">
            <v>7.970027247956403E-2</v>
          </cell>
        </row>
        <row r="25">
          <cell r="A25" t="str">
            <v>Maybridge</v>
          </cell>
          <cell r="C25" t="str">
            <v>Worthing</v>
          </cell>
          <cell r="D25" t="str">
            <v>Worthing</v>
          </cell>
          <cell r="E25" t="str">
            <v>Worthing</v>
          </cell>
          <cell r="F25" t="str">
            <v>CCC</v>
          </cell>
          <cell r="G25" t="str">
            <v>Ferring, Castle, Goring</v>
          </cell>
          <cell r="H25" t="str">
            <v>Durrington</v>
          </cell>
          <cell r="I25" t="str">
            <v>B</v>
          </cell>
          <cell r="J25" t="str">
            <v>Coastal West Sussex</v>
          </cell>
          <cell r="K25" t="str">
            <v>Worthing West</v>
          </cell>
          <cell r="L25">
            <v>20310</v>
          </cell>
          <cell r="M25">
            <v>20305</v>
          </cell>
          <cell r="N25">
            <v>20430</v>
          </cell>
          <cell r="O25">
            <v>20645</v>
          </cell>
          <cell r="P25">
            <v>20655</v>
          </cell>
          <cell r="Q25">
            <v>20545</v>
          </cell>
          <cell r="R25">
            <v>20560</v>
          </cell>
          <cell r="S25">
            <v>20555</v>
          </cell>
          <cell r="T25">
            <v>20615</v>
          </cell>
          <cell r="U25">
            <v>20695</v>
          </cell>
          <cell r="V25">
            <v>925</v>
          </cell>
          <cell r="W25">
            <v>915</v>
          </cell>
          <cell r="X25">
            <v>910</v>
          </cell>
          <cell r="Y25">
            <v>865</v>
          </cell>
          <cell r="Z25">
            <v>915</v>
          </cell>
          <cell r="AA25">
            <v>930</v>
          </cell>
          <cell r="AB25">
            <v>910</v>
          </cell>
          <cell r="AC25">
            <v>900</v>
          </cell>
          <cell r="AD25">
            <v>900</v>
          </cell>
          <cell r="AE25">
            <v>900</v>
          </cell>
          <cell r="AF25">
            <v>0.87982359426681367</v>
          </cell>
          <cell r="AG25">
            <v>1.9845644983461964E-2</v>
          </cell>
          <cell r="AH25">
            <v>4.8511576626240352E-2</v>
          </cell>
          <cell r="AI25">
            <v>4.6306504961411248E-2</v>
          </cell>
          <cell r="AJ25">
            <v>4.410143329658214E-3</v>
          </cell>
          <cell r="AK25">
            <v>1.1025358324145535E-3</v>
          </cell>
          <cell r="AL25">
            <v>0.12017640573318633</v>
          </cell>
          <cell r="AM25">
            <v>1815</v>
          </cell>
          <cell r="AN25">
            <v>0.6644628099173554</v>
          </cell>
          <cell r="AO25">
            <v>0.13829201101928373</v>
          </cell>
          <cell r="AP25">
            <v>0.19724517906336089</v>
          </cell>
          <cell r="AQ25">
            <v>172</v>
          </cell>
          <cell r="AR25">
            <v>165</v>
          </cell>
          <cell r="AS25">
            <v>168</v>
          </cell>
          <cell r="AT25">
            <v>172</v>
          </cell>
          <cell r="AU25">
            <v>164</v>
          </cell>
          <cell r="AV25">
            <v>12</v>
          </cell>
          <cell r="AW25">
            <v>12</v>
          </cell>
          <cell r="AX25">
            <v>7</v>
          </cell>
          <cell r="AY25">
            <v>9</v>
          </cell>
          <cell r="AZ25">
            <v>6</v>
          </cell>
          <cell r="BA25">
            <v>1</v>
          </cell>
          <cell r="BB25">
            <v>6.0975609756097563E-3</v>
          </cell>
          <cell r="BC25">
            <v>1.0771813904626609E-3</v>
          </cell>
          <cell r="BD25">
            <v>3.3726250739703603E-2</v>
          </cell>
          <cell r="BE25">
            <v>17</v>
          </cell>
          <cell r="BF25">
            <v>272</v>
          </cell>
          <cell r="BG25">
            <v>292</v>
          </cell>
          <cell r="BH25">
            <v>145</v>
          </cell>
          <cell r="BI25">
            <v>0.14277798694365315</v>
          </cell>
          <cell r="BJ25">
            <v>2003</v>
          </cell>
          <cell r="BK25">
            <v>3568</v>
          </cell>
          <cell r="BL25">
            <v>2418</v>
          </cell>
          <cell r="BM25">
            <v>1461</v>
          </cell>
          <cell r="BN25">
            <v>1</v>
          </cell>
          <cell r="BO25">
            <v>289</v>
          </cell>
          <cell r="BP25">
            <v>506</v>
          </cell>
          <cell r="BQ25">
            <v>161</v>
          </cell>
          <cell r="BR25">
            <v>120</v>
          </cell>
          <cell r="BS25">
            <v>125</v>
          </cell>
          <cell r="BT25">
            <v>110</v>
          </cell>
          <cell r="BU25">
            <v>417</v>
          </cell>
          <cell r="BV25">
            <v>138</v>
          </cell>
          <cell r="BW25">
            <v>0.33093525179856115</v>
          </cell>
          <cell r="BX25">
            <v>42</v>
          </cell>
          <cell r="BY25">
            <v>5</v>
          </cell>
          <cell r="BZ25">
            <v>340</v>
          </cell>
          <cell r="CA25">
            <v>3.6135614836858329E-2</v>
          </cell>
          <cell r="CB25">
            <v>165</v>
          </cell>
          <cell r="CC25">
            <v>155</v>
          </cell>
          <cell r="CD25">
            <v>155</v>
          </cell>
          <cell r="CE25">
            <v>140</v>
          </cell>
          <cell r="CF25">
            <v>455</v>
          </cell>
          <cell r="CG25">
            <v>0.12730769230769229</v>
          </cell>
          <cell r="CH25">
            <v>505</v>
          </cell>
          <cell r="CI25">
            <v>0.1353076923076923</v>
          </cell>
          <cell r="CJ25">
            <v>490</v>
          </cell>
          <cell r="CK25">
            <v>0.13253846153846155</v>
          </cell>
          <cell r="CL25">
            <v>505</v>
          </cell>
          <cell r="CM25">
            <v>0.13207692307692306</v>
          </cell>
          <cell r="CN25">
            <v>475</v>
          </cell>
          <cell r="CO25">
            <v>0.11769230769230769</v>
          </cell>
          <cell r="CP25">
            <v>440</v>
          </cell>
          <cell r="CQ25">
            <v>0.14170692431561996</v>
          </cell>
          <cell r="CR25">
            <v>178</v>
          </cell>
          <cell r="CS25">
            <v>11</v>
          </cell>
          <cell r="CT25">
            <v>167</v>
          </cell>
          <cell r="CU25">
            <v>0.94481551272722752</v>
          </cell>
          <cell r="CV25">
            <v>65</v>
          </cell>
          <cell r="CW25">
            <v>80</v>
          </cell>
          <cell r="CX25">
            <v>0.39992320616052868</v>
          </cell>
          <cell r="CY25">
            <v>0.50120928204092507</v>
          </cell>
          <cell r="CZ25">
            <v>0.3185563025613693</v>
          </cell>
          <cell r="DA25">
            <v>0.46486881169651639</v>
          </cell>
          <cell r="DB25">
            <v>0.40460039183736535</v>
          </cell>
          <cell r="DC25">
            <v>0.5544259811303428</v>
          </cell>
          <cell r="DD25">
            <v>120</v>
          </cell>
          <cell r="DE25">
            <v>6</v>
          </cell>
          <cell r="DF25">
            <v>0.05</v>
          </cell>
          <cell r="DG25">
            <v>2.3114364414465797E-2</v>
          </cell>
          <cell r="DH25">
            <v>0.10480288536236734</v>
          </cell>
          <cell r="DI25" t="str">
            <v>No Sig diff</v>
          </cell>
          <cell r="DJ25">
            <v>159</v>
          </cell>
          <cell r="DK25">
            <v>8</v>
          </cell>
          <cell r="DL25">
            <v>5.0314465408805034E-2</v>
          </cell>
          <cell r="DM25">
            <v>2.5712676114661916E-2</v>
          </cell>
          <cell r="DN25">
            <v>9.6132577326242794E-2</v>
          </cell>
          <cell r="DO25" t="str">
            <v>No Sig diff</v>
          </cell>
          <cell r="DP25">
            <v>154</v>
          </cell>
          <cell r="DQ25">
            <v>12</v>
          </cell>
          <cell r="DR25">
            <v>7.792207792207792E-2</v>
          </cell>
          <cell r="DS25">
            <v>4.513428609205352E-2</v>
          </cell>
          <cell r="DT25">
            <v>0.13125447151770517</v>
          </cell>
          <cell r="DU25" t="str">
            <v>No Sig diff</v>
          </cell>
          <cell r="DV25">
            <v>200</v>
          </cell>
          <cell r="DW25">
            <v>13</v>
          </cell>
          <cell r="DX25">
            <v>6.5000000000000002E-2</v>
          </cell>
          <cell r="DY25">
            <v>3.8376354649152976E-2</v>
          </cell>
          <cell r="DZ25">
            <v>0.10801907929906893</v>
          </cell>
          <cell r="EA25" t="str">
            <v>No Sig diff</v>
          </cell>
          <cell r="EB25">
            <v>163</v>
          </cell>
          <cell r="EC25">
            <v>19</v>
          </cell>
          <cell r="ED25">
            <v>0.1165644171779141</v>
          </cell>
          <cell r="EE25">
            <v>7.5906003798999769E-2</v>
          </cell>
          <cell r="EF25">
            <v>0.17487973684632438</v>
          </cell>
          <cell r="EG25" t="str">
            <v>Sig better than Eng.</v>
          </cell>
          <cell r="EH25">
            <v>160</v>
          </cell>
          <cell r="EI25">
            <v>24</v>
          </cell>
          <cell r="EJ25">
            <v>0.15</v>
          </cell>
          <cell r="EK25">
            <v>0.10291845645016234</v>
          </cell>
          <cell r="EL25">
            <v>0.21349388016989129</v>
          </cell>
          <cell r="EM25" t="str">
            <v>No Sig diff</v>
          </cell>
          <cell r="EN25">
            <v>175</v>
          </cell>
          <cell r="EO25">
            <v>21</v>
          </cell>
          <cell r="EP25">
            <v>0.12</v>
          </cell>
          <cell r="EQ25">
            <v>7.984170687522997E-2</v>
          </cell>
          <cell r="ER25">
            <v>0.17648285636071756</v>
          </cell>
          <cell r="ES25" t="str">
            <v>Sig better than Eng.</v>
          </cell>
          <cell r="ET25">
            <v>183</v>
          </cell>
          <cell r="EU25">
            <v>38</v>
          </cell>
          <cell r="EV25">
            <v>0.20765027322404372</v>
          </cell>
          <cell r="EW25">
            <v>0.15518964041562014</v>
          </cell>
          <cell r="EX25">
            <v>0.27213232187603303</v>
          </cell>
          <cell r="EY25" t="str">
            <v>No Sig diff</v>
          </cell>
          <cell r="EZ25">
            <v>214</v>
          </cell>
          <cell r="FA25">
            <v>116</v>
          </cell>
          <cell r="FB25">
            <v>0.54205607476635509</v>
          </cell>
          <cell r="FC25">
            <v>0.47514868075029232</v>
          </cell>
          <cell r="FD25">
            <v>0.60748021871377078</v>
          </cell>
          <cell r="FE25">
            <v>214</v>
          </cell>
          <cell r="FF25">
            <v>34</v>
          </cell>
          <cell r="FG25">
            <v>42</v>
          </cell>
          <cell r="FH25">
            <v>24.166666666666668</v>
          </cell>
          <cell r="FI25">
            <v>0.28921568627450978</v>
          </cell>
          <cell r="FJ25">
            <v>197</v>
          </cell>
          <cell r="FK25">
            <v>114</v>
          </cell>
          <cell r="FL25">
            <v>0.57868020304568524</v>
          </cell>
          <cell r="FM25">
            <v>0.50887036539732466</v>
          </cell>
          <cell r="FN25">
            <v>0.64548023622659589</v>
          </cell>
          <cell r="FO25">
            <v>197</v>
          </cell>
          <cell r="FP25">
            <v>34</v>
          </cell>
          <cell r="FQ25">
            <v>39</v>
          </cell>
          <cell r="FR25">
            <v>22.820512820512818</v>
          </cell>
          <cell r="FS25">
            <v>0.32880844645550539</v>
          </cell>
          <cell r="FT25">
            <v>2557</v>
          </cell>
          <cell r="FU25">
            <v>2503</v>
          </cell>
          <cell r="FV25">
            <v>54</v>
          </cell>
          <cell r="FW25">
            <v>46</v>
          </cell>
          <cell r="FX25">
            <v>8</v>
          </cell>
          <cell r="FY25">
            <v>0.85185185185185186</v>
          </cell>
          <cell r="FZ25">
            <v>0.14814814814814814</v>
          </cell>
          <cell r="GA25">
            <v>0.84306526806526816</v>
          </cell>
          <cell r="GB25">
            <v>0.15693473193473192</v>
          </cell>
          <cell r="GC25">
            <v>0.1071850142576424</v>
          </cell>
          <cell r="GD25">
            <v>0.29145419217519991</v>
          </cell>
          <cell r="GE25">
            <v>0.86614219114219115</v>
          </cell>
          <cell r="GF25">
            <v>0.13385780885780885</v>
          </cell>
          <cell r="GG25">
            <v>7.3432373433468923E-2</v>
          </cell>
          <cell r="GH25">
            <v>0.23929814820406517</v>
          </cell>
          <cell r="GI25">
            <v>0.84114219114219102</v>
          </cell>
          <cell r="GJ25">
            <v>0.15885780885780887</v>
          </cell>
          <cell r="GK25">
            <v>0.10888765378062988</v>
          </cell>
          <cell r="GL25">
            <v>0.2955422258270492</v>
          </cell>
          <cell r="GM25">
            <v>0.80011655011655014</v>
          </cell>
          <cell r="GN25">
            <v>0.19988344988344989</v>
          </cell>
          <cell r="GO25">
            <v>0.14513708450988849</v>
          </cell>
          <cell r="GP25">
            <v>0.34644939808203273</v>
          </cell>
          <cell r="GQ25">
            <v>46</v>
          </cell>
          <cell r="GR25">
            <v>43</v>
          </cell>
          <cell r="GS25">
            <v>43</v>
          </cell>
          <cell r="GT25">
            <v>45</v>
          </cell>
          <cell r="GU25">
            <v>44</v>
          </cell>
          <cell r="GV25">
            <v>52</v>
          </cell>
          <cell r="GW25">
            <v>51</v>
          </cell>
          <cell r="GX25">
            <v>50</v>
          </cell>
          <cell r="GY25">
            <v>51</v>
          </cell>
          <cell r="GZ25">
            <v>50</v>
          </cell>
          <cell r="HA25">
            <v>52</v>
          </cell>
          <cell r="HB25">
            <v>51</v>
          </cell>
          <cell r="HC25">
            <v>51</v>
          </cell>
          <cell r="HD25">
            <v>53</v>
          </cell>
          <cell r="HE25">
            <v>50</v>
          </cell>
          <cell r="HF25">
            <v>48</v>
          </cell>
          <cell r="HG25">
            <v>44</v>
          </cell>
          <cell r="HH25">
            <v>48</v>
          </cell>
          <cell r="HI25">
            <v>49</v>
          </cell>
          <cell r="HJ25">
            <v>48</v>
          </cell>
          <cell r="HK25">
            <v>50</v>
          </cell>
          <cell r="HL25">
            <v>48</v>
          </cell>
          <cell r="HM25">
            <v>50</v>
          </cell>
          <cell r="HN25">
            <v>25</v>
          </cell>
          <cell r="HO25">
            <v>2.7563395810363836E-2</v>
          </cell>
          <cell r="HP25">
            <v>1438</v>
          </cell>
          <cell r="HQ25">
            <v>1280</v>
          </cell>
          <cell r="HR25">
            <v>158</v>
          </cell>
          <cell r="HS25">
            <v>0.10987482614742698</v>
          </cell>
        </row>
        <row r="26">
          <cell r="A26" t="str">
            <v>Mid Sussex Rural (North)</v>
          </cell>
          <cell r="C26" t="str">
            <v>Mid Sussex</v>
          </cell>
          <cell r="D26" t="str">
            <v>Mid Sussex</v>
          </cell>
          <cell r="E26" t="str">
            <v>Mid Sussex</v>
          </cell>
          <cell r="F26" t="str">
            <v>Mid Sussex</v>
          </cell>
          <cell r="G26" t="str">
            <v>Ardingly and Balcombe, Bolney, Crawley Down and Turners Hill, East Grinstead Herontye</v>
          </cell>
          <cell r="H26" t="str">
            <v>Haywards Heath/Cuckfield</v>
          </cell>
          <cell r="I26" t="str">
            <v>C2</v>
          </cell>
          <cell r="J26" t="str">
            <v>Horsham and Mid Sussex</v>
          </cell>
          <cell r="K26" t="str">
            <v>Mid Sussex</v>
          </cell>
          <cell r="L26">
            <v>23535</v>
          </cell>
          <cell r="M26">
            <v>23530</v>
          </cell>
          <cell r="N26">
            <v>23810</v>
          </cell>
          <cell r="O26">
            <v>24125</v>
          </cell>
          <cell r="P26">
            <v>24555</v>
          </cell>
          <cell r="Q26">
            <v>24770</v>
          </cell>
          <cell r="R26">
            <v>25010</v>
          </cell>
          <cell r="S26">
            <v>25180</v>
          </cell>
          <cell r="T26">
            <v>25165</v>
          </cell>
          <cell r="U26">
            <v>25335</v>
          </cell>
          <cell r="V26">
            <v>1215</v>
          </cell>
          <cell r="W26">
            <v>1180</v>
          </cell>
          <cell r="X26">
            <v>1200</v>
          </cell>
          <cell r="Y26">
            <v>1260</v>
          </cell>
          <cell r="Z26">
            <v>1290</v>
          </cell>
          <cell r="AA26">
            <v>1300</v>
          </cell>
          <cell r="AB26">
            <v>1280</v>
          </cell>
          <cell r="AC26">
            <v>1265</v>
          </cell>
          <cell r="AD26">
            <v>1230</v>
          </cell>
          <cell r="AE26">
            <v>1220</v>
          </cell>
          <cell r="AF26">
            <v>0.90383111806098515</v>
          </cell>
          <cell r="AG26">
            <v>5.0039093041438623E-2</v>
          </cell>
          <cell r="AH26">
            <v>3.4401876465989051E-2</v>
          </cell>
          <cell r="AI26">
            <v>9.3823299452697427E-3</v>
          </cell>
          <cell r="AJ26">
            <v>2.3455824863174357E-3</v>
          </cell>
          <cell r="AK26">
            <v>0</v>
          </cell>
          <cell r="AL26">
            <v>9.616888193901485E-2</v>
          </cell>
          <cell r="AM26">
            <v>2740</v>
          </cell>
          <cell r="AN26">
            <v>0.72023374726077427</v>
          </cell>
          <cell r="AO26">
            <v>8.8020452885317749E-2</v>
          </cell>
          <cell r="AP26">
            <v>0.19174579985390797</v>
          </cell>
          <cell r="AQ26">
            <v>215</v>
          </cell>
          <cell r="AR26">
            <v>227</v>
          </cell>
          <cell r="AS26">
            <v>201</v>
          </cell>
          <cell r="AT26">
            <v>208</v>
          </cell>
          <cell r="AU26">
            <v>187</v>
          </cell>
          <cell r="AV26">
            <v>6</v>
          </cell>
          <cell r="AW26">
            <v>3</v>
          </cell>
          <cell r="AX26">
            <v>7</v>
          </cell>
          <cell r="AY26">
            <v>5</v>
          </cell>
          <cell r="AZ26">
            <v>3</v>
          </cell>
          <cell r="BA26">
            <v>12</v>
          </cell>
          <cell r="BB26">
            <v>6.4171122994652413E-2</v>
          </cell>
          <cell r="BC26">
            <v>3.7086220493424561E-2</v>
          </cell>
          <cell r="BD26">
            <v>0.10880167510714658</v>
          </cell>
          <cell r="BE26">
            <v>8</v>
          </cell>
          <cell r="BF26">
            <v>356</v>
          </cell>
          <cell r="BG26">
            <v>433</v>
          </cell>
          <cell r="BH26">
            <v>209</v>
          </cell>
          <cell r="BI26">
            <v>0.16072889011779584</v>
          </cell>
          <cell r="BJ26">
            <v>2911</v>
          </cell>
          <cell r="BK26">
            <v>5302</v>
          </cell>
          <cell r="BL26">
            <v>2948</v>
          </cell>
          <cell r="BM26">
            <v>1976</v>
          </cell>
          <cell r="BN26">
            <v>2</v>
          </cell>
          <cell r="BO26">
            <v>342</v>
          </cell>
          <cell r="BP26">
            <v>453</v>
          </cell>
          <cell r="BQ26">
            <v>175</v>
          </cell>
          <cell r="BR26">
            <v>80</v>
          </cell>
          <cell r="BS26">
            <v>60</v>
          </cell>
          <cell r="BT26">
            <v>60</v>
          </cell>
          <cell r="BU26">
            <v>379</v>
          </cell>
          <cell r="BV26">
            <v>91</v>
          </cell>
          <cell r="BW26">
            <v>0.24010554089709762</v>
          </cell>
          <cell r="BX26">
            <v>49</v>
          </cell>
          <cell r="BY26">
            <v>10</v>
          </cell>
          <cell r="BZ26">
            <v>165</v>
          </cell>
          <cell r="CA26">
            <v>1.7013817281913798E-2</v>
          </cell>
          <cell r="CB26">
            <v>70</v>
          </cell>
          <cell r="CC26">
            <v>105</v>
          </cell>
          <cell r="CD26">
            <v>100</v>
          </cell>
          <cell r="CE26">
            <v>95</v>
          </cell>
          <cell r="CF26">
            <v>250</v>
          </cell>
          <cell r="CG26">
            <v>5.2600000000000001E-2</v>
          </cell>
          <cell r="CH26">
            <v>270</v>
          </cell>
          <cell r="CI26">
            <v>5.1533333333333348E-2</v>
          </cell>
          <cell r="CJ26">
            <v>270</v>
          </cell>
          <cell r="CK26">
            <v>6.1333333333333344E-2</v>
          </cell>
          <cell r="CL26">
            <v>215</v>
          </cell>
          <cell r="CM26">
            <v>6.2000000000000013E-2</v>
          </cell>
          <cell r="CN26">
            <v>220</v>
          </cell>
          <cell r="CO26">
            <v>6.0333333333333343E-2</v>
          </cell>
          <cell r="CP26">
            <v>245</v>
          </cell>
          <cell r="CQ26">
            <v>5.9178743961352656E-2</v>
          </cell>
          <cell r="CR26">
            <v>187</v>
          </cell>
          <cell r="CS26">
            <v>5</v>
          </cell>
          <cell r="CT26">
            <v>182</v>
          </cell>
          <cell r="CU26">
            <v>0.97033475783475776</v>
          </cell>
          <cell r="CV26">
            <v>95</v>
          </cell>
          <cell r="CW26">
            <v>118</v>
          </cell>
          <cell r="CX26">
            <v>0.55904556457188048</v>
          </cell>
          <cell r="CY26">
            <v>0.68774524695577322</v>
          </cell>
          <cell r="CZ26">
            <v>0.44970404802433445</v>
          </cell>
          <cell r="DA26">
            <v>0.59334336439570501</v>
          </cell>
          <cell r="DB26">
            <v>0.57656597835294798</v>
          </cell>
          <cell r="DC26">
            <v>0.71400405548231827</v>
          </cell>
          <cell r="DD26">
            <v>181</v>
          </cell>
          <cell r="DE26">
            <v>12</v>
          </cell>
          <cell r="DF26">
            <v>6.6000000000000003E-2</v>
          </cell>
          <cell r="DG26">
            <v>3.7999999999999999E-2</v>
          </cell>
          <cell r="DH26">
            <v>0.112</v>
          </cell>
          <cell r="DI26" t="str">
            <v>No Sig diff</v>
          </cell>
          <cell r="DJ26">
            <v>207</v>
          </cell>
          <cell r="DK26">
            <v>18</v>
          </cell>
          <cell r="DL26">
            <v>8.6999999999999994E-2</v>
          </cell>
          <cell r="DM26">
            <v>5.6000000000000001E-2</v>
          </cell>
          <cell r="DN26">
            <v>0.13300000000000001</v>
          </cell>
          <cell r="DO26" t="str">
            <v>No Sig diff</v>
          </cell>
          <cell r="DP26">
            <v>189</v>
          </cell>
          <cell r="DQ26">
            <v>9</v>
          </cell>
          <cell r="DR26">
            <v>4.7619047619047616E-2</v>
          </cell>
          <cell r="DS26">
            <v>2.5251906693033909E-2</v>
          </cell>
          <cell r="DT26">
            <v>8.8009312934030443E-2</v>
          </cell>
          <cell r="DU26" t="str">
            <v>Sig better than Eng.</v>
          </cell>
          <cell r="DV26">
            <v>190</v>
          </cell>
          <cell r="DW26">
            <v>15</v>
          </cell>
          <cell r="DX26">
            <v>7.8947368421052627E-2</v>
          </cell>
          <cell r="DY26">
            <v>4.8424492181179869E-2</v>
          </cell>
          <cell r="DZ26">
            <v>0.12615869052174186</v>
          </cell>
          <cell r="EA26" t="str">
            <v>No Sig diff</v>
          </cell>
          <cell r="EB26">
            <v>175</v>
          </cell>
          <cell r="EC26">
            <v>23</v>
          </cell>
          <cell r="ED26">
            <v>0.13100000000000001</v>
          </cell>
          <cell r="EE26">
            <v>8.8999999999999996E-2</v>
          </cell>
          <cell r="EF26">
            <v>0.189</v>
          </cell>
          <cell r="EG26" t="str">
            <v>No Sig diff</v>
          </cell>
          <cell r="EH26">
            <v>189</v>
          </cell>
          <cell r="EI26">
            <v>21</v>
          </cell>
          <cell r="EJ26">
            <v>0.111</v>
          </cell>
          <cell r="EK26">
            <v>7.3999999999999996E-2</v>
          </cell>
          <cell r="EL26">
            <v>0.16400000000000001</v>
          </cell>
          <cell r="EM26" t="str">
            <v>Sig better than Eng.</v>
          </cell>
          <cell r="EN26">
            <v>183</v>
          </cell>
          <cell r="EO26">
            <v>28</v>
          </cell>
          <cell r="EP26">
            <v>0.15300546448087432</v>
          </cell>
          <cell r="EQ26">
            <v>0.10803050767038307</v>
          </cell>
          <cell r="ER26">
            <v>0.21224883075055107</v>
          </cell>
          <cell r="ES26" t="str">
            <v>No Sig diff</v>
          </cell>
          <cell r="ET26">
            <v>174</v>
          </cell>
          <cell r="EU26">
            <v>14</v>
          </cell>
          <cell r="EV26">
            <v>8.0459770114942528E-2</v>
          </cell>
          <cell r="EW26">
            <v>4.8531099813854901E-2</v>
          </cell>
          <cell r="EX26">
            <v>0.13051297141589011</v>
          </cell>
          <cell r="EY26" t="str">
            <v>Sig better than Eng.</v>
          </cell>
          <cell r="EZ26">
            <v>238</v>
          </cell>
          <cell r="FA26">
            <v>133</v>
          </cell>
          <cell r="FB26">
            <v>0.55882352941176472</v>
          </cell>
          <cell r="FC26">
            <v>0.49530353405154642</v>
          </cell>
          <cell r="FD26">
            <v>0.62047479500972391</v>
          </cell>
          <cell r="FE26">
            <v>238</v>
          </cell>
          <cell r="FF26">
            <v>34</v>
          </cell>
          <cell r="FG26">
            <v>47</v>
          </cell>
          <cell r="FH26">
            <v>25.106382978723406</v>
          </cell>
          <cell r="FI26">
            <v>0.26157697121401746</v>
          </cell>
          <cell r="FJ26">
            <v>203</v>
          </cell>
          <cell r="FK26">
            <v>114</v>
          </cell>
          <cell r="FL26">
            <v>0.56157635467980294</v>
          </cell>
          <cell r="FM26">
            <v>0.49280222994584766</v>
          </cell>
          <cell r="FN26">
            <v>0.62806328774358189</v>
          </cell>
          <cell r="FO26">
            <v>203</v>
          </cell>
          <cell r="FP26">
            <v>34</v>
          </cell>
          <cell r="FQ26">
            <v>40</v>
          </cell>
          <cell r="FR26">
            <v>23.924999999999997</v>
          </cell>
          <cell r="FS26">
            <v>0.29632352941176476</v>
          </cell>
          <cell r="FT26">
            <v>4108</v>
          </cell>
          <cell r="FU26">
            <v>4023</v>
          </cell>
          <cell r="FV26">
            <v>85</v>
          </cell>
          <cell r="FW26">
            <v>80</v>
          </cell>
          <cell r="FX26">
            <v>5</v>
          </cell>
          <cell r="FY26">
            <v>0.94117647058823528</v>
          </cell>
          <cell r="FZ26">
            <v>5.8823529411764705E-2</v>
          </cell>
          <cell r="GA26">
            <v>0.89808802308802316</v>
          </cell>
          <cell r="GB26">
            <v>0.10191197691197691</v>
          </cell>
          <cell r="GC26">
            <v>5.4673224147554787E-2</v>
          </cell>
          <cell r="GD26">
            <v>0.15135598293107455</v>
          </cell>
          <cell r="GE26">
            <v>0.93512506012506003</v>
          </cell>
          <cell r="GF26">
            <v>6.4874939874939877E-2</v>
          </cell>
          <cell r="GG26">
            <v>3.3940885823589673E-2</v>
          </cell>
          <cell r="GH26">
            <v>0.11685557044311824</v>
          </cell>
          <cell r="GI26">
            <v>0.92475468975468966</v>
          </cell>
          <cell r="GJ26">
            <v>7.5245310245310254E-2</v>
          </cell>
          <cell r="GK26">
            <v>4.411767148383796E-2</v>
          </cell>
          <cell r="GL26">
            <v>0.13429516018883067</v>
          </cell>
          <cell r="GM26">
            <v>0.84827894327894338</v>
          </cell>
          <cell r="GN26">
            <v>0.15172105672105671</v>
          </cell>
          <cell r="GO26">
            <v>0.12307779859865452</v>
          </cell>
          <cell r="GP26">
            <v>0.24864966091573915</v>
          </cell>
          <cell r="GQ26">
            <v>41</v>
          </cell>
          <cell r="GR26">
            <v>37</v>
          </cell>
          <cell r="GS26">
            <v>37</v>
          </cell>
          <cell r="GT26">
            <v>37</v>
          </cell>
          <cell r="GU26">
            <v>37</v>
          </cell>
          <cell r="GV26">
            <v>58</v>
          </cell>
          <cell r="GW26">
            <v>54</v>
          </cell>
          <cell r="GX26">
            <v>56</v>
          </cell>
          <cell r="GY26">
            <v>55</v>
          </cell>
          <cell r="GZ26">
            <v>56</v>
          </cell>
          <cell r="HA26">
            <v>56</v>
          </cell>
          <cell r="HB26">
            <v>55</v>
          </cell>
          <cell r="HC26">
            <v>56</v>
          </cell>
          <cell r="HD26">
            <v>61</v>
          </cell>
          <cell r="HE26">
            <v>57</v>
          </cell>
          <cell r="HF26">
            <v>57</v>
          </cell>
          <cell r="HG26">
            <v>56</v>
          </cell>
          <cell r="HH26">
            <v>58</v>
          </cell>
          <cell r="HI26">
            <v>58</v>
          </cell>
          <cell r="HJ26">
            <v>54</v>
          </cell>
          <cell r="HK26">
            <v>57</v>
          </cell>
          <cell r="HL26">
            <v>57</v>
          </cell>
          <cell r="HM26">
            <v>58</v>
          </cell>
          <cell r="HN26">
            <v>33</v>
          </cell>
          <cell r="HO26">
            <v>2.5923016496465043E-2</v>
          </cell>
          <cell r="HP26">
            <v>2076</v>
          </cell>
          <cell r="HQ26">
            <v>1949</v>
          </cell>
          <cell r="HR26">
            <v>127</v>
          </cell>
          <cell r="HS26">
            <v>6.1175337186897882E-2</v>
          </cell>
        </row>
        <row r="27">
          <cell r="A27" t="str">
            <v>Midhurst</v>
          </cell>
          <cell r="C27" t="str">
            <v>Chichester</v>
          </cell>
          <cell r="D27" t="str">
            <v>Chichester Rural</v>
          </cell>
          <cell r="E27" t="str">
            <v>Chichester</v>
          </cell>
          <cell r="F27" t="str">
            <v>Arch</v>
          </cell>
          <cell r="G27" t="str">
            <v>Easebourne, Fernhurst, Harting, Midhurst, Rogate, Stedham</v>
          </cell>
          <cell r="H27" t="str">
            <v>Midhurst/Petworth</v>
          </cell>
          <cell r="I27" t="str">
            <v>A</v>
          </cell>
          <cell r="J27" t="str">
            <v>Coastal West Sussex</v>
          </cell>
          <cell r="K27" t="str">
            <v>Chichester</v>
          </cell>
          <cell r="L27">
            <v>15945</v>
          </cell>
          <cell r="M27">
            <v>15990</v>
          </cell>
          <cell r="N27">
            <v>15980</v>
          </cell>
          <cell r="O27">
            <v>16045</v>
          </cell>
          <cell r="P27">
            <v>16120</v>
          </cell>
          <cell r="Q27">
            <v>16080</v>
          </cell>
          <cell r="R27">
            <v>16020</v>
          </cell>
          <cell r="S27">
            <v>16095</v>
          </cell>
          <cell r="T27">
            <v>16150</v>
          </cell>
          <cell r="U27">
            <v>16255</v>
          </cell>
          <cell r="V27">
            <v>755</v>
          </cell>
          <cell r="W27">
            <v>770</v>
          </cell>
          <cell r="X27">
            <v>810</v>
          </cell>
          <cell r="Y27">
            <v>830</v>
          </cell>
          <cell r="Z27">
            <v>830</v>
          </cell>
          <cell r="AA27">
            <v>815</v>
          </cell>
          <cell r="AB27">
            <v>815</v>
          </cell>
          <cell r="AC27">
            <v>790</v>
          </cell>
          <cell r="AD27">
            <v>785</v>
          </cell>
          <cell r="AE27">
            <v>815</v>
          </cell>
          <cell r="AF27">
            <v>0.92874692874692877</v>
          </cell>
          <cell r="AG27">
            <v>1.7199017199017199E-2</v>
          </cell>
          <cell r="AH27">
            <v>4.1769041769041768E-2</v>
          </cell>
          <cell r="AI27">
            <v>7.3710073710073713E-3</v>
          </cell>
          <cell r="AJ27">
            <v>1.2285012285012285E-3</v>
          </cell>
          <cell r="AK27">
            <v>3.6855036855036856E-3</v>
          </cell>
          <cell r="AL27">
            <v>7.125307125307126E-2</v>
          </cell>
          <cell r="AM27">
            <v>1650</v>
          </cell>
          <cell r="AN27">
            <v>0.60097028502122496</v>
          </cell>
          <cell r="AO27">
            <v>0.1952698605215282</v>
          </cell>
          <cell r="AP27">
            <v>0.20375985445724681</v>
          </cell>
          <cell r="AQ27">
            <v>117</v>
          </cell>
          <cell r="AR27">
            <v>125</v>
          </cell>
          <cell r="AS27">
            <v>99</v>
          </cell>
          <cell r="AT27">
            <v>127</v>
          </cell>
          <cell r="AU27">
            <v>97</v>
          </cell>
          <cell r="AV27">
            <v>4</v>
          </cell>
          <cell r="AW27">
            <v>7</v>
          </cell>
          <cell r="AX27">
            <v>1</v>
          </cell>
          <cell r="AY27">
            <v>5</v>
          </cell>
          <cell r="AZ27">
            <v>3</v>
          </cell>
          <cell r="BA27">
            <v>13</v>
          </cell>
          <cell r="BB27">
            <v>0.13402061855670103</v>
          </cell>
          <cell r="BC27">
            <v>8.002456680409932E-2</v>
          </cell>
          <cell r="BD27">
            <v>0.21589993854994483</v>
          </cell>
          <cell r="BE27">
            <v>7</v>
          </cell>
          <cell r="BF27">
            <v>198</v>
          </cell>
          <cell r="BG27">
            <v>277</v>
          </cell>
          <cell r="BH27">
            <v>134</v>
          </cell>
          <cell r="BI27">
            <v>0.13288068869650085</v>
          </cell>
          <cell r="BJ27">
            <v>1708</v>
          </cell>
          <cell r="BK27">
            <v>3061</v>
          </cell>
          <cell r="BL27">
            <v>1612</v>
          </cell>
          <cell r="BM27">
            <v>1037</v>
          </cell>
          <cell r="BN27">
            <v>0</v>
          </cell>
          <cell r="BO27">
            <v>188</v>
          </cell>
          <cell r="BP27">
            <v>295</v>
          </cell>
          <cell r="BQ27">
            <v>92</v>
          </cell>
          <cell r="BR27">
            <v>70</v>
          </cell>
          <cell r="BS27">
            <v>70</v>
          </cell>
          <cell r="BT27">
            <v>55</v>
          </cell>
          <cell r="BU27">
            <v>308</v>
          </cell>
          <cell r="BV27">
            <v>98</v>
          </cell>
          <cell r="BW27">
            <v>0.31818181818181818</v>
          </cell>
          <cell r="BX27">
            <v>26</v>
          </cell>
          <cell r="BY27">
            <v>6</v>
          </cell>
          <cell r="BZ27">
            <v>207</v>
          </cell>
          <cell r="CA27">
            <v>2.8618830360846122E-2</v>
          </cell>
          <cell r="CB27">
            <v>85</v>
          </cell>
          <cell r="CC27">
            <v>95</v>
          </cell>
          <cell r="CD27">
            <v>95</v>
          </cell>
          <cell r="CE27">
            <v>80</v>
          </cell>
          <cell r="CF27">
            <v>250</v>
          </cell>
          <cell r="CG27">
            <v>8.1166666666666665E-2</v>
          </cell>
          <cell r="CH27">
            <v>240</v>
          </cell>
          <cell r="CI27">
            <v>7.4999999999999997E-2</v>
          </cell>
          <cell r="CJ27">
            <v>250</v>
          </cell>
          <cell r="CK27">
            <v>7.1749999999999994E-2</v>
          </cell>
          <cell r="CL27">
            <v>270</v>
          </cell>
          <cell r="CM27">
            <v>7.2083333333333333E-2</v>
          </cell>
          <cell r="CN27">
            <v>280</v>
          </cell>
          <cell r="CO27">
            <v>6.7708333333333329E-2</v>
          </cell>
          <cell r="CP27">
            <v>235</v>
          </cell>
          <cell r="CQ27">
            <v>8.7850467289719625E-2</v>
          </cell>
          <cell r="CR27">
            <v>138</v>
          </cell>
          <cell r="CS27">
            <v>4</v>
          </cell>
          <cell r="CT27">
            <v>134</v>
          </cell>
          <cell r="CU27">
            <v>0.73487494778613194</v>
          </cell>
          <cell r="CV27">
            <v>67</v>
          </cell>
          <cell r="CW27">
            <v>83</v>
          </cell>
          <cell r="CX27">
            <v>0.42403308238971876</v>
          </cell>
          <cell r="CY27">
            <v>0.51246345359498269</v>
          </cell>
          <cell r="CZ27">
            <v>0.41652894110160354</v>
          </cell>
          <cell r="DA27">
            <v>0.58347105889839646</v>
          </cell>
          <cell r="DB27">
            <v>0.53495096670916298</v>
          </cell>
          <cell r="DC27">
            <v>0.69719955969215563</v>
          </cell>
          <cell r="DD27">
            <v>114</v>
          </cell>
          <cell r="DE27">
            <v>10</v>
          </cell>
          <cell r="DF27">
            <v>8.771929824561403E-2</v>
          </cell>
          <cell r="DG27">
            <v>4.8345105411009885E-2</v>
          </cell>
          <cell r="DH27">
            <v>0.15397298415856125</v>
          </cell>
          <cell r="DI27" t="str">
            <v>No Sig diff</v>
          </cell>
          <cell r="DJ27">
            <v>133</v>
          </cell>
          <cell r="DK27">
            <v>9</v>
          </cell>
          <cell r="DL27">
            <v>6.7669172932330823E-2</v>
          </cell>
          <cell r="DM27">
            <v>3.6006387177108239E-2</v>
          </cell>
          <cell r="DN27">
            <v>0.12360502744039735</v>
          </cell>
          <cell r="DO27" t="str">
            <v>No Sig diff</v>
          </cell>
          <cell r="DP27">
            <v>141</v>
          </cell>
          <cell r="DQ27">
            <v>7</v>
          </cell>
          <cell r="DR27">
            <v>4.9645390070921988E-2</v>
          </cell>
          <cell r="DS27">
            <v>2.4253530324488033E-2</v>
          </cell>
          <cell r="DT27">
            <v>9.8925695885742834E-2</v>
          </cell>
          <cell r="DU27" t="str">
            <v>No Sig diff</v>
          </cell>
          <cell r="DV27">
            <v>123</v>
          </cell>
          <cell r="DW27">
            <v>6</v>
          </cell>
          <cell r="DX27">
            <v>4.878048780487805E-2</v>
          </cell>
          <cell r="DY27">
            <v>2.2545774253251705E-2</v>
          </cell>
          <cell r="DZ27">
            <v>0.10234603137544228</v>
          </cell>
          <cell r="EA27" t="str">
            <v>No Sig diff</v>
          </cell>
          <cell r="EB27">
            <v>88</v>
          </cell>
          <cell r="EC27">
            <v>10</v>
          </cell>
          <cell r="ED27">
            <v>0.11363636363636363</v>
          </cell>
          <cell r="EE27">
            <v>6.2908003751013547E-2</v>
          </cell>
          <cell r="EF27">
            <v>0.1966856386718577</v>
          </cell>
          <cell r="EG27" t="str">
            <v>No Sig diff</v>
          </cell>
          <cell r="EH27">
            <v>88</v>
          </cell>
          <cell r="EI27">
            <v>17</v>
          </cell>
          <cell r="EJ27">
            <v>0.19318181818181818</v>
          </cell>
          <cell r="EK27">
            <v>0.12425957732106709</v>
          </cell>
          <cell r="EL27">
            <v>0.2877706681323895</v>
          </cell>
          <cell r="EM27" t="str">
            <v>No Sig diff</v>
          </cell>
          <cell r="EN27">
            <v>91</v>
          </cell>
          <cell r="EO27">
            <v>13</v>
          </cell>
          <cell r="EP27">
            <v>0.14285714285714285</v>
          </cell>
          <cell r="EQ27">
            <v>8.542758136548774E-2</v>
          </cell>
          <cell r="ER27">
            <v>0.22921813572656949</v>
          </cell>
          <cell r="ES27" t="str">
            <v>No Sig diff</v>
          </cell>
          <cell r="ET27">
            <v>100</v>
          </cell>
          <cell r="EU27">
            <v>6</v>
          </cell>
          <cell r="EV27">
            <v>0.06</v>
          </cell>
          <cell r="EW27">
            <v>2.7786123963188188E-2</v>
          </cell>
          <cell r="EX27">
            <v>0.1247681544589592</v>
          </cell>
          <cell r="EY27" t="str">
            <v>Sig better than Eng.</v>
          </cell>
          <cell r="EZ27">
            <v>150</v>
          </cell>
          <cell r="FA27">
            <v>80</v>
          </cell>
          <cell r="FB27">
            <v>0.53333333333333333</v>
          </cell>
          <cell r="FC27">
            <v>0.45366249130807695</v>
          </cell>
          <cell r="FD27">
            <v>0.61133949240071794</v>
          </cell>
          <cell r="FE27">
            <v>150</v>
          </cell>
          <cell r="FF27">
            <v>34</v>
          </cell>
          <cell r="FG27">
            <v>30</v>
          </cell>
          <cell r="FH27">
            <v>25.433333333333334</v>
          </cell>
          <cell r="FI27">
            <v>0.25196078431372548</v>
          </cell>
          <cell r="FJ27">
            <v>166</v>
          </cell>
          <cell r="FK27">
            <v>90</v>
          </cell>
          <cell r="FL27">
            <v>0.54216867469879515</v>
          </cell>
          <cell r="FM27">
            <v>0.46628048237198927</v>
          </cell>
          <cell r="FN27">
            <v>0.61614933245184689</v>
          </cell>
          <cell r="FO27">
            <v>166</v>
          </cell>
          <cell r="FP27">
            <v>34</v>
          </cell>
          <cell r="FQ27">
            <v>33</v>
          </cell>
          <cell r="FR27">
            <v>25.515151515151519</v>
          </cell>
          <cell r="FS27">
            <v>0.2495543672014259</v>
          </cell>
          <cell r="FT27">
            <v>2265</v>
          </cell>
          <cell r="FU27">
            <v>2068</v>
          </cell>
          <cell r="FV27">
            <v>197</v>
          </cell>
          <cell r="FW27">
            <v>169</v>
          </cell>
          <cell r="FX27">
            <v>28</v>
          </cell>
          <cell r="FY27">
            <v>0.85786802030456855</v>
          </cell>
          <cell r="FZ27">
            <v>0.14213197969543148</v>
          </cell>
          <cell r="GB27">
            <v>0.15909090909090909</v>
          </cell>
          <cell r="GC27">
            <v>9.71981376163292E-2</v>
          </cell>
          <cell r="GD27">
            <v>0.24950313936490803</v>
          </cell>
          <cell r="GF27">
            <v>0.125</v>
          </cell>
          <cell r="GG27">
            <v>7.1252008979545867E-2</v>
          </cell>
          <cell r="GH27">
            <v>0.21011939569981511</v>
          </cell>
          <cell r="GJ27">
            <v>0.12643678160919541</v>
          </cell>
          <cell r="GK27">
            <v>7.2088787763500334E-2</v>
          </cell>
          <cell r="GL27">
            <v>0.21238000186592054</v>
          </cell>
          <cell r="GN27">
            <v>0.29545454545454547</v>
          </cell>
          <cell r="GO27">
            <v>0.21030723719315755</v>
          </cell>
          <cell r="GP27">
            <v>0.39771352899558482</v>
          </cell>
          <cell r="GQ27">
            <v>29</v>
          </cell>
          <cell r="GR27">
            <v>27</v>
          </cell>
          <cell r="GS27">
            <v>27</v>
          </cell>
          <cell r="GT27">
            <v>28</v>
          </cell>
          <cell r="GU27">
            <v>27</v>
          </cell>
          <cell r="GV27">
            <v>22</v>
          </cell>
          <cell r="GW27">
            <v>22</v>
          </cell>
          <cell r="GX27">
            <v>22</v>
          </cell>
          <cell r="GY27">
            <v>22</v>
          </cell>
          <cell r="GZ27">
            <v>22</v>
          </cell>
          <cell r="HA27">
            <v>22</v>
          </cell>
          <cell r="HB27">
            <v>22</v>
          </cell>
          <cell r="HC27">
            <v>22</v>
          </cell>
          <cell r="HD27">
            <v>39</v>
          </cell>
          <cell r="HE27">
            <v>33</v>
          </cell>
          <cell r="HF27">
            <v>33</v>
          </cell>
          <cell r="HG27">
            <v>33</v>
          </cell>
          <cell r="HH27">
            <v>33</v>
          </cell>
          <cell r="HI27">
            <v>34</v>
          </cell>
          <cell r="HJ27">
            <v>33</v>
          </cell>
          <cell r="HK27">
            <v>34</v>
          </cell>
          <cell r="HL27">
            <v>31</v>
          </cell>
          <cell r="HM27">
            <v>33</v>
          </cell>
          <cell r="HN27">
            <v>12</v>
          </cell>
          <cell r="HO27">
            <v>1.4742014742014743E-2</v>
          </cell>
          <cell r="HP27">
            <v>1220</v>
          </cell>
          <cell r="HQ27">
            <v>1116</v>
          </cell>
          <cell r="HR27">
            <v>104</v>
          </cell>
          <cell r="HS27">
            <v>8.5245901639344257E-2</v>
          </cell>
        </row>
        <row r="28">
          <cell r="A28" t="str">
            <v>Northgate</v>
          </cell>
          <cell r="C28" t="str">
            <v>Crawley</v>
          </cell>
          <cell r="D28" t="str">
            <v>Crawley</v>
          </cell>
          <cell r="E28" t="str">
            <v>Crawley</v>
          </cell>
          <cell r="F28" t="str">
            <v>Crawley</v>
          </cell>
          <cell r="G28" t="str">
            <v>Northgate, Three Bridges, West Green</v>
          </cell>
          <cell r="H28" t="str">
            <v>Crawley NE</v>
          </cell>
          <cell r="I28" t="str">
            <v>C1</v>
          </cell>
          <cell r="J28" t="str">
            <v>Crawley</v>
          </cell>
          <cell r="K28" t="str">
            <v>Crawley</v>
          </cell>
          <cell r="L28">
            <v>14675</v>
          </cell>
          <cell r="M28">
            <v>14925</v>
          </cell>
          <cell r="N28">
            <v>15190</v>
          </cell>
          <cell r="O28">
            <v>15405</v>
          </cell>
          <cell r="P28">
            <v>15880</v>
          </cell>
          <cell r="Q28">
            <v>16250</v>
          </cell>
          <cell r="R28">
            <v>17140</v>
          </cell>
          <cell r="S28">
            <v>17785</v>
          </cell>
          <cell r="T28">
            <v>18270</v>
          </cell>
          <cell r="U28">
            <v>18550</v>
          </cell>
          <cell r="V28">
            <v>795</v>
          </cell>
          <cell r="W28">
            <v>810</v>
          </cell>
          <cell r="X28">
            <v>830</v>
          </cell>
          <cell r="Y28">
            <v>825</v>
          </cell>
          <cell r="Z28">
            <v>895</v>
          </cell>
          <cell r="AA28">
            <v>980</v>
          </cell>
          <cell r="AB28">
            <v>1180</v>
          </cell>
          <cell r="AC28">
            <v>1340</v>
          </cell>
          <cell r="AD28">
            <v>1425</v>
          </cell>
          <cell r="AE28">
            <v>1455</v>
          </cell>
          <cell r="AF28">
            <v>0.5143939393939394</v>
          </cell>
          <cell r="AG28">
            <v>7.9545454545454544E-2</v>
          </cell>
          <cell r="AH28">
            <v>8.8636363636363638E-2</v>
          </cell>
          <cell r="AI28">
            <v>0.26212121212121214</v>
          </cell>
          <cell r="AJ28">
            <v>3.2575757575757577E-2</v>
          </cell>
          <cell r="AK28">
            <v>2.2727272727272728E-2</v>
          </cell>
          <cell r="AL28">
            <v>0.4856060606060606</v>
          </cell>
          <cell r="AM28">
            <v>2205</v>
          </cell>
          <cell r="AN28">
            <v>0.37431941923774953</v>
          </cell>
          <cell r="AO28">
            <v>0.37749546279491836</v>
          </cell>
          <cell r="AP28">
            <v>0.24818511796733211</v>
          </cell>
          <cell r="AQ28">
            <v>199</v>
          </cell>
          <cell r="AR28">
            <v>311</v>
          </cell>
          <cell r="AS28">
            <v>317</v>
          </cell>
          <cell r="AT28">
            <v>298</v>
          </cell>
          <cell r="AU28">
            <v>307</v>
          </cell>
          <cell r="AV28">
            <v>8</v>
          </cell>
          <cell r="AW28">
            <v>13</v>
          </cell>
          <cell r="AX28">
            <v>17</v>
          </cell>
          <cell r="AY28">
            <v>7</v>
          </cell>
          <cell r="AZ28">
            <v>9</v>
          </cell>
          <cell r="BA28">
            <v>21</v>
          </cell>
          <cell r="BB28">
            <v>6.8403908794788276E-2</v>
          </cell>
          <cell r="BC28">
            <v>4.517237630442774E-2</v>
          </cell>
          <cell r="BD28">
            <v>0.1023029926332059</v>
          </cell>
          <cell r="BE28">
            <v>20</v>
          </cell>
          <cell r="BF28">
            <v>514</v>
          </cell>
          <cell r="BG28">
            <v>330</v>
          </cell>
          <cell r="BH28">
            <v>171</v>
          </cell>
          <cell r="BI28">
            <v>0.13425414475583303</v>
          </cell>
          <cell r="BJ28">
            <v>2102</v>
          </cell>
          <cell r="BK28">
            <v>3595</v>
          </cell>
          <cell r="BL28">
            <v>2365</v>
          </cell>
          <cell r="BM28">
            <v>1231</v>
          </cell>
          <cell r="BN28">
            <v>5</v>
          </cell>
          <cell r="BO28">
            <v>338</v>
          </cell>
          <cell r="BP28">
            <v>561</v>
          </cell>
          <cell r="BQ28">
            <v>230</v>
          </cell>
          <cell r="BR28">
            <v>195</v>
          </cell>
          <cell r="BS28">
            <v>175</v>
          </cell>
          <cell r="BT28">
            <v>145</v>
          </cell>
          <cell r="BU28">
            <v>507</v>
          </cell>
          <cell r="BV28">
            <v>211</v>
          </cell>
          <cell r="BW28">
            <v>0.41617357001972388</v>
          </cell>
          <cell r="BX28">
            <v>30</v>
          </cell>
          <cell r="BY28">
            <v>3</v>
          </cell>
          <cell r="BZ28">
            <v>422</v>
          </cell>
          <cell r="CA28">
            <v>5.5687516495117446E-2</v>
          </cell>
          <cell r="CB28">
            <v>290</v>
          </cell>
          <cell r="CC28">
            <v>295</v>
          </cell>
          <cell r="CD28">
            <v>235</v>
          </cell>
          <cell r="CE28">
            <v>210</v>
          </cell>
          <cell r="CF28">
            <v>610</v>
          </cell>
          <cell r="CG28">
            <v>0.17241666666666666</v>
          </cell>
          <cell r="CH28">
            <v>635</v>
          </cell>
          <cell r="CI28">
            <v>0.18791666666666665</v>
          </cell>
          <cell r="CJ28">
            <v>580</v>
          </cell>
          <cell r="CK28">
            <v>0.19166666666666668</v>
          </cell>
          <cell r="CL28">
            <v>535</v>
          </cell>
          <cell r="CM28">
            <v>0.19466666666666668</v>
          </cell>
          <cell r="CN28">
            <v>475</v>
          </cell>
          <cell r="CO28">
            <v>0.17633333333333334</v>
          </cell>
          <cell r="CP28">
            <v>550</v>
          </cell>
          <cell r="CQ28">
            <v>0.17027863777089783</v>
          </cell>
          <cell r="CR28">
            <v>258</v>
          </cell>
          <cell r="CS28">
            <v>8</v>
          </cell>
          <cell r="CT28">
            <v>250</v>
          </cell>
          <cell r="CU28">
            <v>0.88818493037600588</v>
          </cell>
          <cell r="CV28">
            <v>108</v>
          </cell>
          <cell r="CW28">
            <v>155</v>
          </cell>
          <cell r="CX28">
            <v>0.39258947574164954</v>
          </cell>
          <cell r="CY28">
            <v>0.55961337374380848</v>
          </cell>
          <cell r="CZ28">
            <v>0.37208205941359102</v>
          </cell>
          <cell r="DA28">
            <v>0.49397614381235777</v>
          </cell>
          <cell r="DB28">
            <v>0.55844423217073813</v>
          </cell>
          <cell r="DC28">
            <v>0.67792364448935216</v>
          </cell>
          <cell r="DD28">
            <v>129</v>
          </cell>
          <cell r="DE28">
            <v>15</v>
          </cell>
          <cell r="DF28">
            <v>0.11627906976744186</v>
          </cell>
          <cell r="DG28">
            <v>7.1745771694535582E-2</v>
          </cell>
          <cell r="DH28">
            <v>0.18300495990027799</v>
          </cell>
          <cell r="DI28" t="str">
            <v>No Sig diff</v>
          </cell>
          <cell r="DJ28">
            <v>154</v>
          </cell>
          <cell r="DK28">
            <v>16</v>
          </cell>
          <cell r="DL28">
            <v>0.1038961038961039</v>
          </cell>
          <cell r="DM28">
            <v>6.4968878575839786E-2</v>
          </cell>
          <cell r="DN28">
            <v>0.1621036477963953</v>
          </cell>
          <cell r="DO28" t="str">
            <v>No Sig diff</v>
          </cell>
          <cell r="DP28">
            <v>132</v>
          </cell>
          <cell r="DQ28">
            <v>8</v>
          </cell>
          <cell r="DR28">
            <v>6.0606060606060608E-2</v>
          </cell>
          <cell r="DS28">
            <v>3.1026884470063115E-2</v>
          </cell>
          <cell r="DT28">
            <v>0.11503646756507763</v>
          </cell>
          <cell r="DU28" t="str">
            <v>No Sig diff</v>
          </cell>
          <cell r="DV28">
            <v>183</v>
          </cell>
          <cell r="DW28">
            <v>14</v>
          </cell>
          <cell r="DX28">
            <v>7.650273224043716E-2</v>
          </cell>
          <cell r="DY28">
            <v>4.6115353092286537E-2</v>
          </cell>
          <cell r="DZ28">
            <v>0.12430431190964095</v>
          </cell>
          <cell r="EA28" t="str">
            <v>No Sig diff</v>
          </cell>
          <cell r="EB28">
            <v>114</v>
          </cell>
          <cell r="EC28">
            <v>23</v>
          </cell>
          <cell r="ED28">
            <v>0.20175438596491227</v>
          </cell>
          <cell r="EE28">
            <v>0.13837064215120354</v>
          </cell>
          <cell r="EF28">
            <v>0.28458286945231603</v>
          </cell>
          <cell r="EG28" t="str">
            <v>No Sig diff</v>
          </cell>
          <cell r="EH28">
            <v>119</v>
          </cell>
          <cell r="EI28">
            <v>17</v>
          </cell>
          <cell r="EJ28">
            <v>0.14285714285714285</v>
          </cell>
          <cell r="EK28">
            <v>9.1145398332360461E-2</v>
          </cell>
          <cell r="EL28">
            <v>0.21690580184045349</v>
          </cell>
          <cell r="EM28" t="str">
            <v>No Sig diff</v>
          </cell>
          <cell r="EN28">
            <v>158</v>
          </cell>
          <cell r="EO28">
            <v>28</v>
          </cell>
          <cell r="EP28">
            <v>0.17721518987341772</v>
          </cell>
          <cell r="EQ28">
            <v>0.12555026627158597</v>
          </cell>
          <cell r="ER28">
            <v>0.24420331390957831</v>
          </cell>
          <cell r="ES28" t="str">
            <v>No Sig diff</v>
          </cell>
          <cell r="ET28">
            <v>146</v>
          </cell>
          <cell r="EU28">
            <v>35</v>
          </cell>
          <cell r="EV28">
            <v>0.23972602739726026</v>
          </cell>
          <cell r="EW28">
            <v>0.17771801912998342</v>
          </cell>
          <cell r="EX28">
            <v>0.31507923072231259</v>
          </cell>
          <cell r="EY28" t="str">
            <v>No Sig diff</v>
          </cell>
          <cell r="EZ28">
            <v>230</v>
          </cell>
          <cell r="FA28">
            <v>112</v>
          </cell>
          <cell r="FB28">
            <v>0.48695652173913045</v>
          </cell>
          <cell r="FC28">
            <v>0.42310710602431456</v>
          </cell>
          <cell r="FD28">
            <v>0.55123448408438924</v>
          </cell>
          <cell r="FE28">
            <v>230</v>
          </cell>
          <cell r="FF28">
            <v>34</v>
          </cell>
          <cell r="FG28">
            <v>46</v>
          </cell>
          <cell r="FH28">
            <v>21.304347826086961</v>
          </cell>
          <cell r="FI28">
            <v>0.3734015345268541</v>
          </cell>
          <cell r="FJ28">
            <v>236</v>
          </cell>
          <cell r="FK28">
            <v>118</v>
          </cell>
          <cell r="FL28">
            <v>0.5</v>
          </cell>
          <cell r="FM28">
            <v>0.43672153044647821</v>
          </cell>
          <cell r="FN28">
            <v>0.56327846955352179</v>
          </cell>
          <cell r="FO28">
            <v>236</v>
          </cell>
          <cell r="FP28">
            <v>34</v>
          </cell>
          <cell r="FQ28">
            <v>47</v>
          </cell>
          <cell r="FR28">
            <v>20.936170212765962</v>
          </cell>
          <cell r="FS28">
            <v>0.38423028785982466</v>
          </cell>
          <cell r="FT28">
            <v>2552</v>
          </cell>
          <cell r="FU28">
            <v>2532</v>
          </cell>
          <cell r="FV28">
            <v>20</v>
          </cell>
          <cell r="FW28">
            <v>19</v>
          </cell>
          <cell r="FX28">
            <v>1</v>
          </cell>
          <cell r="FY28">
            <v>0.95</v>
          </cell>
          <cell r="FZ28">
            <v>0.05</v>
          </cell>
          <cell r="GA28">
            <v>0.82305193716958425</v>
          </cell>
          <cell r="GB28">
            <v>9.3614729497082438E-2</v>
          </cell>
          <cell r="GC28">
            <v>5.5187336060682587E-2</v>
          </cell>
          <cell r="GD28">
            <v>0.14290024916446165</v>
          </cell>
          <cell r="GE28">
            <v>0.83183684507213929</v>
          </cell>
          <cell r="GF28">
            <v>8.4829821594527469E-2</v>
          </cell>
          <cell r="GG28">
            <v>4.6054075596845066E-2</v>
          </cell>
          <cell r="GH28">
            <v>0.12862000846698951</v>
          </cell>
          <cell r="GI28">
            <v>0.81074801560095677</v>
          </cell>
          <cell r="GJ28">
            <v>0.1059186510657099</v>
          </cell>
          <cell r="GK28">
            <v>6.927290603446952E-2</v>
          </cell>
          <cell r="GL28">
            <v>0.16393493093263919</v>
          </cell>
          <cell r="GM28">
            <v>0.66120358807858803</v>
          </cell>
          <cell r="GN28">
            <v>0.25546307858807854</v>
          </cell>
          <cell r="GO28">
            <v>0.19418660232856491</v>
          </cell>
          <cell r="GP28">
            <v>0.3260738074282723</v>
          </cell>
          <cell r="GQ28">
            <v>67</v>
          </cell>
          <cell r="GR28">
            <v>59</v>
          </cell>
          <cell r="GS28">
            <v>60</v>
          </cell>
          <cell r="GT28">
            <v>65</v>
          </cell>
          <cell r="GU28">
            <v>62</v>
          </cell>
          <cell r="GV28">
            <v>76</v>
          </cell>
          <cell r="GW28">
            <v>72</v>
          </cell>
          <cell r="GX28">
            <v>69</v>
          </cell>
          <cell r="GY28">
            <v>72</v>
          </cell>
          <cell r="GZ28">
            <v>70</v>
          </cell>
          <cell r="HA28">
            <v>73</v>
          </cell>
          <cell r="HB28">
            <v>73</v>
          </cell>
          <cell r="HC28">
            <v>74</v>
          </cell>
          <cell r="HD28">
            <v>63</v>
          </cell>
          <cell r="HE28">
            <v>60</v>
          </cell>
          <cell r="HF28">
            <v>55</v>
          </cell>
          <cell r="HG28">
            <v>56</v>
          </cell>
          <cell r="HH28">
            <v>56</v>
          </cell>
          <cell r="HI28">
            <v>59</v>
          </cell>
          <cell r="HJ28">
            <v>57</v>
          </cell>
          <cell r="HK28">
            <v>60</v>
          </cell>
          <cell r="HL28">
            <v>59</v>
          </cell>
          <cell r="HM28">
            <v>57</v>
          </cell>
          <cell r="HN28">
            <v>29</v>
          </cell>
          <cell r="HO28">
            <v>2.2137404580152672E-2</v>
          </cell>
          <cell r="HP28">
            <v>2102</v>
          </cell>
          <cell r="HQ28">
            <v>1792</v>
          </cell>
          <cell r="HR28">
            <v>310</v>
          </cell>
          <cell r="HS28">
            <v>0.14747859181731685</v>
          </cell>
        </row>
        <row r="29">
          <cell r="A29" t="str">
            <v>Petworth</v>
          </cell>
          <cell r="C29" t="str">
            <v>Chichester</v>
          </cell>
          <cell r="D29" t="str">
            <v>Chichester Rural</v>
          </cell>
          <cell r="E29" t="str">
            <v>Chichester</v>
          </cell>
          <cell r="F29" t="str">
            <v>Arch</v>
          </cell>
          <cell r="G29" t="str">
            <v>Bury, Fernhurst, Petworth, Plaistow</v>
          </cell>
          <cell r="H29" t="str">
            <v>Midhurst/Petworth</v>
          </cell>
          <cell r="I29" t="str">
            <v>A</v>
          </cell>
          <cell r="J29" t="str">
            <v>Coastal West Sussex</v>
          </cell>
          <cell r="K29" t="str">
            <v>Arundel and South Downs</v>
          </cell>
          <cell r="L29">
            <v>11195</v>
          </cell>
          <cell r="M29">
            <v>11265</v>
          </cell>
          <cell r="N29">
            <v>11190</v>
          </cell>
          <cell r="O29">
            <v>11230</v>
          </cell>
          <cell r="P29">
            <v>11395</v>
          </cell>
          <cell r="Q29">
            <v>11450</v>
          </cell>
          <cell r="R29">
            <v>11565</v>
          </cell>
          <cell r="S29">
            <v>11620</v>
          </cell>
          <cell r="T29">
            <v>11600</v>
          </cell>
          <cell r="U29">
            <v>11620</v>
          </cell>
          <cell r="V29">
            <v>595</v>
          </cell>
          <cell r="W29">
            <v>585</v>
          </cell>
          <cell r="X29">
            <v>580</v>
          </cell>
          <cell r="Y29">
            <v>590</v>
          </cell>
          <cell r="Z29">
            <v>610</v>
          </cell>
          <cell r="AA29">
            <v>605</v>
          </cell>
          <cell r="AB29">
            <v>620</v>
          </cell>
          <cell r="AC29">
            <v>635</v>
          </cell>
          <cell r="AD29">
            <v>630</v>
          </cell>
          <cell r="AE29">
            <v>605</v>
          </cell>
          <cell r="AF29">
            <v>0.92902208201892744</v>
          </cell>
          <cell r="AG29">
            <v>2.8391167192429023E-2</v>
          </cell>
          <cell r="AH29">
            <v>2.996845425867508E-2</v>
          </cell>
          <cell r="AI29">
            <v>4.7318611987381704E-3</v>
          </cell>
          <cell r="AJ29">
            <v>6.3091482649842269E-3</v>
          </cell>
          <cell r="AK29">
            <v>1.5772870662460567E-3</v>
          </cell>
          <cell r="AL29">
            <v>7.0977917981072558E-2</v>
          </cell>
          <cell r="AM29">
            <v>1325</v>
          </cell>
          <cell r="AN29">
            <v>0.63903541823662391</v>
          </cell>
          <cell r="AO29">
            <v>0.1680482290881688</v>
          </cell>
          <cell r="AP29">
            <v>0.19291635267520724</v>
          </cell>
          <cell r="AQ29">
            <v>99</v>
          </cell>
          <cell r="AR29">
            <v>95</v>
          </cell>
          <cell r="AS29">
            <v>81</v>
          </cell>
          <cell r="AT29">
            <v>61</v>
          </cell>
          <cell r="AU29">
            <v>55</v>
          </cell>
          <cell r="AV29">
            <v>4</v>
          </cell>
          <cell r="AW29">
            <v>5</v>
          </cell>
          <cell r="AX29">
            <v>3</v>
          </cell>
          <cell r="AY29">
            <v>2</v>
          </cell>
          <cell r="AZ29">
            <v>4</v>
          </cell>
          <cell r="BA29">
            <v>3</v>
          </cell>
          <cell r="BB29">
            <v>5.4545454545454543E-2</v>
          </cell>
          <cell r="BC29">
            <v>1.8723215554684484E-2</v>
          </cell>
          <cell r="BD29">
            <v>0.14853060544053792</v>
          </cell>
          <cell r="BE29">
            <v>5</v>
          </cell>
          <cell r="BF29">
            <v>168</v>
          </cell>
          <cell r="BG29">
            <v>209</v>
          </cell>
          <cell r="BH29">
            <v>102</v>
          </cell>
          <cell r="BI29">
            <v>0.17248256109179885</v>
          </cell>
          <cell r="BJ29">
            <v>1297</v>
          </cell>
          <cell r="BK29">
            <v>2364</v>
          </cell>
          <cell r="BL29">
            <v>1307</v>
          </cell>
          <cell r="BM29">
            <v>905</v>
          </cell>
          <cell r="BN29">
            <v>0</v>
          </cell>
          <cell r="BO29">
            <v>129</v>
          </cell>
          <cell r="BP29">
            <v>202</v>
          </cell>
          <cell r="BQ29">
            <v>71</v>
          </cell>
          <cell r="BR29">
            <v>35</v>
          </cell>
          <cell r="BS29">
            <v>40</v>
          </cell>
          <cell r="BT29">
            <v>40</v>
          </cell>
          <cell r="BU29">
            <v>201</v>
          </cell>
          <cell r="BV29">
            <v>60</v>
          </cell>
          <cell r="BW29">
            <v>0.29850746268656714</v>
          </cell>
          <cell r="BX29">
            <v>20</v>
          </cell>
          <cell r="BY29">
            <v>5</v>
          </cell>
          <cell r="BZ29">
            <v>104</v>
          </cell>
          <cell r="CA29">
            <v>2.2029231095106967E-2</v>
          </cell>
          <cell r="CB29">
            <v>60</v>
          </cell>
          <cell r="CC29">
            <v>60</v>
          </cell>
          <cell r="CD29">
            <v>50</v>
          </cell>
          <cell r="CE29">
            <v>55</v>
          </cell>
          <cell r="CF29">
            <v>175</v>
          </cell>
          <cell r="CG29">
            <v>8.8124999999999995E-2</v>
          </cell>
          <cell r="CH29">
            <v>200</v>
          </cell>
          <cell r="CI29">
            <v>9.0374999999999997E-2</v>
          </cell>
          <cell r="CJ29">
            <v>180</v>
          </cell>
          <cell r="CK29">
            <v>8.9249999999999996E-2</v>
          </cell>
          <cell r="CL29">
            <v>180</v>
          </cell>
          <cell r="CM29">
            <v>9.8250000000000004E-2</v>
          </cell>
          <cell r="CN29">
            <v>175</v>
          </cell>
          <cell r="CO29">
            <v>7.9125000000000001E-2</v>
          </cell>
          <cell r="CP29">
            <v>155</v>
          </cell>
          <cell r="CQ29">
            <v>7.5609756097560973E-2</v>
          </cell>
          <cell r="CR29">
            <v>61</v>
          </cell>
          <cell r="CS29">
            <v>0</v>
          </cell>
          <cell r="CT29">
            <v>61</v>
          </cell>
          <cell r="CU29">
            <v>0.75</v>
          </cell>
          <cell r="CV29">
            <v>22</v>
          </cell>
          <cell r="CW29">
            <v>28</v>
          </cell>
          <cell r="CX29">
            <v>0.26822916666666663</v>
          </cell>
          <cell r="CY29">
            <v>0.33784722222222219</v>
          </cell>
          <cell r="CZ29">
            <v>0.25173936505814554</v>
          </cell>
          <cell r="DA29">
            <v>0.48608326732600293</v>
          </cell>
          <cell r="DB29">
            <v>0.34012730888289117</v>
          </cell>
          <cell r="DC29">
            <v>0.58276170064185839</v>
          </cell>
          <cell r="DD29">
            <v>83</v>
          </cell>
          <cell r="DE29">
            <v>5</v>
          </cell>
          <cell r="DF29">
            <v>6.0240963855421686E-2</v>
          </cell>
          <cell r="DG29">
            <v>2.6003401041882011E-2</v>
          </cell>
          <cell r="DH29">
            <v>0.13338428093238414</v>
          </cell>
          <cell r="DI29" t="str">
            <v>No Sig diff</v>
          </cell>
          <cell r="DJ29">
            <v>89</v>
          </cell>
          <cell r="DK29">
            <v>8</v>
          </cell>
          <cell r="DL29">
            <v>8.98876404494382E-2</v>
          </cell>
          <cell r="DM29">
            <v>4.6252429145950645E-2</v>
          </cell>
          <cell r="DN29">
            <v>0.1674609169467059</v>
          </cell>
          <cell r="DO29" t="str">
            <v>No Sig diff</v>
          </cell>
          <cell r="DP29">
            <v>82</v>
          </cell>
          <cell r="DQ29">
            <v>5</v>
          </cell>
          <cell r="DR29">
            <v>6.097560975609756E-2</v>
          </cell>
          <cell r="DS29">
            <v>2.6323955067816089E-2</v>
          </cell>
          <cell r="DT29">
            <v>0.13492049500154024</v>
          </cell>
          <cell r="DU29" t="str">
            <v>No Sig diff</v>
          </cell>
          <cell r="DV29">
            <v>100</v>
          </cell>
          <cell r="DW29">
            <v>7</v>
          </cell>
          <cell r="DX29">
            <v>7.0000000000000007E-2</v>
          </cell>
          <cell r="DY29">
            <v>3.4319261067272677E-2</v>
          </cell>
          <cell r="DZ29">
            <v>0.13749514739073496</v>
          </cell>
          <cell r="EA29" t="str">
            <v>No Sig diff</v>
          </cell>
          <cell r="EB29">
            <v>65</v>
          </cell>
          <cell r="EC29">
            <v>13</v>
          </cell>
          <cell r="ED29">
            <v>0.2</v>
          </cell>
          <cell r="EE29">
            <v>0.12077959241205476</v>
          </cell>
          <cell r="EF29">
            <v>0.31270132638165932</v>
          </cell>
          <cell r="EG29" t="str">
            <v>No Sig diff</v>
          </cell>
          <cell r="EH29">
            <v>61</v>
          </cell>
          <cell r="EI29">
            <v>12</v>
          </cell>
          <cell r="EJ29">
            <v>0.19672131147540983</v>
          </cell>
          <cell r="EK29">
            <v>0.11627802231427166</v>
          </cell>
          <cell r="EL29">
            <v>0.31309940575507544</v>
          </cell>
          <cell r="EM29" t="str">
            <v>No Sig diff</v>
          </cell>
          <cell r="EN29">
            <v>64</v>
          </cell>
          <cell r="EO29">
            <v>8</v>
          </cell>
          <cell r="EP29">
            <v>0.125</v>
          </cell>
          <cell r="EQ29">
            <v>6.4722426633304547E-2</v>
          </cell>
          <cell r="ER29">
            <v>0.22774561821129938</v>
          </cell>
          <cell r="ES29" t="str">
            <v>No Sig diff</v>
          </cell>
          <cell r="ET29">
            <v>63</v>
          </cell>
          <cell r="EU29">
            <v>12</v>
          </cell>
          <cell r="EV29">
            <v>0.19047619047619047</v>
          </cell>
          <cell r="EW29">
            <v>0.11246191872292463</v>
          </cell>
          <cell r="EX29">
            <v>0.30406787149874537</v>
          </cell>
          <cell r="EY29" t="str">
            <v>No Sig diff</v>
          </cell>
          <cell r="EZ29">
            <v>121</v>
          </cell>
          <cell r="FA29">
            <v>66</v>
          </cell>
          <cell r="FB29">
            <v>0.54545454545454541</v>
          </cell>
          <cell r="FC29">
            <v>0.45669996779439898</v>
          </cell>
          <cell r="FD29">
            <v>0.63141178693764843</v>
          </cell>
          <cell r="FE29">
            <v>121</v>
          </cell>
          <cell r="FF29">
            <v>35</v>
          </cell>
          <cell r="FG29">
            <v>24</v>
          </cell>
          <cell r="FH29">
            <v>25.541666666666664</v>
          </cell>
          <cell r="FI29">
            <v>0.27023809523809533</v>
          </cell>
          <cell r="FJ29">
            <v>114</v>
          </cell>
          <cell r="FK29">
            <v>69</v>
          </cell>
          <cell r="FL29">
            <v>0.60526315789473684</v>
          </cell>
          <cell r="FM29">
            <v>0.51351296049528616</v>
          </cell>
          <cell r="FN29">
            <v>0.6901505059975892</v>
          </cell>
          <cell r="FO29">
            <v>114</v>
          </cell>
          <cell r="FP29">
            <v>34</v>
          </cell>
          <cell r="FQ29">
            <v>22</v>
          </cell>
          <cell r="FR29">
            <v>24.863636363636363</v>
          </cell>
          <cell r="FS29">
            <v>0.26871657754010697</v>
          </cell>
          <cell r="FT29">
            <v>2014</v>
          </cell>
          <cell r="FU29">
            <v>1726</v>
          </cell>
          <cell r="FV29">
            <v>288</v>
          </cell>
          <cell r="FW29">
            <v>243</v>
          </cell>
          <cell r="FX29">
            <v>45</v>
          </cell>
          <cell r="FY29">
            <v>0.84375</v>
          </cell>
          <cell r="FZ29">
            <v>0.15625</v>
          </cell>
          <cell r="GB29">
            <v>0.1111111111111111</v>
          </cell>
          <cell r="GC29">
            <v>4.4065689087418335E-2</v>
          </cell>
          <cell r="GD29">
            <v>0.25315129015036325</v>
          </cell>
          <cell r="GF29">
            <v>5.5555555555555552E-2</v>
          </cell>
          <cell r="GG29">
            <v>1.5369663767066871E-2</v>
          </cell>
          <cell r="GH29">
            <v>0.18144974107611211</v>
          </cell>
          <cell r="GJ29">
            <v>8.3333333333333329E-2</v>
          </cell>
          <cell r="GK29">
            <v>2.8748089271291792E-2</v>
          </cell>
          <cell r="GL29">
            <v>0.21827010276918851</v>
          </cell>
          <cell r="GN29">
            <v>0.14285714285714285</v>
          </cell>
          <cell r="GO29">
            <v>6.2601388048534976E-2</v>
          </cell>
          <cell r="GP29">
            <v>0.29375880308674268</v>
          </cell>
          <cell r="GQ29">
            <v>12</v>
          </cell>
          <cell r="GR29">
            <v>12</v>
          </cell>
          <cell r="GS29">
            <v>12</v>
          </cell>
          <cell r="GT29">
            <v>12</v>
          </cell>
          <cell r="GU29">
            <v>12</v>
          </cell>
          <cell r="GV29">
            <v>22</v>
          </cell>
          <cell r="GW29">
            <v>21</v>
          </cell>
          <cell r="GX29">
            <v>21</v>
          </cell>
          <cell r="GY29">
            <v>21</v>
          </cell>
          <cell r="GZ29">
            <v>21</v>
          </cell>
          <cell r="HA29">
            <v>20</v>
          </cell>
          <cell r="HB29">
            <v>20</v>
          </cell>
          <cell r="HC29">
            <v>21</v>
          </cell>
          <cell r="HD29">
            <v>21</v>
          </cell>
          <cell r="HE29">
            <v>20</v>
          </cell>
          <cell r="HF29">
            <v>17</v>
          </cell>
          <cell r="HG29">
            <v>20</v>
          </cell>
          <cell r="HH29">
            <v>17</v>
          </cell>
          <cell r="HI29">
            <v>17</v>
          </cell>
          <cell r="HJ29">
            <v>17</v>
          </cell>
          <cell r="HK29">
            <v>20</v>
          </cell>
          <cell r="HL29">
            <v>17</v>
          </cell>
          <cell r="HM29">
            <v>20</v>
          </cell>
          <cell r="HN29">
            <v>2</v>
          </cell>
          <cell r="HO29">
            <v>3.1645569620253164E-3</v>
          </cell>
          <cell r="HP29">
            <v>962</v>
          </cell>
          <cell r="HQ29">
            <v>907</v>
          </cell>
          <cell r="HR29">
            <v>55</v>
          </cell>
          <cell r="HS29">
            <v>5.7172557172557176E-2</v>
          </cell>
        </row>
        <row r="30">
          <cell r="A30" t="str">
            <v>Roffey</v>
          </cell>
          <cell r="C30" t="str">
            <v>Horsham</v>
          </cell>
          <cell r="D30" t="str">
            <v>Horsham Town</v>
          </cell>
          <cell r="E30" t="str">
            <v>Horsham</v>
          </cell>
          <cell r="F30" t="str">
            <v>Horsham</v>
          </cell>
          <cell r="G30" t="str">
            <v>Holbrook East, Holbrook West, Roffey North, Roffey South</v>
          </cell>
          <cell r="H30" t="str">
            <v>Horsham E</v>
          </cell>
          <cell r="I30" t="str">
            <v>C3</v>
          </cell>
          <cell r="J30" t="str">
            <v>Horsham and Mid Sussex</v>
          </cell>
          <cell r="K30" t="str">
            <v>Horsham</v>
          </cell>
          <cell r="L30">
            <v>15130</v>
          </cell>
          <cell r="M30">
            <v>15245</v>
          </cell>
          <cell r="N30">
            <v>15340</v>
          </cell>
          <cell r="O30">
            <v>15245</v>
          </cell>
          <cell r="P30">
            <v>15350</v>
          </cell>
          <cell r="Q30">
            <v>15440</v>
          </cell>
          <cell r="R30">
            <v>15490</v>
          </cell>
          <cell r="S30">
            <v>15465</v>
          </cell>
          <cell r="T30">
            <v>15390</v>
          </cell>
          <cell r="U30">
            <v>15370</v>
          </cell>
          <cell r="V30">
            <v>975</v>
          </cell>
          <cell r="W30">
            <v>950</v>
          </cell>
          <cell r="X30">
            <v>945</v>
          </cell>
          <cell r="Y30">
            <v>965</v>
          </cell>
          <cell r="Z30">
            <v>935</v>
          </cell>
          <cell r="AA30">
            <v>925</v>
          </cell>
          <cell r="AB30">
            <v>950</v>
          </cell>
          <cell r="AC30">
            <v>945</v>
          </cell>
          <cell r="AD30">
            <v>960</v>
          </cell>
          <cell r="AE30">
            <v>945</v>
          </cell>
          <cell r="AF30">
            <v>0.87763713080168781</v>
          </cell>
          <cell r="AG30">
            <v>2.8481012658227847E-2</v>
          </cell>
          <cell r="AH30">
            <v>5.8016877637130801E-2</v>
          </cell>
          <cell r="AI30">
            <v>2.9535864978902954E-2</v>
          </cell>
          <cell r="AJ30">
            <v>6.3291139240506328E-3</v>
          </cell>
          <cell r="AK30">
            <v>0</v>
          </cell>
          <cell r="AL30">
            <v>0.12236286919831224</v>
          </cell>
          <cell r="AM30">
            <v>1865</v>
          </cell>
          <cell r="AN30">
            <v>0.732583065380493</v>
          </cell>
          <cell r="AO30">
            <v>0.14094319399785638</v>
          </cell>
          <cell r="AP30">
            <v>0.12647374062165059</v>
          </cell>
          <cell r="AQ30">
            <v>201</v>
          </cell>
          <cell r="AR30">
            <v>179</v>
          </cell>
          <cell r="AS30">
            <v>176</v>
          </cell>
          <cell r="AT30">
            <v>195</v>
          </cell>
          <cell r="AU30">
            <v>159</v>
          </cell>
          <cell r="AV30">
            <v>10</v>
          </cell>
          <cell r="AW30">
            <v>7</v>
          </cell>
          <cell r="AX30">
            <v>1</v>
          </cell>
          <cell r="AY30">
            <v>5</v>
          </cell>
          <cell r="AZ30">
            <v>2</v>
          </cell>
          <cell r="BA30">
            <v>9</v>
          </cell>
          <cell r="BB30">
            <v>5.6603773584905662E-2</v>
          </cell>
          <cell r="BC30">
            <v>3.006197811963247E-2</v>
          </cell>
          <cell r="BD30">
            <v>0.10406515988853231</v>
          </cell>
          <cell r="BE30">
            <v>5</v>
          </cell>
          <cell r="BF30">
            <v>288</v>
          </cell>
          <cell r="BG30">
            <v>313</v>
          </cell>
          <cell r="BH30">
            <v>136</v>
          </cell>
          <cell r="BI30">
            <v>0.13651873938942266</v>
          </cell>
          <cell r="BJ30">
            <v>2026</v>
          </cell>
          <cell r="BK30">
            <v>3549</v>
          </cell>
          <cell r="BL30">
            <v>1808</v>
          </cell>
          <cell r="BM30">
            <v>1110</v>
          </cell>
          <cell r="BN30">
            <v>1</v>
          </cell>
          <cell r="BO30">
            <v>241</v>
          </cell>
          <cell r="BP30">
            <v>329</v>
          </cell>
          <cell r="BQ30">
            <v>127</v>
          </cell>
          <cell r="BR30">
            <v>75</v>
          </cell>
          <cell r="BS30">
            <v>60</v>
          </cell>
          <cell r="BT30">
            <v>65</v>
          </cell>
          <cell r="BU30">
            <v>323</v>
          </cell>
          <cell r="BV30">
            <v>88</v>
          </cell>
          <cell r="BW30">
            <v>0.27244582043343651</v>
          </cell>
          <cell r="BX30">
            <v>31</v>
          </cell>
          <cell r="BY30">
            <v>10</v>
          </cell>
          <cell r="BZ30">
            <v>206</v>
          </cell>
          <cell r="CA30">
            <v>3.2258064516129031E-2</v>
          </cell>
          <cell r="CB30">
            <v>90</v>
          </cell>
          <cell r="CC30">
            <v>100</v>
          </cell>
          <cell r="CD30">
            <v>110</v>
          </cell>
          <cell r="CE30">
            <v>115</v>
          </cell>
          <cell r="CF30">
            <v>265</v>
          </cell>
          <cell r="CG30">
            <v>8.4400000000000003E-2</v>
          </cell>
          <cell r="CH30">
            <v>270</v>
          </cell>
          <cell r="CI30">
            <v>7.3200000000000001E-2</v>
          </cell>
          <cell r="CJ30">
            <v>250</v>
          </cell>
          <cell r="CK30">
            <v>8.1699999999999995E-2</v>
          </cell>
          <cell r="CL30">
            <v>225</v>
          </cell>
          <cell r="CM30">
            <v>8.8000000000000009E-2</v>
          </cell>
          <cell r="CN30">
            <v>250</v>
          </cell>
          <cell r="CO30">
            <v>8.6200000000000013E-2</v>
          </cell>
          <cell r="CP30">
            <v>240</v>
          </cell>
          <cell r="CQ30">
            <v>8.067226890756303E-2</v>
          </cell>
          <cell r="CR30">
            <v>176</v>
          </cell>
          <cell r="CS30">
            <v>3</v>
          </cell>
          <cell r="CT30">
            <v>173</v>
          </cell>
          <cell r="CU30">
            <v>0.98462301587301593</v>
          </cell>
          <cell r="CV30">
            <v>78</v>
          </cell>
          <cell r="CW30">
            <v>107</v>
          </cell>
          <cell r="CX30">
            <v>0.45537665493547846</v>
          </cell>
          <cell r="CY30">
            <v>0.62435442553089615</v>
          </cell>
          <cell r="CZ30">
            <v>0.37858899286391479</v>
          </cell>
          <cell r="DA30">
            <v>0.52527978009448417</v>
          </cell>
          <cell r="DB30">
            <v>0.54428186792058009</v>
          </cell>
          <cell r="DC30">
            <v>0.68756403259151666</v>
          </cell>
          <cell r="DD30">
            <v>156</v>
          </cell>
          <cell r="DE30">
            <v>13</v>
          </cell>
          <cell r="DF30">
            <v>8.3333333333333329E-2</v>
          </cell>
          <cell r="DG30">
            <v>4.9345650854239163E-2</v>
          </cell>
          <cell r="DH30">
            <v>0.13734845867693996</v>
          </cell>
          <cell r="DI30" t="str">
            <v>No Sig diff</v>
          </cell>
          <cell r="DJ30">
            <v>181</v>
          </cell>
          <cell r="DK30">
            <v>10</v>
          </cell>
          <cell r="DL30">
            <v>5.5248618784530384E-2</v>
          </cell>
          <cell r="DM30">
            <v>3.0283475638943135E-2</v>
          </cell>
          <cell r="DN30">
            <v>9.8699810755813064E-2</v>
          </cell>
          <cell r="DO30" t="str">
            <v>No Sig diff</v>
          </cell>
          <cell r="DP30">
            <v>108</v>
          </cell>
          <cell r="DQ30">
            <v>12</v>
          </cell>
          <cell r="DR30">
            <v>0.1111111111111111</v>
          </cell>
          <cell r="DS30">
            <v>6.4712669289837363E-2</v>
          </cell>
          <cell r="DT30">
            <v>0.18422416606859585</v>
          </cell>
          <cell r="DU30" t="str">
            <v>No Sig diff</v>
          </cell>
          <cell r="DV30">
            <v>153</v>
          </cell>
          <cell r="DW30">
            <v>15</v>
          </cell>
          <cell r="DX30">
            <v>9.8039215686274508E-2</v>
          </cell>
          <cell r="DY30">
            <v>6.0315942800075413E-2</v>
          </cell>
          <cell r="DZ30">
            <v>0.15545263698202605</v>
          </cell>
          <cell r="EA30" t="str">
            <v>No Sig diff</v>
          </cell>
          <cell r="EB30">
            <v>171</v>
          </cell>
          <cell r="EC30">
            <v>23</v>
          </cell>
          <cell r="ED30">
            <v>0.13450292397660818</v>
          </cell>
          <cell r="EE30">
            <v>9.1326032311684457E-2</v>
          </cell>
          <cell r="EF30">
            <v>0.19374055977050725</v>
          </cell>
          <cell r="EG30" t="str">
            <v>No Sig diff</v>
          </cell>
          <cell r="EH30">
            <v>177</v>
          </cell>
          <cell r="EI30">
            <v>23</v>
          </cell>
          <cell r="EJ30">
            <v>0.12994350282485875</v>
          </cell>
          <cell r="EK30">
            <v>8.8171749186438317E-2</v>
          </cell>
          <cell r="EL30">
            <v>0.18743683717269055</v>
          </cell>
          <cell r="EM30" t="str">
            <v>Sig better than Eng.</v>
          </cell>
          <cell r="EN30">
            <v>183</v>
          </cell>
          <cell r="EO30">
            <v>21</v>
          </cell>
          <cell r="EP30">
            <v>0.11475409836065574</v>
          </cell>
          <cell r="EQ30">
            <v>7.6292257179258957E-2</v>
          </cell>
          <cell r="ER30">
            <v>0.16905724453217186</v>
          </cell>
          <cell r="ES30" t="str">
            <v>Sig better than Eng.</v>
          </cell>
          <cell r="ET30">
            <v>157</v>
          </cell>
          <cell r="EU30">
            <v>16</v>
          </cell>
          <cell r="EV30">
            <v>0.10191082802547771</v>
          </cell>
          <cell r="EW30">
            <v>6.3707629183896414E-2</v>
          </cell>
          <cell r="EX30">
            <v>0.15912956144771889</v>
          </cell>
          <cell r="EY30" t="str">
            <v>Sig better than Eng.</v>
          </cell>
          <cell r="EZ30">
            <v>180</v>
          </cell>
          <cell r="FA30">
            <v>111</v>
          </cell>
          <cell r="FB30">
            <v>0.6166666666666667</v>
          </cell>
          <cell r="FC30">
            <v>0.54390527473114403</v>
          </cell>
          <cell r="FD30">
            <v>0.68455244242047963</v>
          </cell>
          <cell r="FE30">
            <v>180</v>
          </cell>
          <cell r="FF30">
            <v>34</v>
          </cell>
          <cell r="FG30">
            <v>36</v>
          </cell>
          <cell r="FH30">
            <v>26.111111111111114</v>
          </cell>
          <cell r="FI30">
            <v>0.23202614379084957</v>
          </cell>
          <cell r="FJ30">
            <v>216</v>
          </cell>
          <cell r="FK30">
            <v>130</v>
          </cell>
          <cell r="FL30">
            <v>0.60185185185185186</v>
          </cell>
          <cell r="FM30">
            <v>0.53533927843598739</v>
          </cell>
          <cell r="FN30">
            <v>0.66480495384863836</v>
          </cell>
          <cell r="FO30">
            <v>216</v>
          </cell>
          <cell r="FP30">
            <v>34</v>
          </cell>
          <cell r="FQ30">
            <v>43</v>
          </cell>
          <cell r="FR30">
            <v>24.302325581395348</v>
          </cell>
          <cell r="FS30">
            <v>0.28522571819425446</v>
          </cell>
          <cell r="FT30">
            <v>2458</v>
          </cell>
          <cell r="FU30">
            <v>2411</v>
          </cell>
          <cell r="FV30">
            <v>47</v>
          </cell>
          <cell r="FW30">
            <v>44</v>
          </cell>
          <cell r="FX30">
            <v>3</v>
          </cell>
          <cell r="FY30">
            <v>0.93617021276595747</v>
          </cell>
          <cell r="FZ30">
            <v>6.3829787234042548E-2</v>
          </cell>
          <cell r="GA30">
            <v>0.96952380952380945</v>
          </cell>
          <cell r="GB30">
            <v>3.047619047619048E-2</v>
          </cell>
          <cell r="GC30">
            <v>1.3974386294255415E-2</v>
          </cell>
          <cell r="GD30">
            <v>8.8247958700979443E-2</v>
          </cell>
          <cell r="GE30">
            <v>0.96285714285714286</v>
          </cell>
          <cell r="GF30">
            <v>3.7142857142857144E-2</v>
          </cell>
          <cell r="GG30">
            <v>1.9216974525702958E-2</v>
          </cell>
          <cell r="GH30">
            <v>0.10027032537346971</v>
          </cell>
          <cell r="GI30">
            <v>0.94946428571428565</v>
          </cell>
          <cell r="GJ30">
            <v>5.0535714285714281E-2</v>
          </cell>
          <cell r="GK30">
            <v>3.0601532803567904E-2</v>
          </cell>
          <cell r="GL30">
            <v>0.12341567690348033</v>
          </cell>
          <cell r="GM30">
            <v>0.8962286324786326</v>
          </cell>
          <cell r="GN30">
            <v>0.10377136752136751</v>
          </cell>
          <cell r="GO30">
            <v>6.3513981388531537E-2</v>
          </cell>
          <cell r="GP30">
            <v>0.18105039578114984</v>
          </cell>
          <cell r="GQ30">
            <v>45</v>
          </cell>
          <cell r="GR30">
            <v>44</v>
          </cell>
          <cell r="GS30">
            <v>43</v>
          </cell>
          <cell r="GT30">
            <v>43</v>
          </cell>
          <cell r="GU30">
            <v>44</v>
          </cell>
          <cell r="GV30">
            <v>36</v>
          </cell>
          <cell r="GW30">
            <v>33</v>
          </cell>
          <cell r="GX30">
            <v>32</v>
          </cell>
          <cell r="GY30">
            <v>35</v>
          </cell>
          <cell r="GZ30">
            <v>32</v>
          </cell>
          <cell r="HA30">
            <v>33</v>
          </cell>
          <cell r="HB30">
            <v>36</v>
          </cell>
          <cell r="HC30">
            <v>34</v>
          </cell>
          <cell r="HD30">
            <v>34</v>
          </cell>
          <cell r="HE30">
            <v>30</v>
          </cell>
          <cell r="HF30">
            <v>29</v>
          </cell>
          <cell r="HG30">
            <v>29</v>
          </cell>
          <cell r="HH30">
            <v>30</v>
          </cell>
          <cell r="HI30">
            <v>32</v>
          </cell>
          <cell r="HJ30">
            <v>30</v>
          </cell>
          <cell r="HK30">
            <v>33</v>
          </cell>
          <cell r="HL30">
            <v>31</v>
          </cell>
          <cell r="HM30">
            <v>31</v>
          </cell>
          <cell r="HN30">
            <v>19</v>
          </cell>
          <cell r="HO30">
            <v>2.0169851380042462E-2</v>
          </cell>
          <cell r="HP30">
            <v>1483</v>
          </cell>
          <cell r="HQ30">
            <v>1384</v>
          </cell>
          <cell r="HR30">
            <v>99</v>
          </cell>
          <cell r="HS30">
            <v>6.6756574511126099E-2</v>
          </cell>
        </row>
        <row r="31">
          <cell r="A31" t="str">
            <v>Rural Chichester</v>
          </cell>
          <cell r="C31" t="str">
            <v>Chichester</v>
          </cell>
          <cell r="D31" t="str">
            <v>Chichester Central</v>
          </cell>
          <cell r="E31" t="str">
            <v>Chichester</v>
          </cell>
          <cell r="F31" t="str">
            <v>Arch</v>
          </cell>
          <cell r="G31" t="str">
            <v>Boxgrove, Chichester North, Chichester West, Donnington, Funtington, Lavant, North Mundham, Sidlesham, Tangmere, Westbourne</v>
          </cell>
          <cell r="H31" t="str">
            <v>Chichester</v>
          </cell>
          <cell r="I31" t="str">
            <v>A</v>
          </cell>
          <cell r="J31" t="str">
            <v>Coastal West Sussex</v>
          </cell>
          <cell r="K31" t="str">
            <v>Chichester</v>
          </cell>
          <cell r="L31">
            <v>21745</v>
          </cell>
          <cell r="M31">
            <v>21680</v>
          </cell>
          <cell r="N31">
            <v>21900</v>
          </cell>
          <cell r="O31">
            <v>21990</v>
          </cell>
          <cell r="P31">
            <v>22135</v>
          </cell>
          <cell r="Q31">
            <v>22310</v>
          </cell>
          <cell r="R31">
            <v>22585</v>
          </cell>
          <cell r="S31">
            <v>22720</v>
          </cell>
          <cell r="T31">
            <v>22920</v>
          </cell>
          <cell r="U31">
            <v>23175</v>
          </cell>
          <cell r="V31">
            <v>1110</v>
          </cell>
          <cell r="W31">
            <v>1095</v>
          </cell>
          <cell r="X31">
            <v>1100</v>
          </cell>
          <cell r="Y31">
            <v>1115</v>
          </cell>
          <cell r="Z31">
            <v>1085</v>
          </cell>
          <cell r="AA31">
            <v>1110</v>
          </cell>
          <cell r="AB31">
            <v>1135</v>
          </cell>
          <cell r="AC31">
            <v>1105</v>
          </cell>
          <cell r="AD31">
            <v>1145</v>
          </cell>
          <cell r="AE31">
            <v>1145</v>
          </cell>
          <cell r="AF31">
            <v>0.92321589882565491</v>
          </cell>
          <cell r="AG31">
            <v>3.6133694670280034E-2</v>
          </cell>
          <cell r="AH31">
            <v>2.1680216802168022E-2</v>
          </cell>
          <cell r="AI31">
            <v>9.9367660343270096E-3</v>
          </cell>
          <cell r="AJ31">
            <v>1.8066847335140017E-3</v>
          </cell>
          <cell r="AK31">
            <v>7.2267389340560069E-3</v>
          </cell>
          <cell r="AL31">
            <v>7.6784101174345074E-2</v>
          </cell>
          <cell r="AM31">
            <v>2290</v>
          </cell>
          <cell r="AN31">
            <v>0.56968108344255131</v>
          </cell>
          <cell r="AO31">
            <v>0.23503713411970292</v>
          </cell>
          <cell r="AP31">
            <v>0.19528178243774574</v>
          </cell>
          <cell r="AQ31">
            <v>210</v>
          </cell>
          <cell r="AR31">
            <v>200</v>
          </cell>
          <cell r="AS31">
            <v>234</v>
          </cell>
          <cell r="AT31">
            <v>217</v>
          </cell>
          <cell r="AU31">
            <v>181</v>
          </cell>
          <cell r="AV31">
            <v>12</v>
          </cell>
          <cell r="AW31">
            <v>13</v>
          </cell>
          <cell r="AX31">
            <v>17</v>
          </cell>
          <cell r="AY31">
            <v>11</v>
          </cell>
          <cell r="AZ31">
            <v>12</v>
          </cell>
          <cell r="BA31">
            <v>5</v>
          </cell>
          <cell r="BB31">
            <v>2.7624309392265192E-2</v>
          </cell>
          <cell r="BC31">
            <v>1.1855936781179247E-2</v>
          </cell>
          <cell r="BD31">
            <v>6.302693261946242E-2</v>
          </cell>
          <cell r="BE31">
            <v>26</v>
          </cell>
          <cell r="BF31">
            <v>312</v>
          </cell>
          <cell r="BG31">
            <v>362</v>
          </cell>
          <cell r="BH31">
            <v>186</v>
          </cell>
          <cell r="BI31">
            <v>0.16446757547648186</v>
          </cell>
          <cell r="BJ31">
            <v>2468</v>
          </cell>
          <cell r="BK31">
            <v>4506</v>
          </cell>
          <cell r="BL31">
            <v>2479</v>
          </cell>
          <cell r="BM31">
            <v>1534</v>
          </cell>
          <cell r="BN31">
            <v>0</v>
          </cell>
          <cell r="BO31">
            <v>288</v>
          </cell>
          <cell r="BP31">
            <v>484</v>
          </cell>
          <cell r="BQ31">
            <v>173</v>
          </cell>
          <cell r="BR31">
            <v>115</v>
          </cell>
          <cell r="BS31">
            <v>100</v>
          </cell>
          <cell r="BT31">
            <v>100</v>
          </cell>
          <cell r="BU31">
            <v>484</v>
          </cell>
          <cell r="BV31">
            <v>157</v>
          </cell>
          <cell r="BW31">
            <v>0.32438016528925617</v>
          </cell>
          <cell r="BX31">
            <v>39</v>
          </cell>
          <cell r="BY31">
            <v>6</v>
          </cell>
          <cell r="BZ31">
            <v>268</v>
          </cell>
          <cell r="CA31">
            <v>2.7515400410677619E-2</v>
          </cell>
          <cell r="CB31">
            <v>165</v>
          </cell>
          <cell r="CC31">
            <v>180</v>
          </cell>
          <cell r="CD31">
            <v>180</v>
          </cell>
          <cell r="CE31">
            <v>155</v>
          </cell>
          <cell r="CF31">
            <v>455</v>
          </cell>
          <cell r="CG31">
            <v>0.11899999999999999</v>
          </cell>
          <cell r="CH31">
            <v>480</v>
          </cell>
          <cell r="CI31">
            <v>0.12423076923076923</v>
          </cell>
          <cell r="CJ31">
            <v>520</v>
          </cell>
          <cell r="CK31">
            <v>0.12946153846153849</v>
          </cell>
          <cell r="CL31">
            <v>500</v>
          </cell>
          <cell r="CM31">
            <v>0.11853846153846151</v>
          </cell>
          <cell r="CN31">
            <v>490</v>
          </cell>
          <cell r="CO31">
            <v>0.11215384615384615</v>
          </cell>
          <cell r="CP31">
            <v>430</v>
          </cell>
          <cell r="CQ31">
            <v>0.11154345006485085</v>
          </cell>
          <cell r="CR31">
            <v>204</v>
          </cell>
          <cell r="CS31">
            <v>20</v>
          </cell>
          <cell r="CT31">
            <v>184</v>
          </cell>
          <cell r="CU31">
            <v>0.90197211785948439</v>
          </cell>
          <cell r="CV31">
            <v>80</v>
          </cell>
          <cell r="CW31">
            <v>106</v>
          </cell>
          <cell r="CX31">
            <v>0.45657078592598954</v>
          </cell>
          <cell r="CY31">
            <v>0.59504290957910866</v>
          </cell>
          <cell r="CZ31">
            <v>0.3652107328102534</v>
          </cell>
          <cell r="DA31">
            <v>0.50702204203834245</v>
          </cell>
          <cell r="DB31">
            <v>0.50384253148518054</v>
          </cell>
          <cell r="DC31">
            <v>0.64521923119145763</v>
          </cell>
          <cell r="DD31">
            <v>160</v>
          </cell>
          <cell r="DE31">
            <v>19</v>
          </cell>
          <cell r="DF31">
            <v>0.11874999999999999</v>
          </cell>
          <cell r="DG31">
            <v>7.7354868005923477E-2</v>
          </cell>
          <cell r="DH31">
            <v>0.17802285581234925</v>
          </cell>
          <cell r="DI31" t="str">
            <v>No Sig diff</v>
          </cell>
          <cell r="DJ31">
            <v>205</v>
          </cell>
          <cell r="DK31">
            <v>13</v>
          </cell>
          <cell r="DL31">
            <v>6.3414634146341464E-2</v>
          </cell>
          <cell r="DM31">
            <v>3.7430869080185898E-2</v>
          </cell>
          <cell r="DN31">
            <v>0.1054596230146583</v>
          </cell>
          <cell r="DO31" t="str">
            <v>No Sig diff</v>
          </cell>
          <cell r="DP31">
            <v>206</v>
          </cell>
          <cell r="DQ31">
            <v>15</v>
          </cell>
          <cell r="DR31">
            <v>7.281553398058252E-2</v>
          </cell>
          <cell r="DS31">
            <v>4.4620647992736441E-2</v>
          </cell>
          <cell r="DT31">
            <v>0.11665090916704798</v>
          </cell>
          <cell r="DU31" t="str">
            <v>No Sig diff</v>
          </cell>
          <cell r="DV31">
            <v>187</v>
          </cell>
          <cell r="DW31">
            <v>11</v>
          </cell>
          <cell r="DX31">
            <v>5.8823529411764705E-2</v>
          </cell>
          <cell r="DY31">
            <v>3.3160194848180356E-2</v>
          </cell>
          <cell r="DZ31">
            <v>0.1022477976309254</v>
          </cell>
          <cell r="EA31" t="str">
            <v>No Sig diff</v>
          </cell>
          <cell r="EB31">
            <v>179</v>
          </cell>
          <cell r="EC31">
            <v>28</v>
          </cell>
          <cell r="ED31">
            <v>0.15642458100558659</v>
          </cell>
          <cell r="EE31">
            <v>0.11049727235884879</v>
          </cell>
          <cell r="EF31">
            <v>0.21678877757022358</v>
          </cell>
          <cell r="EG31" t="str">
            <v>No Sig diff</v>
          </cell>
          <cell r="EH31">
            <v>160</v>
          </cell>
          <cell r="EI31">
            <v>20</v>
          </cell>
          <cell r="EJ31">
            <v>0.125</v>
          </cell>
          <cell r="EK31">
            <v>8.2394535844441938E-2</v>
          </cell>
          <cell r="EL31">
            <v>0.18519011053418696</v>
          </cell>
          <cell r="EM31" t="str">
            <v>Sig better than Eng.</v>
          </cell>
          <cell r="EN31">
            <v>175</v>
          </cell>
          <cell r="EO31">
            <v>28</v>
          </cell>
          <cell r="EP31">
            <v>0.16</v>
          </cell>
          <cell r="EQ31">
            <v>0.11307943399181344</v>
          </cell>
          <cell r="ER31">
            <v>0.22152675416666595</v>
          </cell>
          <cell r="ES31" t="str">
            <v>No Sig diff</v>
          </cell>
          <cell r="ET31">
            <v>180</v>
          </cell>
          <cell r="EU31">
            <v>22</v>
          </cell>
          <cell r="EV31">
            <v>0.12222222222222222</v>
          </cell>
          <cell r="EW31">
            <v>8.2115405015210363E-2</v>
          </cell>
          <cell r="EX31">
            <v>0.17811674897000837</v>
          </cell>
          <cell r="EY31" t="str">
            <v>Sig better than Eng.</v>
          </cell>
          <cell r="EZ31">
            <v>230</v>
          </cell>
          <cell r="FA31">
            <v>120</v>
          </cell>
          <cell r="FB31">
            <v>0.52173913043478259</v>
          </cell>
          <cell r="FC31">
            <v>0.45735647256549594</v>
          </cell>
          <cell r="FD31">
            <v>0.5854075439199975</v>
          </cell>
          <cell r="FE31">
            <v>230</v>
          </cell>
          <cell r="FF31">
            <v>34</v>
          </cell>
          <cell r="FG31">
            <v>46</v>
          </cell>
          <cell r="FH31">
            <v>19.760869565217394</v>
          </cell>
          <cell r="FI31">
            <v>0.41879795396419428</v>
          </cell>
          <cell r="FJ31">
            <v>234</v>
          </cell>
          <cell r="FK31">
            <v>126</v>
          </cell>
          <cell r="FL31">
            <v>0.53846153846153844</v>
          </cell>
          <cell r="FM31">
            <v>0.4744816006810863</v>
          </cell>
          <cell r="FN31">
            <v>0.60119906529384781</v>
          </cell>
          <cell r="FO31">
            <v>234</v>
          </cell>
          <cell r="FP31">
            <v>34</v>
          </cell>
          <cell r="FQ31">
            <v>46</v>
          </cell>
          <cell r="FR31">
            <v>22.347826086956527</v>
          </cell>
          <cell r="FS31">
            <v>0.34271099744245509</v>
          </cell>
          <cell r="FT31">
            <v>3372</v>
          </cell>
          <cell r="FU31">
            <v>3112</v>
          </cell>
          <cell r="FV31">
            <v>260</v>
          </cell>
          <cell r="FW31">
            <v>221</v>
          </cell>
          <cell r="FX31">
            <v>39</v>
          </cell>
          <cell r="FY31">
            <v>0.85</v>
          </cell>
          <cell r="FZ31">
            <v>0.15</v>
          </cell>
          <cell r="GB31">
            <v>0.17647058823529413</v>
          </cell>
          <cell r="GC31">
            <v>9.5722957258098984E-2</v>
          </cell>
          <cell r="GD31">
            <v>0.30254405172778037</v>
          </cell>
          <cell r="GF31">
            <v>0.17647058823529413</v>
          </cell>
          <cell r="GG31">
            <v>9.5722957258098984E-2</v>
          </cell>
          <cell r="GH31">
            <v>0.30254405172778037</v>
          </cell>
          <cell r="GJ31">
            <v>0.18</v>
          </cell>
          <cell r="GK31">
            <v>9.7700827324537901E-2</v>
          </cell>
          <cell r="GL31">
            <v>0.30796319454702614</v>
          </cell>
          <cell r="GN31">
            <v>0.28000000000000003</v>
          </cell>
          <cell r="GO31">
            <v>0.17474014357680359</v>
          </cell>
          <cell r="GP31">
            <v>0.41665387145989663</v>
          </cell>
          <cell r="GQ31">
            <v>54</v>
          </cell>
          <cell r="GR31">
            <v>50</v>
          </cell>
          <cell r="GS31">
            <v>50</v>
          </cell>
          <cell r="GT31">
            <v>54</v>
          </cell>
          <cell r="GU31">
            <v>50</v>
          </cell>
          <cell r="GV31">
            <v>45</v>
          </cell>
          <cell r="GW31">
            <v>44</v>
          </cell>
          <cell r="GX31">
            <v>45</v>
          </cell>
          <cell r="GY31">
            <v>43</v>
          </cell>
          <cell r="GZ31">
            <v>45</v>
          </cell>
          <cell r="HA31">
            <v>45</v>
          </cell>
          <cell r="HB31">
            <v>43</v>
          </cell>
          <cell r="HC31">
            <v>45</v>
          </cell>
          <cell r="HD31">
            <v>69</v>
          </cell>
          <cell r="HE31">
            <v>67</v>
          </cell>
          <cell r="HF31">
            <v>65</v>
          </cell>
          <cell r="HG31">
            <v>66</v>
          </cell>
          <cell r="HH31">
            <v>66</v>
          </cell>
          <cell r="HI31">
            <v>67</v>
          </cell>
          <cell r="HJ31">
            <v>63</v>
          </cell>
          <cell r="HK31">
            <v>66</v>
          </cell>
          <cell r="HL31">
            <v>64</v>
          </cell>
          <cell r="HM31">
            <v>67</v>
          </cell>
          <cell r="HN31">
            <v>21</v>
          </cell>
          <cell r="HO31">
            <v>1.8987341772151899E-2</v>
          </cell>
          <cell r="HP31">
            <v>1723</v>
          </cell>
          <cell r="HQ31">
            <v>1581</v>
          </cell>
          <cell r="HR31">
            <v>142</v>
          </cell>
          <cell r="HS31">
            <v>8.2414393499709804E-2</v>
          </cell>
        </row>
        <row r="32">
          <cell r="A32" t="str">
            <v>Rural Henfield, Steyning and Upper Beeding</v>
          </cell>
          <cell r="C32" t="str">
            <v>Horsham</v>
          </cell>
          <cell r="D32" t="str">
            <v>Horsham Rural</v>
          </cell>
          <cell r="E32" t="str">
            <v>Horsham</v>
          </cell>
          <cell r="F32" t="str">
            <v>based on 2 sites</v>
          </cell>
          <cell r="G32" t="str">
            <v>Bramber, Upper Beeding and Woodmancote, Cowfold, Shermanbury and West Grinstead, Henfield, Nuthurst, Buckingham, Manor, Steyning</v>
          </cell>
          <cell r="H32" t="str">
            <v>Billingshurst, Steyning/Storrington</v>
          </cell>
          <cell r="I32" t="str">
            <v>C3/B</v>
          </cell>
          <cell r="J32" t="str">
            <v>Horsham and Mid Sussex</v>
          </cell>
          <cell r="K32" t="str">
            <v>Arundel and South Downs</v>
          </cell>
          <cell r="L32">
            <v>27235</v>
          </cell>
          <cell r="M32">
            <v>27490</v>
          </cell>
          <cell r="N32">
            <v>27485</v>
          </cell>
          <cell r="O32">
            <v>27665</v>
          </cell>
          <cell r="P32">
            <v>27665</v>
          </cell>
          <cell r="Q32">
            <v>27750</v>
          </cell>
          <cell r="R32">
            <v>27890</v>
          </cell>
          <cell r="S32">
            <v>27850</v>
          </cell>
          <cell r="T32">
            <v>27865</v>
          </cell>
          <cell r="U32">
            <v>27915</v>
          </cell>
          <cell r="V32">
            <v>1275</v>
          </cell>
          <cell r="W32">
            <v>1285</v>
          </cell>
          <cell r="X32">
            <v>1260</v>
          </cell>
          <cell r="Y32">
            <v>1305</v>
          </cell>
          <cell r="Z32">
            <v>1265</v>
          </cell>
          <cell r="AA32">
            <v>1265</v>
          </cell>
          <cell r="AB32">
            <v>1275</v>
          </cell>
          <cell r="AC32">
            <v>1280</v>
          </cell>
          <cell r="AD32">
            <v>1325</v>
          </cell>
          <cell r="AE32">
            <v>1305</v>
          </cell>
          <cell r="AF32">
            <v>0.93570875290472499</v>
          </cell>
          <cell r="AG32">
            <v>2.2463206816421378E-2</v>
          </cell>
          <cell r="AH32">
            <v>2.7110766847405113E-2</v>
          </cell>
          <cell r="AI32">
            <v>1.0069713400464756E-2</v>
          </cell>
          <cell r="AJ32">
            <v>1.5491866769945779E-3</v>
          </cell>
          <cell r="AK32">
            <v>3.0983733539891559E-3</v>
          </cell>
          <cell r="AL32">
            <v>6.4291247095274978E-2</v>
          </cell>
          <cell r="AM32">
            <v>2715</v>
          </cell>
          <cell r="AN32">
            <v>0.70202578268876614</v>
          </cell>
          <cell r="AO32">
            <v>0.11344383057090239</v>
          </cell>
          <cell r="AP32">
            <v>0.18453038674033148</v>
          </cell>
          <cell r="AQ32">
            <v>246</v>
          </cell>
          <cell r="AR32">
            <v>238</v>
          </cell>
          <cell r="AS32">
            <v>240</v>
          </cell>
          <cell r="AT32">
            <v>238</v>
          </cell>
          <cell r="AU32">
            <v>228</v>
          </cell>
          <cell r="AV32">
            <v>12</v>
          </cell>
          <cell r="AW32">
            <v>10</v>
          </cell>
          <cell r="AX32">
            <v>8</v>
          </cell>
          <cell r="AY32">
            <v>16</v>
          </cell>
          <cell r="AZ32">
            <v>9</v>
          </cell>
          <cell r="BA32">
            <v>14</v>
          </cell>
          <cell r="BB32">
            <v>6.1403508771929821E-2</v>
          </cell>
          <cell r="BC32">
            <v>3.6925597628576258E-2</v>
          </cell>
          <cell r="BD32">
            <v>0.10041592438677761</v>
          </cell>
          <cell r="BE32">
            <v>23</v>
          </cell>
          <cell r="BF32">
            <v>355</v>
          </cell>
          <cell r="BG32">
            <v>458</v>
          </cell>
          <cell r="BH32">
            <v>190</v>
          </cell>
          <cell r="BI32">
            <v>0.13331078684521894</v>
          </cell>
          <cell r="BJ32">
            <v>3084</v>
          </cell>
          <cell r="BK32">
            <v>5413</v>
          </cell>
          <cell r="BL32">
            <v>3469</v>
          </cell>
          <cell r="BM32">
            <v>2348</v>
          </cell>
          <cell r="BN32">
            <v>1</v>
          </cell>
          <cell r="BO32">
            <v>415</v>
          </cell>
          <cell r="BP32">
            <v>523</v>
          </cell>
          <cell r="BQ32">
            <v>182</v>
          </cell>
          <cell r="BR32">
            <v>110</v>
          </cell>
          <cell r="BS32">
            <v>105</v>
          </cell>
          <cell r="BT32">
            <v>85</v>
          </cell>
          <cell r="BU32">
            <v>497</v>
          </cell>
          <cell r="BV32">
            <v>134</v>
          </cell>
          <cell r="BW32">
            <v>0.26961770623742454</v>
          </cell>
          <cell r="BX32">
            <v>57</v>
          </cell>
          <cell r="BY32">
            <v>8</v>
          </cell>
          <cell r="BZ32">
            <v>280</v>
          </cell>
          <cell r="CA32">
            <v>2.3984923762206612E-2</v>
          </cell>
          <cell r="CB32">
            <v>160</v>
          </cell>
          <cell r="CC32">
            <v>160</v>
          </cell>
          <cell r="CD32">
            <v>135</v>
          </cell>
          <cell r="CE32">
            <v>120</v>
          </cell>
          <cell r="CF32">
            <v>405</v>
          </cell>
          <cell r="CG32">
            <v>8.0611111111111119E-2</v>
          </cell>
          <cell r="CH32">
            <v>425</v>
          </cell>
          <cell r="CI32">
            <v>7.5333333333333322E-2</v>
          </cell>
          <cell r="CJ32">
            <v>415</v>
          </cell>
          <cell r="CK32">
            <v>8.6388888888888904E-2</v>
          </cell>
          <cell r="CL32">
            <v>380</v>
          </cell>
          <cell r="CM32">
            <v>8.6000000000000021E-2</v>
          </cell>
          <cell r="CN32">
            <v>395</v>
          </cell>
          <cell r="CO32">
            <v>8.3666666666666653E-2</v>
          </cell>
          <cell r="CP32">
            <v>330</v>
          </cell>
          <cell r="CQ32">
            <v>7.3660714285714288E-2</v>
          </cell>
          <cell r="CR32">
            <v>242</v>
          </cell>
          <cell r="CS32">
            <v>2</v>
          </cell>
          <cell r="CT32">
            <v>240</v>
          </cell>
          <cell r="CU32">
            <v>0.99047619047619051</v>
          </cell>
          <cell r="CV32">
            <v>111</v>
          </cell>
          <cell r="CW32">
            <v>149</v>
          </cell>
          <cell r="CX32">
            <v>0.46062186270519612</v>
          </cell>
          <cell r="CY32">
            <v>0.62584221334221335</v>
          </cell>
          <cell r="CZ32">
            <v>0.40050631657407987</v>
          </cell>
          <cell r="DA32">
            <v>0.52567527016091531</v>
          </cell>
          <cell r="DB32">
            <v>0.5580016762847223</v>
          </cell>
          <cell r="DC32">
            <v>0.67985765534695974</v>
          </cell>
          <cell r="DD32">
            <v>231</v>
          </cell>
          <cell r="DE32">
            <v>14</v>
          </cell>
          <cell r="DF32">
            <v>6.0999999999999999E-2</v>
          </cell>
          <cell r="DG32">
            <v>3.5999999999999997E-2</v>
          </cell>
          <cell r="DH32">
            <v>9.9000000000000005E-2</v>
          </cell>
          <cell r="DI32" t="str">
            <v>No Sig diff</v>
          </cell>
          <cell r="DJ32">
            <v>230</v>
          </cell>
          <cell r="DK32">
            <v>15</v>
          </cell>
          <cell r="DL32">
            <v>6.5000000000000002E-2</v>
          </cell>
          <cell r="DM32">
            <v>0.04</v>
          </cell>
          <cell r="DN32">
            <v>0.105</v>
          </cell>
          <cell r="DO32" t="str">
            <v>No Sig diff</v>
          </cell>
          <cell r="DP32">
            <v>176</v>
          </cell>
          <cell r="DQ32">
            <v>13</v>
          </cell>
          <cell r="DR32">
            <v>7.3863636363636367E-2</v>
          </cell>
          <cell r="DS32">
            <v>4.3671472994869648E-2</v>
          </cell>
          <cell r="DT32">
            <v>0.12226055967645509</v>
          </cell>
          <cell r="DU32" t="str">
            <v>No Sig diff</v>
          </cell>
          <cell r="DV32">
            <v>236</v>
          </cell>
          <cell r="DW32">
            <v>18</v>
          </cell>
          <cell r="DX32">
            <v>7.6271186440677971E-2</v>
          </cell>
          <cell r="DY32">
            <v>4.8786992568433107E-2</v>
          </cell>
          <cell r="DZ32">
            <v>0.11732882000457022</v>
          </cell>
          <cell r="EA32" t="str">
            <v>No Sig diff</v>
          </cell>
          <cell r="EB32">
            <v>265</v>
          </cell>
          <cell r="EC32">
            <v>31</v>
          </cell>
          <cell r="ED32">
            <v>0.11700000000000001</v>
          </cell>
          <cell r="EE32">
            <v>8.4000000000000005E-2</v>
          </cell>
          <cell r="EF32">
            <v>0.161</v>
          </cell>
          <cell r="EG32" t="str">
            <v>Sig better than Eng.</v>
          </cell>
          <cell r="EH32">
            <v>230</v>
          </cell>
          <cell r="EI32">
            <v>31</v>
          </cell>
          <cell r="EJ32">
            <v>0.13500000000000001</v>
          </cell>
          <cell r="EK32">
            <v>9.7000000000000003E-2</v>
          </cell>
          <cell r="EL32">
            <v>0.185</v>
          </cell>
          <cell r="EM32" t="str">
            <v>Sig better than Eng.</v>
          </cell>
          <cell r="EN32">
            <v>219</v>
          </cell>
          <cell r="EO32">
            <v>30</v>
          </cell>
          <cell r="EP32">
            <v>0.13698630136986301</v>
          </cell>
          <cell r="EQ32">
            <v>9.7668720477282839E-2</v>
          </cell>
          <cell r="ER32">
            <v>0.18881952618270312</v>
          </cell>
          <cell r="ES32" t="str">
            <v>Sig better than Eng.</v>
          </cell>
          <cell r="ET32">
            <v>201</v>
          </cell>
          <cell r="EU32">
            <v>23</v>
          </cell>
          <cell r="EV32">
            <v>0.11442786069651742</v>
          </cell>
          <cell r="EW32">
            <v>7.7469981483862999E-2</v>
          </cell>
          <cell r="EX32">
            <v>0.16584726058050997</v>
          </cell>
          <cell r="EY32" t="str">
            <v>Sig better than Eng.</v>
          </cell>
          <cell r="EZ32">
            <v>270</v>
          </cell>
          <cell r="FA32">
            <v>155</v>
          </cell>
          <cell r="FB32">
            <v>0.57407407407407407</v>
          </cell>
          <cell r="FC32">
            <v>0.51445921214610213</v>
          </cell>
          <cell r="FD32">
            <v>0.63161070791735763</v>
          </cell>
          <cell r="FE32">
            <v>270</v>
          </cell>
          <cell r="FF32">
            <v>34</v>
          </cell>
          <cell r="FG32">
            <v>54</v>
          </cell>
          <cell r="FH32">
            <v>24.518518518518523</v>
          </cell>
          <cell r="FI32">
            <v>0.27886710239651402</v>
          </cell>
          <cell r="FJ32">
            <v>260</v>
          </cell>
          <cell r="FK32">
            <v>153</v>
          </cell>
          <cell r="FL32">
            <v>0.58846153846153848</v>
          </cell>
          <cell r="FM32">
            <v>0.52777950947191454</v>
          </cell>
          <cell r="FN32">
            <v>0.64656761628159143</v>
          </cell>
          <cell r="FO32">
            <v>260</v>
          </cell>
          <cell r="FP32">
            <v>34</v>
          </cell>
          <cell r="FQ32">
            <v>52</v>
          </cell>
          <cell r="FR32">
            <v>27.500000000000011</v>
          </cell>
          <cell r="FS32">
            <v>0.19117647058823498</v>
          </cell>
          <cell r="FT32">
            <v>3945</v>
          </cell>
          <cell r="FU32">
            <v>3878</v>
          </cell>
          <cell r="FV32">
            <v>67</v>
          </cell>
          <cell r="FW32">
            <v>60</v>
          </cell>
          <cell r="FX32">
            <v>7</v>
          </cell>
          <cell r="FY32">
            <v>0.89552238805970152</v>
          </cell>
          <cell r="FZ32">
            <v>0.1044776119402985</v>
          </cell>
          <cell r="GA32">
            <v>0.89917119917119925</v>
          </cell>
          <cell r="GB32">
            <v>0.10082880082880083</v>
          </cell>
          <cell r="GC32">
            <v>7.1581992836351707E-2</v>
          </cell>
          <cell r="GD32">
            <v>0.17759209866429901</v>
          </cell>
          <cell r="GE32">
            <v>0.9474488474488475</v>
          </cell>
          <cell r="GF32">
            <v>5.2551152551152558E-2</v>
          </cell>
          <cell r="GG32">
            <v>2.9236134754816855E-2</v>
          </cell>
          <cell r="GH32">
            <v>0.10870448882000433</v>
          </cell>
          <cell r="GI32">
            <v>0.90750453250453256</v>
          </cell>
          <cell r="GJ32">
            <v>9.2495467495467498E-2</v>
          </cell>
          <cell r="GK32">
            <v>7.1581992836351707E-2</v>
          </cell>
          <cell r="GL32">
            <v>0.17759209866429901</v>
          </cell>
          <cell r="GM32">
            <v>0.80558793058793066</v>
          </cell>
          <cell r="GN32">
            <v>0.19441206941206943</v>
          </cell>
          <cell r="GO32">
            <v>0.15442678106920676</v>
          </cell>
          <cell r="GP32">
            <v>0.28940587930164563</v>
          </cell>
          <cell r="GQ32">
            <v>81</v>
          </cell>
          <cell r="GR32">
            <v>79</v>
          </cell>
          <cell r="GS32">
            <v>80</v>
          </cell>
          <cell r="GT32">
            <v>80</v>
          </cell>
          <cell r="GU32">
            <v>80</v>
          </cell>
          <cell r="GV32">
            <v>51</v>
          </cell>
          <cell r="GW32">
            <v>48</v>
          </cell>
          <cell r="GX32">
            <v>49</v>
          </cell>
          <cell r="GY32">
            <v>48</v>
          </cell>
          <cell r="GZ32">
            <v>49</v>
          </cell>
          <cell r="HA32">
            <v>51</v>
          </cell>
          <cell r="HB32">
            <v>47</v>
          </cell>
          <cell r="HC32">
            <v>49</v>
          </cell>
          <cell r="HD32">
            <v>71</v>
          </cell>
          <cell r="HE32">
            <v>69</v>
          </cell>
          <cell r="HF32">
            <v>65</v>
          </cell>
          <cell r="HG32">
            <v>67</v>
          </cell>
          <cell r="HH32">
            <v>66</v>
          </cell>
          <cell r="HI32">
            <v>69</v>
          </cell>
          <cell r="HJ32">
            <v>67</v>
          </cell>
          <cell r="HK32">
            <v>68</v>
          </cell>
          <cell r="HL32">
            <v>70</v>
          </cell>
          <cell r="HM32">
            <v>69</v>
          </cell>
          <cell r="HN32">
            <v>19</v>
          </cell>
          <cell r="HO32">
            <v>1.4740108611326609E-2</v>
          </cell>
          <cell r="HP32">
            <v>2032</v>
          </cell>
          <cell r="HQ32">
            <v>1891</v>
          </cell>
          <cell r="HR32">
            <v>141</v>
          </cell>
          <cell r="HS32">
            <v>6.9389763779527561E-2</v>
          </cell>
        </row>
        <row r="33">
          <cell r="A33" t="str">
            <v>Rural Horsham</v>
          </cell>
          <cell r="C33" t="str">
            <v>Horsham</v>
          </cell>
          <cell r="D33" t="str">
            <v>Horsham Rural</v>
          </cell>
          <cell r="E33" t="str">
            <v>Horsham</v>
          </cell>
          <cell r="F33" t="str">
            <v>Chanctonbury</v>
          </cell>
          <cell r="G33" t="str">
            <v>Billingshurst and Shipley, Broadbridge Heath, Itchingfield, Slinfold and Warnham, Rudgwick, Rusper and Colgate</v>
          </cell>
          <cell r="H33" t="str">
            <v>Billingshurst</v>
          </cell>
          <cell r="I33" t="str">
            <v>C3</v>
          </cell>
          <cell r="J33" t="str">
            <v>Coastal West Sussex</v>
          </cell>
          <cell r="K33" t="str">
            <v>Horsham</v>
          </cell>
          <cell r="L33">
            <v>14005</v>
          </cell>
          <cell r="M33">
            <v>14120</v>
          </cell>
          <cell r="N33">
            <v>14350</v>
          </cell>
          <cell r="O33">
            <v>14600</v>
          </cell>
          <cell r="P33">
            <v>14705</v>
          </cell>
          <cell r="Q33">
            <v>14730</v>
          </cell>
          <cell r="R33">
            <v>14765</v>
          </cell>
          <cell r="S33">
            <v>14770</v>
          </cell>
          <cell r="T33">
            <v>14845</v>
          </cell>
          <cell r="U33">
            <v>15110</v>
          </cell>
          <cell r="V33">
            <v>785</v>
          </cell>
          <cell r="W33">
            <v>780</v>
          </cell>
          <cell r="X33">
            <v>795</v>
          </cell>
          <cell r="Y33">
            <v>825</v>
          </cell>
          <cell r="Z33">
            <v>825</v>
          </cell>
          <cell r="AA33">
            <v>785</v>
          </cell>
          <cell r="AB33">
            <v>765</v>
          </cell>
          <cell r="AC33">
            <v>780</v>
          </cell>
          <cell r="AD33">
            <v>730</v>
          </cell>
          <cell r="AE33">
            <v>790</v>
          </cell>
          <cell r="AF33">
            <v>0.91592356687898091</v>
          </cell>
          <cell r="AG33">
            <v>4.2038216560509552E-2</v>
          </cell>
          <cell r="AH33">
            <v>2.6751592356687899E-2</v>
          </cell>
          <cell r="AI33">
            <v>1.4012738853503185E-2</v>
          </cell>
          <cell r="AJ33">
            <v>1.2738853503184713E-3</v>
          </cell>
          <cell r="AK33">
            <v>0</v>
          </cell>
          <cell r="AL33">
            <v>8.4076433121019103E-2</v>
          </cell>
          <cell r="AM33">
            <v>1660</v>
          </cell>
          <cell r="AN33">
            <v>0.67108433734939754</v>
          </cell>
          <cell r="AO33">
            <v>0.16385542168674699</v>
          </cell>
          <cell r="AP33">
            <v>0.16506024096385541</v>
          </cell>
          <cell r="AQ33">
            <v>122</v>
          </cell>
          <cell r="AR33">
            <v>155</v>
          </cell>
          <cell r="AS33">
            <v>123</v>
          </cell>
          <cell r="AT33">
            <v>135</v>
          </cell>
          <cell r="AU33">
            <v>134</v>
          </cell>
          <cell r="AV33">
            <v>4</v>
          </cell>
          <cell r="AW33">
            <v>5</v>
          </cell>
          <cell r="AX33">
            <v>1</v>
          </cell>
          <cell r="AY33">
            <v>3</v>
          </cell>
          <cell r="AZ33">
            <v>4</v>
          </cell>
          <cell r="BA33">
            <v>9</v>
          </cell>
          <cell r="BB33">
            <v>6.7164179104477612E-2</v>
          </cell>
          <cell r="BC33">
            <v>3.573460604589504E-2</v>
          </cell>
          <cell r="BD33">
            <v>0.12271887382554017</v>
          </cell>
          <cell r="BE33">
            <v>6</v>
          </cell>
          <cell r="BF33">
            <v>221</v>
          </cell>
          <cell r="BG33">
            <v>276</v>
          </cell>
          <cell r="BH33">
            <v>114</v>
          </cell>
          <cell r="BI33">
            <v>0.14875269216837225</v>
          </cell>
          <cell r="BJ33">
            <v>1769</v>
          </cell>
          <cell r="BK33">
            <v>3153</v>
          </cell>
          <cell r="BL33">
            <v>1642</v>
          </cell>
          <cell r="BM33">
            <v>1054</v>
          </cell>
          <cell r="BN33">
            <v>0</v>
          </cell>
          <cell r="BO33">
            <v>190</v>
          </cell>
          <cell r="BP33">
            <v>298</v>
          </cell>
          <cell r="BQ33">
            <v>100</v>
          </cell>
          <cell r="BR33">
            <v>75</v>
          </cell>
          <cell r="BS33">
            <v>55</v>
          </cell>
          <cell r="BT33">
            <v>45</v>
          </cell>
          <cell r="BU33">
            <v>303</v>
          </cell>
          <cell r="BV33">
            <v>102</v>
          </cell>
          <cell r="BW33">
            <v>0.33663366336633666</v>
          </cell>
          <cell r="BX33">
            <v>32</v>
          </cell>
          <cell r="BY33">
            <v>6</v>
          </cell>
          <cell r="BZ33">
            <v>170</v>
          </cell>
          <cell r="CA33">
            <v>2.8504359490274984E-2</v>
          </cell>
          <cell r="CB33">
            <v>95</v>
          </cell>
          <cell r="CC33">
            <v>80</v>
          </cell>
          <cell r="CD33">
            <v>80</v>
          </cell>
          <cell r="CE33">
            <v>85</v>
          </cell>
          <cell r="CF33">
            <v>245</v>
          </cell>
          <cell r="CG33">
            <v>8.4000000000000019E-2</v>
          </cell>
          <cell r="CH33">
            <v>260</v>
          </cell>
          <cell r="CI33">
            <v>8.8625000000000009E-2</v>
          </cell>
          <cell r="CJ33">
            <v>270</v>
          </cell>
          <cell r="CK33">
            <v>9.3500000000000014E-2</v>
          </cell>
          <cell r="CL33">
            <v>270</v>
          </cell>
          <cell r="CM33">
            <v>9.2000000000000012E-2</v>
          </cell>
          <cell r="CN33">
            <v>250</v>
          </cell>
          <cell r="CO33">
            <v>8.5499999999999993E-2</v>
          </cell>
          <cell r="CP33">
            <v>240</v>
          </cell>
          <cell r="CQ33">
            <v>9.03954802259887E-2</v>
          </cell>
          <cell r="CR33">
            <v>142</v>
          </cell>
          <cell r="CS33">
            <v>8</v>
          </cell>
          <cell r="CT33">
            <v>134</v>
          </cell>
          <cell r="CU33">
            <v>0.94747924685521445</v>
          </cell>
          <cell r="CV33">
            <v>52</v>
          </cell>
          <cell r="CW33">
            <v>71</v>
          </cell>
          <cell r="CX33">
            <v>0.40079365079365081</v>
          </cell>
          <cell r="CY33">
            <v>0.53690476190476188</v>
          </cell>
          <cell r="CZ33">
            <v>0.30976736607385452</v>
          </cell>
          <cell r="DA33">
            <v>0.47259151542490918</v>
          </cell>
          <cell r="DB33">
            <v>0.44569249320882598</v>
          </cell>
          <cell r="DC33">
            <v>0.61234513839150362</v>
          </cell>
          <cell r="DD33">
            <v>145</v>
          </cell>
          <cell r="DE33">
            <v>10</v>
          </cell>
          <cell r="DF33">
            <v>6.8965517241379309E-2</v>
          </cell>
          <cell r="DG33">
            <v>3.7888953275645364E-2</v>
          </cell>
          <cell r="DH33">
            <v>0.12229127479787401</v>
          </cell>
          <cell r="DI33" t="str">
            <v>No Sig diff</v>
          </cell>
          <cell r="DJ33">
            <v>131</v>
          </cell>
          <cell r="DK33">
            <v>13</v>
          </cell>
          <cell r="DL33">
            <v>9.9236641221374045E-2</v>
          </cell>
          <cell r="DM33">
            <v>5.8914886907542818E-2</v>
          </cell>
          <cell r="DN33">
            <v>0.16239285539726198</v>
          </cell>
          <cell r="DO33" t="str">
            <v>No Sig diff</v>
          </cell>
          <cell r="DP33">
            <v>82</v>
          </cell>
          <cell r="DQ33">
            <v>6</v>
          </cell>
          <cell r="DR33">
            <v>7.3170731707317069E-2</v>
          </cell>
          <cell r="DS33">
            <v>3.3964777256659195E-2</v>
          </cell>
          <cell r="DT33">
            <v>0.15057843808854837</v>
          </cell>
          <cell r="DU33" t="str">
            <v>No Sig diff</v>
          </cell>
          <cell r="DV33">
            <v>122</v>
          </cell>
          <cell r="DW33">
            <v>13</v>
          </cell>
          <cell r="DX33">
            <v>0.10655737704918032</v>
          </cell>
          <cell r="DY33">
            <v>6.3336996121428416E-2</v>
          </cell>
          <cell r="DZ33">
            <v>0.1737983573650079</v>
          </cell>
          <cell r="EA33" t="str">
            <v>No Sig diff</v>
          </cell>
          <cell r="EB33">
            <v>123</v>
          </cell>
          <cell r="EC33">
            <v>23</v>
          </cell>
          <cell r="ED33">
            <v>0.18699186991869918</v>
          </cell>
          <cell r="EE33">
            <v>0.12795837432731735</v>
          </cell>
          <cell r="EF33">
            <v>0.26498458993763258</v>
          </cell>
          <cell r="EG33" t="str">
            <v>No Sig diff</v>
          </cell>
          <cell r="EH33">
            <v>128</v>
          </cell>
          <cell r="EI33">
            <v>18</v>
          </cell>
          <cell r="EJ33">
            <v>0.140625</v>
          </cell>
          <cell r="EK33">
            <v>9.083969494262252E-2</v>
          </cell>
          <cell r="EL33">
            <v>0.21135249237896167</v>
          </cell>
          <cell r="EM33" t="str">
            <v>No Sig diff</v>
          </cell>
          <cell r="EN33">
            <v>125</v>
          </cell>
          <cell r="EO33">
            <v>19</v>
          </cell>
          <cell r="EP33">
            <v>0.152</v>
          </cell>
          <cell r="EQ33">
            <v>9.9520834204329611E-2</v>
          </cell>
          <cell r="ER33">
            <v>0.22523067981666553</v>
          </cell>
          <cell r="ES33" t="str">
            <v>No Sig diff</v>
          </cell>
          <cell r="ET33">
            <v>103</v>
          </cell>
          <cell r="EU33">
            <v>18</v>
          </cell>
          <cell r="EV33">
            <v>0.17475728155339806</v>
          </cell>
          <cell r="EW33">
            <v>0.11349896556855764</v>
          </cell>
          <cell r="EX33">
            <v>0.25940364415299016</v>
          </cell>
          <cell r="EY33" t="str">
            <v>No Sig diff</v>
          </cell>
          <cell r="EZ33">
            <v>152</v>
          </cell>
          <cell r="FA33">
            <v>85</v>
          </cell>
          <cell r="FB33">
            <v>0.55921052631578949</v>
          </cell>
          <cell r="FC33">
            <v>0.47978845905599204</v>
          </cell>
          <cell r="FD33">
            <v>0.63571353981011325</v>
          </cell>
          <cell r="FE33">
            <v>152</v>
          </cell>
          <cell r="FF33">
            <v>34</v>
          </cell>
          <cell r="FG33">
            <v>30</v>
          </cell>
          <cell r="FH33">
            <v>24.766666666666669</v>
          </cell>
          <cell r="FI33">
            <v>0.27156862745098032</v>
          </cell>
          <cell r="FJ33">
            <v>150</v>
          </cell>
          <cell r="FK33">
            <v>89</v>
          </cell>
          <cell r="FL33">
            <v>0.59333333333333338</v>
          </cell>
          <cell r="FM33">
            <v>0.51334665051332073</v>
          </cell>
          <cell r="FN33">
            <v>0.668658903871305</v>
          </cell>
          <cell r="FO33">
            <v>150</v>
          </cell>
          <cell r="FP33">
            <v>34</v>
          </cell>
          <cell r="FQ33">
            <v>30</v>
          </cell>
          <cell r="FR33">
            <v>26.6</v>
          </cell>
          <cell r="FS33">
            <v>0.21764705882352936</v>
          </cell>
          <cell r="FT33">
            <v>2449</v>
          </cell>
          <cell r="FU33">
            <v>2382</v>
          </cell>
          <cell r="FV33">
            <v>67</v>
          </cell>
          <cell r="FW33">
            <v>52</v>
          </cell>
          <cell r="FX33">
            <v>15</v>
          </cell>
          <cell r="FY33">
            <v>0.77611940298507465</v>
          </cell>
          <cell r="FZ33">
            <v>0.22388059701492538</v>
          </cell>
          <cell r="GA33">
            <v>0.900595238095238</v>
          </cell>
          <cell r="GB33">
            <v>9.9404761904761912E-2</v>
          </cell>
          <cell r="GC33">
            <v>3.9457573336373918E-2</v>
          </cell>
          <cell r="GD33">
            <v>0.19577736249133981</v>
          </cell>
          <cell r="GE33">
            <v>0.91845238095238091</v>
          </cell>
          <cell r="GF33">
            <v>8.1547619047619049E-2</v>
          </cell>
          <cell r="GG33">
            <v>2.864359650368855E-2</v>
          </cell>
          <cell r="GH33">
            <v>0.17260178091636799</v>
          </cell>
          <cell r="GI33">
            <v>0.88511904761904758</v>
          </cell>
          <cell r="GJ33">
            <v>0.11488095238095238</v>
          </cell>
          <cell r="GK33">
            <v>5.0966556283051322E-2</v>
          </cell>
          <cell r="GL33">
            <v>0.21825793795231954</v>
          </cell>
          <cell r="GM33">
            <v>0.76557539682539688</v>
          </cell>
          <cell r="GN33">
            <v>0.23442460317460317</v>
          </cell>
          <cell r="GO33">
            <v>0.13195287989578958</v>
          </cell>
          <cell r="GP33">
            <v>0.34938926831587819</v>
          </cell>
          <cell r="GQ33">
            <v>40</v>
          </cell>
          <cell r="GR33">
            <v>39</v>
          </cell>
          <cell r="GS33">
            <v>39</v>
          </cell>
          <cell r="GT33">
            <v>39</v>
          </cell>
          <cell r="GU33">
            <v>39</v>
          </cell>
          <cell r="GV33">
            <v>33</v>
          </cell>
          <cell r="GW33">
            <v>32</v>
          </cell>
          <cell r="GX33">
            <v>33</v>
          </cell>
          <cell r="GY33">
            <v>32</v>
          </cell>
          <cell r="GZ33">
            <v>33</v>
          </cell>
          <cell r="HA33">
            <v>33</v>
          </cell>
          <cell r="HB33">
            <v>32</v>
          </cell>
          <cell r="HC33">
            <v>33</v>
          </cell>
          <cell r="HD33">
            <v>45</v>
          </cell>
          <cell r="HE33">
            <v>39</v>
          </cell>
          <cell r="HF33">
            <v>42</v>
          </cell>
          <cell r="HG33">
            <v>37</v>
          </cell>
          <cell r="HH33">
            <v>42</v>
          </cell>
          <cell r="HI33">
            <v>43</v>
          </cell>
          <cell r="HJ33">
            <v>38</v>
          </cell>
          <cell r="HK33">
            <v>39</v>
          </cell>
          <cell r="HL33">
            <v>38</v>
          </cell>
          <cell r="HM33">
            <v>43</v>
          </cell>
          <cell r="HN33">
            <v>13</v>
          </cell>
          <cell r="HO33">
            <v>1.6602809706257982E-2</v>
          </cell>
          <cell r="HP33">
            <v>1220</v>
          </cell>
          <cell r="HQ33">
            <v>1127</v>
          </cell>
          <cell r="HR33">
            <v>93</v>
          </cell>
          <cell r="HS33">
            <v>7.6229508196721307E-2</v>
          </cell>
        </row>
        <row r="34">
          <cell r="A34" t="str">
            <v>Selsey</v>
          </cell>
          <cell r="C34" t="str">
            <v>Chichester</v>
          </cell>
          <cell r="D34" t="str">
            <v>Chichester Rural</v>
          </cell>
          <cell r="E34" t="str">
            <v>Chichester</v>
          </cell>
          <cell r="F34" t="str">
            <v>Arch</v>
          </cell>
          <cell r="G34" t="str">
            <v>East Wittering, Selsey North, Selsey South, Sidlesham, West Wittering</v>
          </cell>
          <cell r="H34" t="str">
            <v>Manhood</v>
          </cell>
          <cell r="I34" t="str">
            <v>A</v>
          </cell>
          <cell r="J34" t="str">
            <v>Coastal West Sussex</v>
          </cell>
          <cell r="K34" t="str">
            <v>Chichester</v>
          </cell>
          <cell r="L34">
            <v>20565</v>
          </cell>
          <cell r="M34">
            <v>20845</v>
          </cell>
          <cell r="N34">
            <v>21190</v>
          </cell>
          <cell r="O34">
            <v>21470</v>
          </cell>
          <cell r="P34">
            <v>21585</v>
          </cell>
          <cell r="Q34">
            <v>21515</v>
          </cell>
          <cell r="R34">
            <v>21515</v>
          </cell>
          <cell r="S34">
            <v>21455</v>
          </cell>
          <cell r="T34">
            <v>21385</v>
          </cell>
          <cell r="U34">
            <v>21365</v>
          </cell>
          <cell r="V34">
            <v>740</v>
          </cell>
          <cell r="W34">
            <v>740</v>
          </cell>
          <cell r="X34">
            <v>770</v>
          </cell>
          <cell r="Y34">
            <v>825</v>
          </cell>
          <cell r="Z34">
            <v>875</v>
          </cell>
          <cell r="AA34">
            <v>890</v>
          </cell>
          <cell r="AB34">
            <v>885</v>
          </cell>
          <cell r="AC34">
            <v>890</v>
          </cell>
          <cell r="AD34">
            <v>910</v>
          </cell>
          <cell r="AE34">
            <v>885</v>
          </cell>
          <cell r="AF34">
            <v>0.94813979706877116</v>
          </cell>
          <cell r="AG34">
            <v>3.269447576099211E-2</v>
          </cell>
          <cell r="AH34">
            <v>1.2401352874859075E-2</v>
          </cell>
          <cell r="AI34">
            <v>5.6369785794813977E-3</v>
          </cell>
          <cell r="AJ34">
            <v>1.1273957158962795E-3</v>
          </cell>
          <cell r="AK34">
            <v>0</v>
          </cell>
          <cell r="AL34">
            <v>5.1860202931228859E-2</v>
          </cell>
          <cell r="AM34">
            <v>1790</v>
          </cell>
          <cell r="AN34">
            <v>0.61353467561521258</v>
          </cell>
          <cell r="AO34">
            <v>0.13646532438478748</v>
          </cell>
          <cell r="AP34">
            <v>0.25</v>
          </cell>
          <cell r="AQ34">
            <v>201</v>
          </cell>
          <cell r="AR34">
            <v>175</v>
          </cell>
          <cell r="AS34">
            <v>189</v>
          </cell>
          <cell r="AT34">
            <v>190</v>
          </cell>
          <cell r="AU34">
            <v>177</v>
          </cell>
          <cell r="AV34">
            <v>15</v>
          </cell>
          <cell r="AW34">
            <v>11</v>
          </cell>
          <cell r="AX34">
            <v>14</v>
          </cell>
          <cell r="AY34">
            <v>11</v>
          </cell>
          <cell r="AZ34">
            <v>12</v>
          </cell>
          <cell r="BA34">
            <v>19</v>
          </cell>
          <cell r="BB34">
            <v>0.10734463276836158</v>
          </cell>
          <cell r="BC34">
            <v>6.9804882037872676E-2</v>
          </cell>
          <cell r="BD34">
            <v>0.16156606074013427</v>
          </cell>
          <cell r="BE34">
            <v>20</v>
          </cell>
          <cell r="BF34">
            <v>259</v>
          </cell>
          <cell r="BG34">
            <v>270</v>
          </cell>
          <cell r="BH34">
            <v>166</v>
          </cell>
          <cell r="BI34">
            <v>0.15413943008047112</v>
          </cell>
          <cell r="BJ34">
            <v>1966</v>
          </cell>
          <cell r="BK34">
            <v>3509</v>
          </cell>
          <cell r="BL34">
            <v>1980</v>
          </cell>
          <cell r="BM34">
            <v>1107</v>
          </cell>
          <cell r="BN34">
            <v>3</v>
          </cell>
          <cell r="BO34">
            <v>259</v>
          </cell>
          <cell r="BP34">
            <v>429</v>
          </cell>
          <cell r="BQ34">
            <v>182</v>
          </cell>
          <cell r="BR34">
            <v>145</v>
          </cell>
          <cell r="BS34">
            <v>105</v>
          </cell>
          <cell r="BT34">
            <v>100</v>
          </cell>
          <cell r="BU34">
            <v>427</v>
          </cell>
          <cell r="BV34">
            <v>142</v>
          </cell>
          <cell r="BW34">
            <v>0.33255269320843089</v>
          </cell>
          <cell r="BX34">
            <v>39</v>
          </cell>
          <cell r="BY34">
            <v>4</v>
          </cell>
          <cell r="BZ34">
            <v>306</v>
          </cell>
          <cell r="CA34">
            <v>3.1436202999794535E-2</v>
          </cell>
          <cell r="CB34">
            <v>170</v>
          </cell>
          <cell r="CC34">
            <v>150</v>
          </cell>
          <cell r="CD34">
            <v>165</v>
          </cell>
          <cell r="CE34">
            <v>170</v>
          </cell>
          <cell r="CF34">
            <v>490</v>
          </cell>
          <cell r="CG34">
            <v>0.14400000000000004</v>
          </cell>
          <cell r="CH34">
            <v>525</v>
          </cell>
          <cell r="CI34">
            <v>0.14028571428571429</v>
          </cell>
          <cell r="CJ34">
            <v>555</v>
          </cell>
          <cell r="CK34">
            <v>0.1622142857142857</v>
          </cell>
          <cell r="CL34">
            <v>490</v>
          </cell>
          <cell r="CM34">
            <v>0.15200000000000005</v>
          </cell>
          <cell r="CN34">
            <v>520</v>
          </cell>
          <cell r="CO34">
            <v>0.14157142857142854</v>
          </cell>
          <cell r="CP34">
            <v>450</v>
          </cell>
          <cell r="CQ34">
            <v>0.14285714285714285</v>
          </cell>
          <cell r="CR34">
            <v>173</v>
          </cell>
          <cell r="CS34">
            <v>21</v>
          </cell>
          <cell r="CT34">
            <v>152</v>
          </cell>
          <cell r="CU34">
            <v>0.87554299579069161</v>
          </cell>
          <cell r="CV34">
            <v>48</v>
          </cell>
          <cell r="CW34">
            <v>66</v>
          </cell>
          <cell r="CX34">
            <v>0.35143869513617415</v>
          </cell>
          <cell r="CY34">
            <v>0.47400011286565907</v>
          </cell>
          <cell r="CZ34">
            <v>0.24720854569312695</v>
          </cell>
          <cell r="DA34">
            <v>0.39345222781022515</v>
          </cell>
          <cell r="DB34">
            <v>0.35799524971462582</v>
          </cell>
          <cell r="DC34">
            <v>0.5136693122508571</v>
          </cell>
          <cell r="DD34">
            <v>191</v>
          </cell>
          <cell r="DE34">
            <v>20</v>
          </cell>
          <cell r="DF34">
            <v>0.10471204188481675</v>
          </cell>
          <cell r="DG34">
            <v>6.8812850350840088E-2</v>
          </cell>
          <cell r="DH34">
            <v>0.15619808462188514</v>
          </cell>
          <cell r="DI34" t="str">
            <v>No Sig diff</v>
          </cell>
          <cell r="DJ34">
            <v>162</v>
          </cell>
          <cell r="DK34">
            <v>19</v>
          </cell>
          <cell r="DL34">
            <v>0.11728395061728394</v>
          </cell>
          <cell r="DM34">
            <v>7.6382886848500614E-2</v>
          </cell>
          <cell r="DN34">
            <v>0.1759150555250806</v>
          </cell>
          <cell r="DO34" t="str">
            <v>No Sig diff</v>
          </cell>
          <cell r="DP34">
            <v>179</v>
          </cell>
          <cell r="DQ34">
            <v>16</v>
          </cell>
          <cell r="DR34">
            <v>8.9385474860335198E-2</v>
          </cell>
          <cell r="DS34">
            <v>5.5768700800059426E-2</v>
          </cell>
          <cell r="DT34">
            <v>0.14025609057858801</v>
          </cell>
          <cell r="DU34" t="str">
            <v>No Sig diff</v>
          </cell>
          <cell r="DV34">
            <v>176</v>
          </cell>
          <cell r="DW34">
            <v>30</v>
          </cell>
          <cell r="DX34">
            <v>0.17045454545454544</v>
          </cell>
          <cell r="DY34">
            <v>0.12208717509263066</v>
          </cell>
          <cell r="DZ34">
            <v>0.23290026350652712</v>
          </cell>
          <cell r="EA34" t="str">
            <v>Sig worse than Eng.</v>
          </cell>
          <cell r="EB34">
            <v>165</v>
          </cell>
          <cell r="EC34">
            <v>31</v>
          </cell>
          <cell r="ED34">
            <v>0.18787878787878787</v>
          </cell>
          <cell r="EE34">
            <v>0.13563438589221086</v>
          </cell>
          <cell r="EF34">
            <v>0.25432587197677792</v>
          </cell>
          <cell r="EG34" t="str">
            <v>No Sig diff</v>
          </cell>
          <cell r="EH34">
            <v>159</v>
          </cell>
          <cell r="EI34">
            <v>31</v>
          </cell>
          <cell r="EJ34">
            <v>0.19496855345911951</v>
          </cell>
          <cell r="EK34">
            <v>0.14089118738057674</v>
          </cell>
          <cell r="EL34">
            <v>0.26343741110730967</v>
          </cell>
          <cell r="EM34" t="str">
            <v>No Sig diff</v>
          </cell>
          <cell r="EN34">
            <v>156</v>
          </cell>
          <cell r="EO34">
            <v>22</v>
          </cell>
          <cell r="EP34">
            <v>0.14102564102564102</v>
          </cell>
          <cell r="EQ34">
            <v>9.5011143828233793E-2</v>
          </cell>
          <cell r="ER34">
            <v>0.20429455053708973</v>
          </cell>
          <cell r="ES34" t="str">
            <v>No Sig diff</v>
          </cell>
          <cell r="ET34">
            <v>156</v>
          </cell>
          <cell r="EU34">
            <v>30</v>
          </cell>
          <cell r="EV34">
            <v>0.19230769230769232</v>
          </cell>
          <cell r="EW34">
            <v>0.13815889455002239</v>
          </cell>
          <cell r="EX34">
            <v>0.2612459863345406</v>
          </cell>
          <cell r="EY34" t="str">
            <v>No Sig diff</v>
          </cell>
          <cell r="EZ34">
            <v>198</v>
          </cell>
          <cell r="FA34">
            <v>122</v>
          </cell>
          <cell r="FB34">
            <v>0.61616161616161613</v>
          </cell>
          <cell r="FC34">
            <v>0.54682338136658892</v>
          </cell>
          <cell r="FD34">
            <v>0.68107826118378578</v>
          </cell>
          <cell r="FE34">
            <v>198</v>
          </cell>
          <cell r="FF34">
            <v>34</v>
          </cell>
          <cell r="FG34">
            <v>39</v>
          </cell>
          <cell r="FH34">
            <v>25.512820512820511</v>
          </cell>
          <cell r="FI34">
            <v>0.24962292609351439</v>
          </cell>
          <cell r="FJ34">
            <v>206</v>
          </cell>
          <cell r="FK34">
            <v>130</v>
          </cell>
          <cell r="FL34">
            <v>0.6310679611650486</v>
          </cell>
          <cell r="FM34">
            <v>0.5633394478729038</v>
          </cell>
          <cell r="FN34">
            <v>0.69399768799852601</v>
          </cell>
          <cell r="FO34">
            <v>206</v>
          </cell>
          <cell r="FP34">
            <v>34</v>
          </cell>
          <cell r="FQ34">
            <v>41</v>
          </cell>
          <cell r="FR34">
            <v>23.317073170731703</v>
          </cell>
          <cell r="FS34">
            <v>0.31420373027259696</v>
          </cell>
          <cell r="FT34">
            <v>4313</v>
          </cell>
          <cell r="FU34">
            <v>3997</v>
          </cell>
          <cell r="FV34">
            <v>316</v>
          </cell>
          <cell r="FW34">
            <v>261</v>
          </cell>
          <cell r="FX34">
            <v>55</v>
          </cell>
          <cell r="FY34">
            <v>0.82594936708860756</v>
          </cell>
          <cell r="FZ34">
            <v>0.17405063291139242</v>
          </cell>
          <cell r="GB34">
            <v>0.17543859649122806</v>
          </cell>
          <cell r="GC34">
            <v>9.8187471335966101E-2</v>
          </cell>
          <cell r="GD34">
            <v>0.29367599050593152</v>
          </cell>
          <cell r="GF34">
            <v>0.14035087719298245</v>
          </cell>
          <cell r="GG34">
            <v>7.2871892271282851E-2</v>
          </cell>
          <cell r="GH34">
            <v>0.25324707895892806</v>
          </cell>
          <cell r="GJ34">
            <v>0.17543859649122806</v>
          </cell>
          <cell r="GK34">
            <v>9.8187471335966101E-2</v>
          </cell>
          <cell r="GL34">
            <v>0.29367599050593152</v>
          </cell>
          <cell r="GN34">
            <v>0.23636363636363636</v>
          </cell>
          <cell r="GO34">
            <v>0.1436652158745749</v>
          </cell>
          <cell r="GP34">
            <v>0.36348618721439618</v>
          </cell>
          <cell r="GQ34">
            <v>61</v>
          </cell>
          <cell r="GR34">
            <v>55</v>
          </cell>
          <cell r="GS34">
            <v>56</v>
          </cell>
          <cell r="GT34">
            <v>58</v>
          </cell>
          <cell r="GU34">
            <v>56</v>
          </cell>
          <cell r="GV34">
            <v>45</v>
          </cell>
          <cell r="GW34">
            <v>41</v>
          </cell>
          <cell r="GX34">
            <v>43</v>
          </cell>
          <cell r="GY34">
            <v>41</v>
          </cell>
          <cell r="GZ34">
            <v>43</v>
          </cell>
          <cell r="HA34">
            <v>44</v>
          </cell>
          <cell r="HB34">
            <v>40</v>
          </cell>
          <cell r="HC34">
            <v>43</v>
          </cell>
          <cell r="HD34">
            <v>47</v>
          </cell>
          <cell r="HE34">
            <v>42</v>
          </cell>
          <cell r="HF34">
            <v>41</v>
          </cell>
          <cell r="HG34">
            <v>37</v>
          </cell>
          <cell r="HH34">
            <v>40</v>
          </cell>
          <cell r="HI34">
            <v>41</v>
          </cell>
          <cell r="HJ34">
            <v>40</v>
          </cell>
          <cell r="HK34">
            <v>42</v>
          </cell>
          <cell r="HL34">
            <v>42</v>
          </cell>
          <cell r="HM34">
            <v>42</v>
          </cell>
          <cell r="HN34">
            <v>16</v>
          </cell>
          <cell r="HO34">
            <v>1.8079096045197741E-2</v>
          </cell>
          <cell r="HP34">
            <v>1409</v>
          </cell>
          <cell r="HQ34">
            <v>1255</v>
          </cell>
          <cell r="HR34">
            <v>154</v>
          </cell>
          <cell r="HS34">
            <v>0.10929737402413059</v>
          </cell>
        </row>
        <row r="35">
          <cell r="A35" t="str">
            <v>Sidney West</v>
          </cell>
          <cell r="C35" t="str">
            <v>Mid Sussex</v>
          </cell>
          <cell r="D35" t="str">
            <v>Mid Sussex</v>
          </cell>
          <cell r="E35" t="str">
            <v>Mid Sussex</v>
          </cell>
          <cell r="F35" t="str">
            <v>Mid Sussex</v>
          </cell>
          <cell r="G35" t="str">
            <v>Burgess Hill Franklands, Burgess Hill Leylands, Burgess Hill Meeds, Burgess Hill St Andrews</v>
          </cell>
          <cell r="H35" t="str">
            <v>Burgess Hill</v>
          </cell>
          <cell r="I35" t="str">
            <v>C2</v>
          </cell>
          <cell r="J35" t="str">
            <v>Horsham and Mid Sussex</v>
          </cell>
          <cell r="K35" t="str">
            <v>Mid Sussex</v>
          </cell>
          <cell r="L35">
            <v>18300</v>
          </cell>
          <cell r="M35">
            <v>18330</v>
          </cell>
          <cell r="N35">
            <v>18385</v>
          </cell>
          <cell r="O35">
            <v>18520</v>
          </cell>
          <cell r="P35">
            <v>18660</v>
          </cell>
          <cell r="Q35">
            <v>18865</v>
          </cell>
          <cell r="R35">
            <v>18970</v>
          </cell>
          <cell r="S35">
            <v>19140</v>
          </cell>
          <cell r="T35">
            <v>19245</v>
          </cell>
          <cell r="U35">
            <v>19340</v>
          </cell>
          <cell r="V35">
            <v>940</v>
          </cell>
          <cell r="W35">
            <v>945</v>
          </cell>
          <cell r="X35">
            <v>975</v>
          </cell>
          <cell r="Y35">
            <v>985</v>
          </cell>
          <cell r="Z35">
            <v>970</v>
          </cell>
          <cell r="AA35">
            <v>975</v>
          </cell>
          <cell r="AB35">
            <v>980</v>
          </cell>
          <cell r="AC35">
            <v>1035</v>
          </cell>
          <cell r="AD35">
            <v>1055</v>
          </cell>
          <cell r="AE35">
            <v>1050</v>
          </cell>
          <cell r="AF35">
            <v>0.83477425552353501</v>
          </cell>
          <cell r="AG35">
            <v>3.8424591738712779E-2</v>
          </cell>
          <cell r="AH35">
            <v>4.226705091258405E-2</v>
          </cell>
          <cell r="AI35">
            <v>7.0124879923150821E-2</v>
          </cell>
          <cell r="AJ35">
            <v>1.1527377521613832E-2</v>
          </cell>
          <cell r="AK35">
            <v>2.881844380403458E-3</v>
          </cell>
          <cell r="AL35">
            <v>0.16522574447646493</v>
          </cell>
          <cell r="AM35">
            <v>2000</v>
          </cell>
          <cell r="AN35">
            <v>0.72177822177822182</v>
          </cell>
          <cell r="AO35">
            <v>0.12387612387612387</v>
          </cell>
          <cell r="AP35">
            <v>0.15434565434565434</v>
          </cell>
          <cell r="AQ35">
            <v>190</v>
          </cell>
          <cell r="AR35">
            <v>212</v>
          </cell>
          <cell r="AS35">
            <v>187</v>
          </cell>
          <cell r="AT35">
            <v>194</v>
          </cell>
          <cell r="AU35">
            <v>193</v>
          </cell>
          <cell r="AV35">
            <v>8</v>
          </cell>
          <cell r="AW35">
            <v>9</v>
          </cell>
          <cell r="AX35">
            <v>5</v>
          </cell>
          <cell r="AY35">
            <v>3</v>
          </cell>
          <cell r="AZ35">
            <v>7</v>
          </cell>
          <cell r="BA35">
            <v>9</v>
          </cell>
          <cell r="BB35">
            <v>4.6632124352331605E-2</v>
          </cell>
          <cell r="BC35">
            <v>2.4724444791412101E-2</v>
          </cell>
          <cell r="BD35">
            <v>8.6235202386319071E-2</v>
          </cell>
          <cell r="BE35">
            <v>11</v>
          </cell>
          <cell r="BF35">
            <v>335</v>
          </cell>
          <cell r="BG35">
            <v>330</v>
          </cell>
          <cell r="BH35">
            <v>155</v>
          </cell>
          <cell r="BI35">
            <v>0.14777997878599203</v>
          </cell>
          <cell r="BJ35">
            <v>2200</v>
          </cell>
          <cell r="BK35">
            <v>3896</v>
          </cell>
          <cell r="BL35">
            <v>2431</v>
          </cell>
          <cell r="BM35">
            <v>1630</v>
          </cell>
          <cell r="BN35">
            <v>1</v>
          </cell>
          <cell r="BO35">
            <v>287</v>
          </cell>
          <cell r="BP35">
            <v>375</v>
          </cell>
          <cell r="BQ35">
            <v>138</v>
          </cell>
          <cell r="BR35">
            <v>80</v>
          </cell>
          <cell r="BS35">
            <v>80</v>
          </cell>
          <cell r="BT35">
            <v>70</v>
          </cell>
          <cell r="BU35">
            <v>332</v>
          </cell>
          <cell r="BV35">
            <v>85</v>
          </cell>
          <cell r="BW35">
            <v>0.25602409638554219</v>
          </cell>
          <cell r="BX35">
            <v>24</v>
          </cell>
          <cell r="BY35">
            <v>8</v>
          </cell>
          <cell r="BZ35">
            <v>227</v>
          </cell>
          <cell r="CA35">
            <v>2.8865717192268565E-2</v>
          </cell>
          <cell r="CB35">
            <v>120</v>
          </cell>
          <cell r="CC35">
            <v>120</v>
          </cell>
          <cell r="CD35">
            <v>130</v>
          </cell>
          <cell r="CE35">
            <v>110</v>
          </cell>
          <cell r="CF35">
            <v>320</v>
          </cell>
          <cell r="CG35">
            <v>9.7166666666666665E-2</v>
          </cell>
          <cell r="CH35">
            <v>335</v>
          </cell>
          <cell r="CI35">
            <v>9.3916666666666662E-2</v>
          </cell>
          <cell r="CJ35">
            <v>365</v>
          </cell>
          <cell r="CK35">
            <v>0.10033333333333333</v>
          </cell>
          <cell r="CL35">
            <v>325</v>
          </cell>
          <cell r="CM35">
            <v>9.4999999999999987E-2</v>
          </cell>
          <cell r="CN35">
            <v>335</v>
          </cell>
          <cell r="CO35">
            <v>8.900000000000001E-2</v>
          </cell>
          <cell r="CP35">
            <v>300</v>
          </cell>
          <cell r="CQ35">
            <v>9.202453987730061E-2</v>
          </cell>
          <cell r="CR35">
            <v>192</v>
          </cell>
          <cell r="CS35">
            <v>1</v>
          </cell>
          <cell r="CT35">
            <v>191</v>
          </cell>
          <cell r="CU35">
            <v>0.99444444444444458</v>
          </cell>
          <cell r="CV35">
            <v>88</v>
          </cell>
          <cell r="CW35">
            <v>111</v>
          </cell>
          <cell r="CX35">
            <v>0.46398508099859925</v>
          </cell>
          <cell r="CY35">
            <v>0.60055105210604576</v>
          </cell>
          <cell r="CZ35">
            <v>0.39151197448052188</v>
          </cell>
          <cell r="DA35">
            <v>0.5315024125908222</v>
          </cell>
          <cell r="DB35">
            <v>0.51025644147427418</v>
          </cell>
          <cell r="DC35">
            <v>0.64884715857828135</v>
          </cell>
          <cell r="DD35">
            <v>158</v>
          </cell>
          <cell r="DE35">
            <v>14</v>
          </cell>
          <cell r="DF35">
            <v>8.8607594936708861E-2</v>
          </cell>
          <cell r="DG35">
            <v>5.3515080428758875E-2</v>
          </cell>
          <cell r="DH35">
            <v>0.14322967862566621</v>
          </cell>
          <cell r="DI35" t="str">
            <v>No Sig diff</v>
          </cell>
          <cell r="DJ35">
            <v>169</v>
          </cell>
          <cell r="DK35">
            <v>14</v>
          </cell>
          <cell r="DL35">
            <v>8.2840236686390539E-2</v>
          </cell>
          <cell r="DM35">
            <v>4.9985852761348988E-2</v>
          </cell>
          <cell r="DN35">
            <v>0.13423764915740352</v>
          </cell>
          <cell r="DO35" t="str">
            <v>No Sig diff</v>
          </cell>
          <cell r="DP35">
            <v>180</v>
          </cell>
          <cell r="DQ35">
            <v>10</v>
          </cell>
          <cell r="DR35">
            <v>5.5555555555555552E-2</v>
          </cell>
          <cell r="DS35">
            <v>3.0453273623977831E-2</v>
          </cell>
          <cell r="DT35">
            <v>9.9231613417455969E-2</v>
          </cell>
          <cell r="DU35" t="str">
            <v>No Sig diff</v>
          </cell>
          <cell r="DV35">
            <v>134</v>
          </cell>
          <cell r="DW35">
            <v>11</v>
          </cell>
          <cell r="DX35">
            <v>8.2089552238805971E-2</v>
          </cell>
          <cell r="DY35">
            <v>4.6454325805087827E-2</v>
          </cell>
          <cell r="DZ35">
            <v>0.14101799958802202</v>
          </cell>
          <cell r="EA35" t="str">
            <v>No Sig diff</v>
          </cell>
          <cell r="EB35">
            <v>190</v>
          </cell>
          <cell r="EC35">
            <v>26</v>
          </cell>
          <cell r="ED35">
            <v>0.1368421052631579</v>
          </cell>
          <cell r="EE35">
            <v>9.5125099973102326E-2</v>
          </cell>
          <cell r="EF35">
            <v>0.19295289510816771</v>
          </cell>
          <cell r="EG35" t="str">
            <v>No Sig diff</v>
          </cell>
          <cell r="EH35">
            <v>159</v>
          </cell>
          <cell r="EI35">
            <v>18</v>
          </cell>
          <cell r="EJ35">
            <v>0.11320754716981132</v>
          </cell>
          <cell r="EK35">
            <v>7.2819302607958283E-2</v>
          </cell>
          <cell r="EL35">
            <v>0.17184479650554718</v>
          </cell>
          <cell r="EM35" t="str">
            <v>Sig better than Eng.</v>
          </cell>
          <cell r="EN35">
            <v>164</v>
          </cell>
          <cell r="EO35">
            <v>17</v>
          </cell>
          <cell r="EP35">
            <v>0.10365853658536585</v>
          </cell>
          <cell r="EQ35">
            <v>6.573150818853768E-2</v>
          </cell>
          <cell r="ER35">
            <v>0.15972803611344755</v>
          </cell>
          <cell r="ES35" t="str">
            <v>Sig better than Eng.</v>
          </cell>
          <cell r="ET35">
            <v>150</v>
          </cell>
          <cell r="EU35">
            <v>21</v>
          </cell>
          <cell r="EV35">
            <v>0.14000000000000001</v>
          </cell>
          <cell r="EW35">
            <v>9.3426488185517978E-2</v>
          </cell>
          <cell r="EX35">
            <v>0.20455208775949715</v>
          </cell>
          <cell r="EY35" t="str">
            <v>No Sig diff</v>
          </cell>
          <cell r="EZ35">
            <v>200</v>
          </cell>
          <cell r="FA35">
            <v>104</v>
          </cell>
          <cell r="FB35">
            <v>0.52</v>
          </cell>
          <cell r="FC35">
            <v>0.4510378507281424</v>
          </cell>
          <cell r="FD35">
            <v>0.58820833621676694</v>
          </cell>
          <cell r="FE35">
            <v>200</v>
          </cell>
          <cell r="FF35">
            <v>34</v>
          </cell>
          <cell r="FG35">
            <v>40</v>
          </cell>
          <cell r="FH35">
            <v>24.45000000000001</v>
          </cell>
          <cell r="FI35">
            <v>0.28088235294117619</v>
          </cell>
          <cell r="FJ35">
            <v>202</v>
          </cell>
          <cell r="FK35">
            <v>134</v>
          </cell>
          <cell r="FL35">
            <v>0.6633663366336634</v>
          </cell>
          <cell r="FM35">
            <v>0.59568952589790047</v>
          </cell>
          <cell r="FN35">
            <v>0.72494558997295899</v>
          </cell>
          <cell r="FO35">
            <v>202</v>
          </cell>
          <cell r="FP35">
            <v>35</v>
          </cell>
          <cell r="FQ35">
            <v>40</v>
          </cell>
          <cell r="FR35">
            <v>27.400000000000006</v>
          </cell>
          <cell r="FS35">
            <v>0.21714285714285697</v>
          </cell>
          <cell r="FT35">
            <v>2703</v>
          </cell>
          <cell r="FU35">
            <v>2643</v>
          </cell>
          <cell r="FV35">
            <v>60</v>
          </cell>
          <cell r="FW35">
            <v>50</v>
          </cell>
          <cell r="FX35">
            <v>10</v>
          </cell>
          <cell r="FY35">
            <v>0.83333333333333337</v>
          </cell>
          <cell r="FZ35">
            <v>0.16666666666666666</v>
          </cell>
          <cell r="GA35">
            <v>0.88718554729584154</v>
          </cell>
          <cell r="GB35">
            <v>0.11281445270415857</v>
          </cell>
          <cell r="GC35">
            <v>7.8935572345810806E-2</v>
          </cell>
          <cell r="GD35">
            <v>0.18974640797818437</v>
          </cell>
          <cell r="GE35">
            <v>0.92006639194139206</v>
          </cell>
          <cell r="GF35">
            <v>7.9933608058608052E-2</v>
          </cell>
          <cell r="GG35">
            <v>4.5422997117338167E-2</v>
          </cell>
          <cell r="GH35">
            <v>0.13805688382692829</v>
          </cell>
          <cell r="GI35">
            <v>0.90631995319495318</v>
          </cell>
          <cell r="GJ35">
            <v>9.368004680504681E-2</v>
          </cell>
          <cell r="GK35">
            <v>5.6294191320769182E-2</v>
          </cell>
          <cell r="GL35">
            <v>0.15558638941674016</v>
          </cell>
          <cell r="GM35">
            <v>0.74459946371711061</v>
          </cell>
          <cell r="GN35">
            <v>0.25540053628288922</v>
          </cell>
          <cell r="GO35">
            <v>0.19125353600433309</v>
          </cell>
          <cell r="GP35">
            <v>0.3367839006382683</v>
          </cell>
          <cell r="GQ35">
            <v>50</v>
          </cell>
          <cell r="GR35">
            <v>50</v>
          </cell>
          <cell r="GS35">
            <v>50</v>
          </cell>
          <cell r="GT35">
            <v>49</v>
          </cell>
          <cell r="GU35">
            <v>50</v>
          </cell>
          <cell r="GV35">
            <v>62</v>
          </cell>
          <cell r="GW35">
            <v>58</v>
          </cell>
          <cell r="GX35">
            <v>56</v>
          </cell>
          <cell r="GY35">
            <v>57</v>
          </cell>
          <cell r="GZ35">
            <v>57</v>
          </cell>
          <cell r="HA35">
            <v>57</v>
          </cell>
          <cell r="HB35">
            <v>58</v>
          </cell>
          <cell r="HC35">
            <v>59</v>
          </cell>
          <cell r="HD35">
            <v>66</v>
          </cell>
          <cell r="HE35">
            <v>60</v>
          </cell>
          <cell r="HF35">
            <v>59</v>
          </cell>
          <cell r="HG35">
            <v>63</v>
          </cell>
          <cell r="HH35">
            <v>63</v>
          </cell>
          <cell r="HI35">
            <v>63</v>
          </cell>
          <cell r="HJ35">
            <v>65</v>
          </cell>
          <cell r="HK35">
            <v>64</v>
          </cell>
          <cell r="HL35">
            <v>63</v>
          </cell>
          <cell r="HM35">
            <v>61</v>
          </cell>
          <cell r="HN35">
            <v>12</v>
          </cell>
          <cell r="HO35">
            <v>1.1527377521613832E-2</v>
          </cell>
          <cell r="HP35">
            <v>1671</v>
          </cell>
          <cell r="HQ35">
            <v>1556</v>
          </cell>
          <cell r="HR35">
            <v>115</v>
          </cell>
          <cell r="HS35">
            <v>6.8821065230400963E-2</v>
          </cell>
        </row>
        <row r="36">
          <cell r="A36" t="str">
            <v>Southbourne</v>
          </cell>
          <cell r="C36" t="str">
            <v>Chichester</v>
          </cell>
          <cell r="D36" t="str">
            <v>Chichester Rural</v>
          </cell>
          <cell r="E36" t="str">
            <v>Chichester</v>
          </cell>
          <cell r="F36" t="str">
            <v>Arch</v>
          </cell>
          <cell r="G36" t="str">
            <v>Bosham, Fishbourne, Southbourne</v>
          </cell>
          <cell r="H36" t="str">
            <v>Southbourne</v>
          </cell>
          <cell r="I36" t="str">
            <v>A</v>
          </cell>
          <cell r="J36" t="str">
            <v>Coastal West Sussex</v>
          </cell>
          <cell r="K36" t="str">
            <v>Chichester</v>
          </cell>
          <cell r="L36">
            <v>13500</v>
          </cell>
          <cell r="M36">
            <v>13545</v>
          </cell>
          <cell r="N36">
            <v>13600</v>
          </cell>
          <cell r="O36">
            <v>13605</v>
          </cell>
          <cell r="P36">
            <v>13840</v>
          </cell>
          <cell r="Q36">
            <v>14100</v>
          </cell>
          <cell r="R36">
            <v>14275</v>
          </cell>
          <cell r="S36">
            <v>14155</v>
          </cell>
          <cell r="T36">
            <v>14250</v>
          </cell>
          <cell r="U36">
            <v>14385</v>
          </cell>
          <cell r="V36">
            <v>635</v>
          </cell>
          <cell r="W36">
            <v>670</v>
          </cell>
          <cell r="X36">
            <v>670</v>
          </cell>
          <cell r="Y36">
            <v>685</v>
          </cell>
          <cell r="Z36">
            <v>735</v>
          </cell>
          <cell r="AA36">
            <v>745</v>
          </cell>
          <cell r="AB36">
            <v>735</v>
          </cell>
          <cell r="AC36">
            <v>735</v>
          </cell>
          <cell r="AD36">
            <v>780</v>
          </cell>
          <cell r="AE36">
            <v>775</v>
          </cell>
          <cell r="AF36">
            <v>0.91393442622950816</v>
          </cell>
          <cell r="AG36">
            <v>2.185792349726776E-2</v>
          </cell>
          <cell r="AH36">
            <v>1.2295081967213115E-2</v>
          </cell>
          <cell r="AI36">
            <v>1.092896174863388E-2</v>
          </cell>
          <cell r="AJ36">
            <v>3.5519125683060107E-2</v>
          </cell>
          <cell r="AK36">
            <v>5.4644808743169399E-3</v>
          </cell>
          <cell r="AL36">
            <v>8.6065573770491802E-2</v>
          </cell>
          <cell r="AM36">
            <v>1435</v>
          </cell>
          <cell r="AN36">
            <v>0.6020905923344948</v>
          </cell>
          <cell r="AO36">
            <v>9.1289198606271771E-2</v>
          </cell>
          <cell r="AP36">
            <v>0.30662020905923343</v>
          </cell>
          <cell r="AQ36">
            <v>129</v>
          </cell>
          <cell r="AR36">
            <v>143</v>
          </cell>
          <cell r="AS36">
            <v>129</v>
          </cell>
          <cell r="AT36">
            <v>106</v>
          </cell>
          <cell r="AU36">
            <v>105</v>
          </cell>
          <cell r="AV36">
            <v>0</v>
          </cell>
          <cell r="AW36">
            <v>5</v>
          </cell>
          <cell r="AX36">
            <v>4</v>
          </cell>
          <cell r="AY36">
            <v>3</v>
          </cell>
          <cell r="AZ36">
            <v>8</v>
          </cell>
          <cell r="BA36">
            <v>5</v>
          </cell>
          <cell r="BB36">
            <v>4.7619047619047616E-2</v>
          </cell>
          <cell r="BC36">
            <v>2.0509165674361975E-2</v>
          </cell>
          <cell r="BD36">
            <v>0.10666166583292792</v>
          </cell>
          <cell r="BE36">
            <v>10</v>
          </cell>
          <cell r="BF36">
            <v>199</v>
          </cell>
          <cell r="BG36">
            <v>254</v>
          </cell>
          <cell r="BH36">
            <v>95</v>
          </cell>
          <cell r="BI36">
            <v>0.13236886877011231</v>
          </cell>
          <cell r="BJ36">
            <v>1511</v>
          </cell>
          <cell r="BK36">
            <v>2682</v>
          </cell>
          <cell r="BL36">
            <v>1519</v>
          </cell>
          <cell r="BM36">
            <v>1015</v>
          </cell>
          <cell r="BN36">
            <v>1</v>
          </cell>
          <cell r="BO36">
            <v>170</v>
          </cell>
          <cell r="BP36">
            <v>225</v>
          </cell>
          <cell r="BQ36">
            <v>108</v>
          </cell>
          <cell r="BR36">
            <v>45</v>
          </cell>
          <cell r="BS36">
            <v>40</v>
          </cell>
          <cell r="BT36">
            <v>35</v>
          </cell>
          <cell r="BU36">
            <v>224</v>
          </cell>
          <cell r="BV36">
            <v>53</v>
          </cell>
          <cell r="BW36">
            <v>0.23660714285714285</v>
          </cell>
          <cell r="BX36">
            <v>25</v>
          </cell>
          <cell r="BY36">
            <v>7</v>
          </cell>
          <cell r="BZ36">
            <v>137</v>
          </cell>
          <cell r="CA36">
            <v>2.3406799931658978E-2</v>
          </cell>
          <cell r="CB36">
            <v>45</v>
          </cell>
          <cell r="CC36">
            <v>45</v>
          </cell>
          <cell r="CD36">
            <v>75</v>
          </cell>
          <cell r="CE36">
            <v>50</v>
          </cell>
          <cell r="CF36">
            <v>185</v>
          </cell>
          <cell r="CG36">
            <v>8.5222222222222227E-2</v>
          </cell>
          <cell r="CH36">
            <v>205</v>
          </cell>
          <cell r="CI36">
            <v>7.7888888888888896E-2</v>
          </cell>
          <cell r="CJ36">
            <v>175</v>
          </cell>
          <cell r="CK36">
            <v>7.8E-2</v>
          </cell>
          <cell r="CL36">
            <v>180</v>
          </cell>
          <cell r="CM36">
            <v>8.5777777777777786E-2</v>
          </cell>
          <cell r="CN36">
            <v>190</v>
          </cell>
          <cell r="CO36">
            <v>8.0000000000000016E-2</v>
          </cell>
          <cell r="CP36">
            <v>170</v>
          </cell>
          <cell r="CQ36">
            <v>7.0981210855949897E-2</v>
          </cell>
          <cell r="CR36">
            <v>95</v>
          </cell>
          <cell r="CS36">
            <v>2</v>
          </cell>
          <cell r="CT36">
            <v>93</v>
          </cell>
          <cell r="CU36">
            <v>0.98733776511554294</v>
          </cell>
          <cell r="CV36">
            <v>49</v>
          </cell>
          <cell r="CW36">
            <v>60</v>
          </cell>
          <cell r="CX36">
            <v>0.45890652557319223</v>
          </cell>
          <cell r="CY36">
            <v>0.56956993623660279</v>
          </cell>
          <cell r="CZ36">
            <v>0.42636839646712893</v>
          </cell>
          <cell r="DA36">
            <v>0.62526230769306668</v>
          </cell>
          <cell r="DB36">
            <v>0.54393306563242183</v>
          </cell>
          <cell r="DC36">
            <v>0.73487273683263454</v>
          </cell>
          <cell r="DD36">
            <v>126</v>
          </cell>
          <cell r="DE36">
            <v>18</v>
          </cell>
          <cell r="DF36">
            <v>0.14285714285714285</v>
          </cell>
          <cell r="DG36">
            <v>9.2313796541076673E-2</v>
          </cell>
          <cell r="DH36">
            <v>0.21453317808906508</v>
          </cell>
          <cell r="DI36" t="str">
            <v>No Sig diff</v>
          </cell>
          <cell r="DJ36">
            <v>108</v>
          </cell>
          <cell r="DK36">
            <v>6</v>
          </cell>
          <cell r="DL36">
            <v>5.5555555555555552E-2</v>
          </cell>
          <cell r="DM36">
            <v>2.5707729609183876E-2</v>
          </cell>
          <cell r="DN36">
            <v>0.11593436794331127</v>
          </cell>
          <cell r="DO36" t="str">
            <v>No Sig diff</v>
          </cell>
          <cell r="DP36">
            <v>112</v>
          </cell>
          <cell r="DQ36">
            <v>6</v>
          </cell>
          <cell r="DR36">
            <v>5.3571428571428568E-2</v>
          </cell>
          <cell r="DS36">
            <v>2.4780939016041947E-2</v>
          </cell>
          <cell r="DT36">
            <v>0.11197026372230079</v>
          </cell>
          <cell r="DU36" t="str">
            <v>No Sig diff</v>
          </cell>
          <cell r="DV36">
            <v>138</v>
          </cell>
          <cell r="DW36">
            <v>8</v>
          </cell>
          <cell r="DX36">
            <v>5.7971014492753624E-2</v>
          </cell>
          <cell r="DY36">
            <v>2.9664427433011134E-2</v>
          </cell>
          <cell r="DZ36">
            <v>0.11022033535539391</v>
          </cell>
          <cell r="EA36" t="str">
            <v>No Sig diff</v>
          </cell>
          <cell r="EB36">
            <v>111</v>
          </cell>
          <cell r="EC36">
            <v>15</v>
          </cell>
          <cell r="ED36">
            <v>0.13513513513513514</v>
          </cell>
          <cell r="EE36">
            <v>8.3634396766943495E-2</v>
          </cell>
          <cell r="EF36">
            <v>0.21104540936066715</v>
          </cell>
          <cell r="EG36" t="str">
            <v>No Sig diff</v>
          </cell>
          <cell r="EH36">
            <v>107</v>
          </cell>
          <cell r="EI36">
            <v>12</v>
          </cell>
          <cell r="EJ36">
            <v>0.11214953271028037</v>
          </cell>
          <cell r="EK36">
            <v>6.5328818815477516E-2</v>
          </cell>
          <cell r="EL36">
            <v>0.18585389852616863</v>
          </cell>
          <cell r="EM36" t="str">
            <v>Sig better than Eng.</v>
          </cell>
          <cell r="EN36">
            <v>91</v>
          </cell>
          <cell r="EO36">
            <v>13</v>
          </cell>
          <cell r="EP36">
            <v>0.14285714285714285</v>
          </cell>
          <cell r="EQ36">
            <v>8.542758136548774E-2</v>
          </cell>
          <cell r="ER36">
            <v>0.22921813572656949</v>
          </cell>
          <cell r="ES36" t="str">
            <v>No Sig diff</v>
          </cell>
          <cell r="ET36">
            <v>100</v>
          </cell>
          <cell r="EU36">
            <v>8</v>
          </cell>
          <cell r="EV36">
            <v>0.08</v>
          </cell>
          <cell r="EW36">
            <v>4.109346148438061E-2</v>
          </cell>
          <cell r="EX36">
            <v>0.14998107700948732</v>
          </cell>
          <cell r="EY36" t="str">
            <v>Sig better than Eng.</v>
          </cell>
          <cell r="EZ36">
            <v>154</v>
          </cell>
          <cell r="FA36">
            <v>81</v>
          </cell>
          <cell r="FB36">
            <v>0.52597402597402598</v>
          </cell>
          <cell r="FC36">
            <v>0.44744231332063877</v>
          </cell>
          <cell r="FD36">
            <v>0.6032414554418376</v>
          </cell>
          <cell r="FE36">
            <v>154</v>
          </cell>
          <cell r="FF36">
            <v>34</v>
          </cell>
          <cell r="FG36">
            <v>30</v>
          </cell>
          <cell r="FH36">
            <v>23.266666666666662</v>
          </cell>
          <cell r="FI36">
            <v>0.31568627450980408</v>
          </cell>
          <cell r="FJ36">
            <v>153</v>
          </cell>
          <cell r="FK36">
            <v>92</v>
          </cell>
          <cell r="FL36">
            <v>0.60130718954248363</v>
          </cell>
          <cell r="FM36">
            <v>0.52215817780146556</v>
          </cell>
          <cell r="FN36">
            <v>0.67549364355426489</v>
          </cell>
          <cell r="FO36">
            <v>153</v>
          </cell>
          <cell r="FP36">
            <v>34</v>
          </cell>
          <cell r="FQ36">
            <v>30</v>
          </cell>
          <cell r="FR36">
            <v>23.633333333333333</v>
          </cell>
          <cell r="FS36">
            <v>0.30490196078431375</v>
          </cell>
          <cell r="FT36">
            <v>2577</v>
          </cell>
          <cell r="FU36">
            <v>2448</v>
          </cell>
          <cell r="FV36">
            <v>129</v>
          </cell>
          <cell r="FW36">
            <v>114</v>
          </cell>
          <cell r="FX36">
            <v>15</v>
          </cell>
          <cell r="FY36">
            <v>0.88372093023255816</v>
          </cell>
          <cell r="FZ36">
            <v>0.11627906976744186</v>
          </cell>
          <cell r="GA36">
            <v>0.87962962962962965</v>
          </cell>
          <cell r="GB36">
            <v>0.12037037037037036</v>
          </cell>
          <cell r="GC36">
            <v>7.3067660241051213E-2</v>
          </cell>
          <cell r="GD36">
            <v>0.38517021976637866</v>
          </cell>
          <cell r="GE36">
            <v>0.91666666666666663</v>
          </cell>
          <cell r="GF36">
            <v>8.3333333333333329E-2</v>
          </cell>
          <cell r="GG36">
            <v>4.7489172642362694E-2</v>
          </cell>
          <cell r="GH36">
            <v>0.33335411879470006</v>
          </cell>
          <cell r="GI36">
            <v>0.87962962962962965</v>
          </cell>
          <cell r="GJ36">
            <v>0.12037037037037036</v>
          </cell>
          <cell r="GK36">
            <v>7.3067660241051213E-2</v>
          </cell>
          <cell r="GL36">
            <v>0.38517021976637866</v>
          </cell>
          <cell r="GM36">
            <v>0.74074074074074081</v>
          </cell>
          <cell r="GN36">
            <v>0.25925925925925924</v>
          </cell>
          <cell r="GO36">
            <v>0.13150582015814438</v>
          </cell>
          <cell r="GP36">
            <v>0.48152123699001981</v>
          </cell>
          <cell r="GQ36">
            <v>34</v>
          </cell>
          <cell r="GR36">
            <v>33</v>
          </cell>
          <cell r="GS36">
            <v>33</v>
          </cell>
          <cell r="GT36">
            <v>33</v>
          </cell>
          <cell r="GU36">
            <v>33</v>
          </cell>
          <cell r="GV36">
            <v>29</v>
          </cell>
          <cell r="GW36">
            <v>25</v>
          </cell>
          <cell r="GX36">
            <v>28</v>
          </cell>
          <cell r="GY36">
            <v>25</v>
          </cell>
          <cell r="GZ36">
            <v>28</v>
          </cell>
          <cell r="HA36">
            <v>28</v>
          </cell>
          <cell r="HB36">
            <v>25</v>
          </cell>
          <cell r="HC36">
            <v>29</v>
          </cell>
          <cell r="HD36">
            <v>41</v>
          </cell>
          <cell r="HE36">
            <v>32</v>
          </cell>
          <cell r="HF36">
            <v>32</v>
          </cell>
          <cell r="HG36">
            <v>31</v>
          </cell>
          <cell r="HH36">
            <v>32</v>
          </cell>
          <cell r="HI36">
            <v>32</v>
          </cell>
          <cell r="HJ36">
            <v>26</v>
          </cell>
          <cell r="HK36">
            <v>36</v>
          </cell>
          <cell r="HL36">
            <v>32</v>
          </cell>
          <cell r="HM36">
            <v>33</v>
          </cell>
          <cell r="HN36">
            <v>11</v>
          </cell>
          <cell r="HO36">
            <v>1.5027322404371584E-2</v>
          </cell>
          <cell r="HP36">
            <v>1117</v>
          </cell>
          <cell r="HQ36">
            <v>1045</v>
          </cell>
          <cell r="HR36">
            <v>72</v>
          </cell>
          <cell r="HS36">
            <v>6.445837063563116E-2</v>
          </cell>
        </row>
        <row r="37">
          <cell r="A37" t="str">
            <v>Southgate</v>
          </cell>
          <cell r="C37" t="str">
            <v>Crawley</v>
          </cell>
          <cell r="D37" t="str">
            <v>Crawley</v>
          </cell>
          <cell r="E37" t="str">
            <v>Crawley</v>
          </cell>
          <cell r="F37" t="str">
            <v>Crawley</v>
          </cell>
          <cell r="G37" t="str">
            <v>Furnace Green, Southgate, Tilgate</v>
          </cell>
          <cell r="H37" t="str">
            <v>Crawley NW</v>
          </cell>
          <cell r="I37" t="str">
            <v>C1</v>
          </cell>
          <cell r="J37" t="str">
            <v>Crawley</v>
          </cell>
          <cell r="K37" t="str">
            <v>Crawley</v>
          </cell>
          <cell r="L37">
            <v>19675</v>
          </cell>
          <cell r="M37">
            <v>19775</v>
          </cell>
          <cell r="N37">
            <v>20055</v>
          </cell>
          <cell r="O37">
            <v>20095</v>
          </cell>
          <cell r="P37">
            <v>19945</v>
          </cell>
          <cell r="Q37">
            <v>19970</v>
          </cell>
          <cell r="R37">
            <v>19880</v>
          </cell>
          <cell r="S37">
            <v>20140</v>
          </cell>
          <cell r="T37">
            <v>20365</v>
          </cell>
          <cell r="U37">
            <v>20375</v>
          </cell>
          <cell r="V37">
            <v>1085</v>
          </cell>
          <cell r="W37">
            <v>1070</v>
          </cell>
          <cell r="X37">
            <v>1135</v>
          </cell>
          <cell r="Y37">
            <v>1175</v>
          </cell>
          <cell r="Z37">
            <v>1180</v>
          </cell>
          <cell r="AA37">
            <v>1225</v>
          </cell>
          <cell r="AB37">
            <v>1275</v>
          </cell>
          <cell r="AC37">
            <v>1355</v>
          </cell>
          <cell r="AD37">
            <v>1395</v>
          </cell>
          <cell r="AE37">
            <v>1385</v>
          </cell>
          <cell r="AF37">
            <v>0.6339285714285714</v>
          </cell>
          <cell r="AG37">
            <v>7.1428571428571425E-2</v>
          </cell>
          <cell r="AH37">
            <v>7.5892857142857137E-2</v>
          </cell>
          <cell r="AI37">
            <v>0.16220238095238096</v>
          </cell>
          <cell r="AJ37">
            <v>4.1666666666666664E-2</v>
          </cell>
          <cell r="AK37">
            <v>1.488095238095238E-2</v>
          </cell>
          <cell r="AL37">
            <v>0.36607142857142855</v>
          </cell>
          <cell r="AM37">
            <v>2455</v>
          </cell>
          <cell r="AN37">
            <v>0.4969450101832994</v>
          </cell>
          <cell r="AO37">
            <v>0.33319755600814666</v>
          </cell>
          <cell r="AP37">
            <v>0.16985743380855398</v>
          </cell>
          <cell r="AQ37">
            <v>253</v>
          </cell>
          <cell r="AR37">
            <v>277</v>
          </cell>
          <cell r="AS37">
            <v>274</v>
          </cell>
          <cell r="AT37">
            <v>292</v>
          </cell>
          <cell r="AU37">
            <v>274</v>
          </cell>
          <cell r="AV37">
            <v>6</v>
          </cell>
          <cell r="AW37">
            <v>17</v>
          </cell>
          <cell r="AX37">
            <v>19</v>
          </cell>
          <cell r="AY37">
            <v>12</v>
          </cell>
          <cell r="AZ37">
            <v>11</v>
          </cell>
          <cell r="BA37">
            <v>19</v>
          </cell>
          <cell r="BB37">
            <v>6.9343065693430656E-2</v>
          </cell>
          <cell r="BC37">
            <v>4.4838959197899111E-2</v>
          </cell>
          <cell r="BD37">
            <v>0.10575576845106792</v>
          </cell>
          <cell r="BE37">
            <v>30</v>
          </cell>
          <cell r="BF37">
            <v>447</v>
          </cell>
          <cell r="BG37">
            <v>385</v>
          </cell>
          <cell r="BH37">
            <v>216</v>
          </cell>
          <cell r="BI37">
            <v>0.15552949746409514</v>
          </cell>
          <cell r="BJ37">
            <v>2399</v>
          </cell>
          <cell r="BK37">
            <v>4278</v>
          </cell>
          <cell r="BL37">
            <v>2497</v>
          </cell>
          <cell r="BM37">
            <v>1229</v>
          </cell>
          <cell r="BN37">
            <v>1</v>
          </cell>
          <cell r="BO37">
            <v>327</v>
          </cell>
          <cell r="BP37">
            <v>652</v>
          </cell>
          <cell r="BQ37">
            <v>288</v>
          </cell>
          <cell r="BR37">
            <v>210</v>
          </cell>
          <cell r="BS37">
            <v>210</v>
          </cell>
          <cell r="BT37">
            <v>165</v>
          </cell>
          <cell r="BU37">
            <v>588</v>
          </cell>
          <cell r="BV37">
            <v>253</v>
          </cell>
          <cell r="BW37">
            <v>0.43027210884353739</v>
          </cell>
          <cell r="BX37">
            <v>46</v>
          </cell>
          <cell r="BY37">
            <v>4</v>
          </cell>
          <cell r="BZ37">
            <v>428</v>
          </cell>
          <cell r="CA37">
            <v>5.1460863292052419E-2</v>
          </cell>
          <cell r="CB37">
            <v>300</v>
          </cell>
          <cell r="CC37">
            <v>285</v>
          </cell>
          <cell r="CD37">
            <v>265</v>
          </cell>
          <cell r="CE37">
            <v>265</v>
          </cell>
          <cell r="CF37">
            <v>735</v>
          </cell>
          <cell r="CG37">
            <v>0.16492307692307692</v>
          </cell>
          <cell r="CH37">
            <v>690</v>
          </cell>
          <cell r="CI37">
            <v>0.16269230769230766</v>
          </cell>
          <cell r="CJ37">
            <v>715</v>
          </cell>
          <cell r="CK37">
            <v>0.18615384615384611</v>
          </cell>
          <cell r="CL37">
            <v>590</v>
          </cell>
          <cell r="CM37">
            <v>0.17861538461538462</v>
          </cell>
          <cell r="CN37">
            <v>575</v>
          </cell>
          <cell r="CO37">
            <v>0.18884615384615386</v>
          </cell>
          <cell r="CP37">
            <v>665</v>
          </cell>
          <cell r="CQ37">
            <v>0.17007672634271101</v>
          </cell>
          <cell r="CR37">
            <v>280</v>
          </cell>
          <cell r="CS37">
            <v>10</v>
          </cell>
          <cell r="CT37">
            <v>270</v>
          </cell>
          <cell r="CU37">
            <v>0.97171594722401788</v>
          </cell>
          <cell r="CV37">
            <v>102</v>
          </cell>
          <cell r="CW37">
            <v>153</v>
          </cell>
          <cell r="CX37">
            <v>0.38011153374425688</v>
          </cell>
          <cell r="CY37">
            <v>0.55492143481273926</v>
          </cell>
          <cell r="CZ37">
            <v>0.3220422730435234</v>
          </cell>
          <cell r="DA37">
            <v>0.4369424831074778</v>
          </cell>
          <cell r="DB37">
            <v>0.50703166405729405</v>
          </cell>
          <cell r="DC37">
            <v>0.62443119622397802</v>
          </cell>
          <cell r="DD37">
            <v>179</v>
          </cell>
          <cell r="DE37">
            <v>16</v>
          </cell>
          <cell r="DF37">
            <v>8.9385474860335198E-2</v>
          </cell>
          <cell r="DG37">
            <v>5.5768700800059426E-2</v>
          </cell>
          <cell r="DH37">
            <v>0.14025609057858804</v>
          </cell>
          <cell r="DI37" t="str">
            <v>No Sig diff</v>
          </cell>
          <cell r="DJ37">
            <v>208</v>
          </cell>
          <cell r="DK37">
            <v>21</v>
          </cell>
          <cell r="DL37">
            <v>0.10096153846153846</v>
          </cell>
          <cell r="DM37">
            <v>6.6986875276411589E-2</v>
          </cell>
          <cell r="DN37">
            <v>0.14940824905803252</v>
          </cell>
          <cell r="DO37" t="str">
            <v>No Sig diff</v>
          </cell>
          <cell r="DP37">
            <v>165</v>
          </cell>
          <cell r="DQ37">
            <v>17</v>
          </cell>
          <cell r="DR37">
            <v>0.10303030303030303</v>
          </cell>
          <cell r="DS37">
            <v>6.5326799711821093E-2</v>
          </cell>
          <cell r="DT37">
            <v>0.15879741175262088</v>
          </cell>
          <cell r="DU37" t="str">
            <v>No Sig diff</v>
          </cell>
          <cell r="DV37">
            <v>218</v>
          </cell>
          <cell r="DW37">
            <v>19</v>
          </cell>
          <cell r="DX37">
            <v>8.7155963302752298E-2</v>
          </cell>
          <cell r="DY37">
            <v>5.6505621010586905E-2</v>
          </cell>
          <cell r="DZ37">
            <v>0.13210411426217361</v>
          </cell>
          <cell r="EA37" t="str">
            <v>No Sig diff</v>
          </cell>
          <cell r="EB37">
            <v>171</v>
          </cell>
          <cell r="EC37">
            <v>37</v>
          </cell>
          <cell r="ED37">
            <v>0.21637426900584794</v>
          </cell>
          <cell r="EE37">
            <v>0.16125297547340778</v>
          </cell>
          <cell r="EF37">
            <v>0.283958699982373</v>
          </cell>
          <cell r="EG37" t="str">
            <v>No Sig diff</v>
          </cell>
          <cell r="EH37">
            <v>190</v>
          </cell>
          <cell r="EI37">
            <v>32</v>
          </cell>
          <cell r="EJ37">
            <v>0.16842105263157894</v>
          </cell>
          <cell r="EK37">
            <v>0.12190040489443893</v>
          </cell>
          <cell r="EL37">
            <v>0.22808385148411195</v>
          </cell>
          <cell r="EM37" t="str">
            <v>No Sig diff</v>
          </cell>
          <cell r="EN37">
            <v>189</v>
          </cell>
          <cell r="EO37">
            <v>33</v>
          </cell>
          <cell r="EP37">
            <v>0.17460317460317459</v>
          </cell>
          <cell r="EQ37">
            <v>0.12711418630815544</v>
          </cell>
          <cell r="ER37">
            <v>0.23505616465166279</v>
          </cell>
          <cell r="ES37" t="str">
            <v>No Sig diff</v>
          </cell>
          <cell r="ET37">
            <v>189</v>
          </cell>
          <cell r="EU37">
            <v>40</v>
          </cell>
          <cell r="EV37">
            <v>0.21164021164021163</v>
          </cell>
          <cell r="EW37">
            <v>0.15944764778291518</v>
          </cell>
          <cell r="EX37">
            <v>0.27532119981562292</v>
          </cell>
          <cell r="EY37" t="str">
            <v>No Sig diff</v>
          </cell>
          <cell r="EZ37">
            <v>254</v>
          </cell>
          <cell r="FA37">
            <v>120</v>
          </cell>
          <cell r="FB37">
            <v>0.47244094488188976</v>
          </cell>
          <cell r="FC37">
            <v>0.41191315776587761</v>
          </cell>
          <cell r="FD37">
            <v>0.53378991084057259</v>
          </cell>
          <cell r="FE37">
            <v>254</v>
          </cell>
          <cell r="FF37">
            <v>33</v>
          </cell>
          <cell r="FG37">
            <v>50</v>
          </cell>
          <cell r="FH37">
            <v>21.019999999999996</v>
          </cell>
          <cell r="FI37">
            <v>0.36303030303030315</v>
          </cell>
          <cell r="FJ37">
            <v>261</v>
          </cell>
          <cell r="FK37">
            <v>134</v>
          </cell>
          <cell r="FL37">
            <v>0.51340996168582376</v>
          </cell>
          <cell r="FM37">
            <v>0.45301896964169136</v>
          </cell>
          <cell r="FN37">
            <v>0.57341193747976205</v>
          </cell>
          <cell r="FO37">
            <v>261</v>
          </cell>
          <cell r="FP37">
            <v>34</v>
          </cell>
          <cell r="FQ37">
            <v>52</v>
          </cell>
          <cell r="FR37">
            <v>21.84615384615384</v>
          </cell>
          <cell r="FS37">
            <v>0.35746606334841646</v>
          </cell>
          <cell r="FT37">
            <v>2479</v>
          </cell>
          <cell r="FU37">
            <v>2437</v>
          </cell>
          <cell r="FV37">
            <v>42</v>
          </cell>
          <cell r="FW37">
            <v>38</v>
          </cell>
          <cell r="FX37">
            <v>4</v>
          </cell>
          <cell r="FY37">
            <v>0.90476190476190477</v>
          </cell>
          <cell r="FZ37">
            <v>9.5238095238095233E-2</v>
          </cell>
          <cell r="GA37">
            <v>0.9010472433549358</v>
          </cell>
          <cell r="GB37">
            <v>9.8952756645064338E-2</v>
          </cell>
          <cell r="GC37">
            <v>5.4924788135547763E-2</v>
          </cell>
          <cell r="GD37">
            <v>0.14680656785678886</v>
          </cell>
          <cell r="GE37">
            <v>0.92725806956576196</v>
          </cell>
          <cell r="GF37">
            <v>7.2741930434238128E-2</v>
          </cell>
          <cell r="GG37">
            <v>3.5650162878397382E-2</v>
          </cell>
          <cell r="GH37">
            <v>0.11539746968488125</v>
          </cell>
          <cell r="GI37">
            <v>0.88393757239911097</v>
          </cell>
          <cell r="GJ37">
            <v>0.11606242760088913</v>
          </cell>
          <cell r="GK37">
            <v>6.5399908149707864E-2</v>
          </cell>
          <cell r="GL37">
            <v>0.16312109648171647</v>
          </cell>
          <cell r="GM37">
            <v>0.78786982248520698</v>
          </cell>
          <cell r="GN37">
            <v>0.21213017751479291</v>
          </cell>
          <cell r="GO37">
            <v>0.16251159892911632</v>
          </cell>
          <cell r="GP37">
            <v>0.2926383742085103</v>
          </cell>
          <cell r="GQ37">
            <v>80</v>
          </cell>
          <cell r="GR37">
            <v>77</v>
          </cell>
          <cell r="GS37">
            <v>77</v>
          </cell>
          <cell r="GT37">
            <v>79</v>
          </cell>
          <cell r="GU37">
            <v>78</v>
          </cell>
          <cell r="GV37">
            <v>75</v>
          </cell>
          <cell r="GW37">
            <v>73</v>
          </cell>
          <cell r="GX37">
            <v>72</v>
          </cell>
          <cell r="GY37">
            <v>73</v>
          </cell>
          <cell r="GZ37">
            <v>72</v>
          </cell>
          <cell r="HA37">
            <v>73</v>
          </cell>
          <cell r="HB37">
            <v>74</v>
          </cell>
          <cell r="HC37">
            <v>73</v>
          </cell>
          <cell r="HD37">
            <v>78</v>
          </cell>
          <cell r="HE37">
            <v>71</v>
          </cell>
          <cell r="HF37">
            <v>71</v>
          </cell>
          <cell r="HG37">
            <v>69</v>
          </cell>
          <cell r="HH37">
            <v>71</v>
          </cell>
          <cell r="HI37">
            <v>73</v>
          </cell>
          <cell r="HJ37">
            <v>70</v>
          </cell>
          <cell r="HK37">
            <v>74</v>
          </cell>
          <cell r="HL37">
            <v>72</v>
          </cell>
          <cell r="HM37">
            <v>72</v>
          </cell>
          <cell r="HN37">
            <v>31</v>
          </cell>
          <cell r="HO37">
            <v>2.3082650781831721E-2</v>
          </cell>
          <cell r="HP37">
            <v>2126</v>
          </cell>
          <cell r="HQ37">
            <v>1832</v>
          </cell>
          <cell r="HR37">
            <v>294</v>
          </cell>
          <cell r="HS37">
            <v>0.13828786453433678</v>
          </cell>
        </row>
        <row r="38">
          <cell r="A38" t="str">
            <v>Southwater</v>
          </cell>
          <cell r="C38" t="str">
            <v>Horsham</v>
          </cell>
          <cell r="D38" t="str">
            <v>Horsham Town</v>
          </cell>
          <cell r="E38" t="str">
            <v>Horsham</v>
          </cell>
          <cell r="F38" t="str">
            <v>Horsham</v>
          </cell>
          <cell r="G38" t="str">
            <v>Southwater</v>
          </cell>
          <cell r="H38" t="str">
            <v>Horsham W</v>
          </cell>
          <cell r="I38" t="str">
            <v>C3</v>
          </cell>
          <cell r="J38" t="str">
            <v>Horsham and Mid Sussex</v>
          </cell>
          <cell r="K38" t="str">
            <v>Horsham</v>
          </cell>
          <cell r="L38">
            <v>10025</v>
          </cell>
          <cell r="M38">
            <v>10140</v>
          </cell>
          <cell r="N38">
            <v>10345</v>
          </cell>
          <cell r="O38">
            <v>10460</v>
          </cell>
          <cell r="P38">
            <v>10555</v>
          </cell>
          <cell r="Q38">
            <v>10600</v>
          </cell>
          <cell r="R38">
            <v>10635</v>
          </cell>
          <cell r="S38">
            <v>10750</v>
          </cell>
          <cell r="T38">
            <v>10925</v>
          </cell>
          <cell r="U38">
            <v>10975</v>
          </cell>
          <cell r="V38">
            <v>695</v>
          </cell>
          <cell r="W38">
            <v>630</v>
          </cell>
          <cell r="X38">
            <v>645</v>
          </cell>
          <cell r="Y38">
            <v>645</v>
          </cell>
          <cell r="Z38">
            <v>635</v>
          </cell>
          <cell r="AA38">
            <v>635</v>
          </cell>
          <cell r="AB38">
            <v>620</v>
          </cell>
          <cell r="AC38">
            <v>635</v>
          </cell>
          <cell r="AD38">
            <v>605</v>
          </cell>
          <cell r="AE38">
            <v>570</v>
          </cell>
          <cell r="AF38">
            <v>0.91379310344827591</v>
          </cell>
          <cell r="AG38">
            <v>1.7241379310344827E-2</v>
          </cell>
          <cell r="AH38">
            <v>4.2319749216300939E-2</v>
          </cell>
          <cell r="AI38">
            <v>2.037617554858934E-2</v>
          </cell>
          <cell r="AJ38">
            <v>4.7021943573667714E-3</v>
          </cell>
          <cell r="AK38">
            <v>1.567398119122257E-3</v>
          </cell>
          <cell r="AL38">
            <v>8.6206896551724144E-2</v>
          </cell>
          <cell r="AM38">
            <v>1330</v>
          </cell>
          <cell r="AN38">
            <v>0.78270676691729324</v>
          </cell>
          <cell r="AO38">
            <v>9.2481203007518803E-2</v>
          </cell>
          <cell r="AP38">
            <v>0.12481203007518797</v>
          </cell>
          <cell r="AQ38">
            <v>123</v>
          </cell>
          <cell r="AR38">
            <v>104</v>
          </cell>
          <cell r="AS38">
            <v>126</v>
          </cell>
          <cell r="AT38">
            <v>91</v>
          </cell>
          <cell r="AU38">
            <v>78</v>
          </cell>
          <cell r="AV38">
            <v>5</v>
          </cell>
          <cell r="AW38">
            <v>3</v>
          </cell>
          <cell r="AX38">
            <v>2</v>
          </cell>
          <cell r="AY38">
            <v>1</v>
          </cell>
          <cell r="AZ38">
            <v>0</v>
          </cell>
          <cell r="BA38">
            <v>4</v>
          </cell>
          <cell r="BB38">
            <v>5.128205128205128E-2</v>
          </cell>
          <cell r="BC38">
            <v>2.0121012473896145E-2</v>
          </cell>
          <cell r="BD38">
            <v>0.12456676547294485</v>
          </cell>
          <cell r="BE38">
            <v>3</v>
          </cell>
          <cell r="BF38">
            <v>166</v>
          </cell>
          <cell r="BG38">
            <v>218</v>
          </cell>
          <cell r="BH38">
            <v>106</v>
          </cell>
          <cell r="BI38">
            <v>0.14678649905805458</v>
          </cell>
          <cell r="BJ38">
            <v>1433</v>
          </cell>
          <cell r="BK38">
            <v>2576</v>
          </cell>
          <cell r="BL38">
            <v>1414</v>
          </cell>
          <cell r="BM38">
            <v>1047</v>
          </cell>
          <cell r="BN38">
            <v>0</v>
          </cell>
          <cell r="BO38">
            <v>134</v>
          </cell>
          <cell r="BP38">
            <v>144</v>
          </cell>
          <cell r="BQ38">
            <v>89</v>
          </cell>
          <cell r="BR38">
            <v>50</v>
          </cell>
          <cell r="BS38">
            <v>25</v>
          </cell>
          <cell r="BT38">
            <v>20</v>
          </cell>
          <cell r="BU38">
            <v>183</v>
          </cell>
          <cell r="BV38">
            <v>42</v>
          </cell>
          <cell r="BW38">
            <v>0.22950819672131148</v>
          </cell>
          <cell r="BX38">
            <v>23</v>
          </cell>
          <cell r="BY38">
            <v>10</v>
          </cell>
          <cell r="BZ38">
            <v>63</v>
          </cell>
          <cell r="CA38">
            <v>1.6406250000000001E-2</v>
          </cell>
          <cell r="CB38">
            <v>40</v>
          </cell>
          <cell r="CC38">
            <v>60</v>
          </cell>
          <cell r="CD38">
            <v>40</v>
          </cell>
          <cell r="CE38">
            <v>35</v>
          </cell>
          <cell r="CF38">
            <v>130</v>
          </cell>
          <cell r="CG38">
            <v>6.6285714285714281E-2</v>
          </cell>
          <cell r="CH38">
            <v>140</v>
          </cell>
          <cell r="CI38">
            <v>7.1714285714285717E-2</v>
          </cell>
          <cell r="CJ38">
            <v>160</v>
          </cell>
          <cell r="CK38">
            <v>7.5428571428571428E-2</v>
          </cell>
          <cell r="CL38">
            <v>155</v>
          </cell>
          <cell r="CM38">
            <v>6.8285714285714297E-2</v>
          </cell>
          <cell r="CN38">
            <v>155</v>
          </cell>
          <cell r="CO38">
            <v>6.0285714285714283E-2</v>
          </cell>
          <cell r="CP38">
            <v>115</v>
          </cell>
          <cell r="CQ38">
            <v>5.4245283018867926E-2</v>
          </cell>
          <cell r="CR38">
            <v>89</v>
          </cell>
          <cell r="CS38">
            <v>2</v>
          </cell>
          <cell r="CT38">
            <v>87</v>
          </cell>
          <cell r="CU38">
            <v>0.97922077922077932</v>
          </cell>
          <cell r="CV38">
            <v>39</v>
          </cell>
          <cell r="CW38">
            <v>54</v>
          </cell>
          <cell r="CX38">
            <v>0.46383656026513165</v>
          </cell>
          <cell r="CY38">
            <v>0.62045177045177058</v>
          </cell>
          <cell r="CZ38">
            <v>0.34817004727070094</v>
          </cell>
          <cell r="DA38">
            <v>0.55275640052414199</v>
          </cell>
          <cell r="DB38">
            <v>0.51567426573095965</v>
          </cell>
          <cell r="DC38">
            <v>0.71549735608107345</v>
          </cell>
          <cell r="DD38">
            <v>118</v>
          </cell>
          <cell r="DE38">
            <v>11</v>
          </cell>
          <cell r="DF38">
            <v>9.3220338983050849E-2</v>
          </cell>
          <cell r="DG38">
            <v>5.2851600772239334E-2</v>
          </cell>
          <cell r="DH38">
            <v>0.15923925131385774</v>
          </cell>
          <cell r="DI38" t="str">
            <v>No Sig diff</v>
          </cell>
          <cell r="DJ38">
            <v>116</v>
          </cell>
          <cell r="DK38">
            <v>11</v>
          </cell>
          <cell r="DL38">
            <v>9.4827586206896547E-2</v>
          </cell>
          <cell r="DM38">
            <v>5.3777363581140956E-2</v>
          </cell>
          <cell r="DN38">
            <v>0.16185301237546282</v>
          </cell>
          <cell r="DO38" t="str">
            <v>No Sig diff</v>
          </cell>
          <cell r="DP38">
            <v>87</v>
          </cell>
          <cell r="DQ38">
            <v>9</v>
          </cell>
          <cell r="DR38">
            <v>0.10344827586206896</v>
          </cell>
          <cell r="DS38">
            <v>5.5385110337884548E-2</v>
          </cell>
          <cell r="DT38">
            <v>0.18504980896262463</v>
          </cell>
          <cell r="DU38" t="str">
            <v>No Sig diff</v>
          </cell>
          <cell r="DV38">
            <v>110</v>
          </cell>
          <cell r="DW38">
            <v>3</v>
          </cell>
          <cell r="DX38">
            <v>2.7272727272727271E-2</v>
          </cell>
          <cell r="DY38">
            <v>9.3179698578722808E-3</v>
          </cell>
          <cell r="DZ38">
            <v>7.7130841696755659E-2</v>
          </cell>
          <cell r="EA38" t="str">
            <v>Sig better than Eng.</v>
          </cell>
          <cell r="EB38">
            <v>116</v>
          </cell>
          <cell r="EC38">
            <v>15</v>
          </cell>
          <cell r="ED38">
            <v>0.12931034482758622</v>
          </cell>
          <cell r="EE38">
            <v>7.995391352718767E-2</v>
          </cell>
          <cell r="EF38">
            <v>0.20243132405013073</v>
          </cell>
          <cell r="EG38" t="str">
            <v>No Sig diff</v>
          </cell>
          <cell r="EH38">
            <v>123</v>
          </cell>
          <cell r="EI38">
            <v>14</v>
          </cell>
          <cell r="EJ38">
            <v>0.11382113821138211</v>
          </cell>
          <cell r="EK38">
            <v>6.9022844406854716E-2</v>
          </cell>
          <cell r="EL38">
            <v>0.18201068293301853</v>
          </cell>
          <cell r="EM38" t="str">
            <v>Sig better than Eng.</v>
          </cell>
          <cell r="EN38">
            <v>107</v>
          </cell>
          <cell r="EO38">
            <v>13</v>
          </cell>
          <cell r="EP38">
            <v>0.12149532710280374</v>
          </cell>
          <cell r="EQ38">
            <v>7.2394341667617434E-2</v>
          </cell>
          <cell r="ER38">
            <v>0.19683216561760347</v>
          </cell>
          <cell r="ES38" t="str">
            <v>No Sig diff</v>
          </cell>
          <cell r="ET38">
            <v>126</v>
          </cell>
          <cell r="EU38">
            <v>21</v>
          </cell>
          <cell r="EV38">
            <v>0.16666666666666666</v>
          </cell>
          <cell r="EW38">
            <v>0.11167188880425907</v>
          </cell>
          <cell r="EX38">
            <v>0.2413852875172065</v>
          </cell>
          <cell r="EY38" t="str">
            <v>No Sig diff</v>
          </cell>
          <cell r="EZ38">
            <v>134</v>
          </cell>
          <cell r="FA38">
            <v>89</v>
          </cell>
          <cell r="FB38">
            <v>0.66417910447761197</v>
          </cell>
          <cell r="FC38">
            <v>0.58062954335825934</v>
          </cell>
          <cell r="FD38">
            <v>0.73857775738016174</v>
          </cell>
          <cell r="FE38">
            <v>134</v>
          </cell>
          <cell r="FF38">
            <v>34</v>
          </cell>
          <cell r="FG38">
            <v>26</v>
          </cell>
          <cell r="FH38">
            <v>27.038461538461537</v>
          </cell>
          <cell r="FI38">
            <v>0.20475113122171951</v>
          </cell>
          <cell r="FJ38">
            <v>135</v>
          </cell>
          <cell r="FK38">
            <v>97</v>
          </cell>
          <cell r="FL38">
            <v>0.71851851851851856</v>
          </cell>
          <cell r="FM38">
            <v>0.63742332520504075</v>
          </cell>
          <cell r="FN38">
            <v>0.78752179206137429</v>
          </cell>
          <cell r="FO38">
            <v>135</v>
          </cell>
          <cell r="FP38">
            <v>35</v>
          </cell>
          <cell r="FQ38">
            <v>27</v>
          </cell>
          <cell r="FR38">
            <v>25.407407407407412</v>
          </cell>
          <cell r="FS38">
            <v>0.27407407407407397</v>
          </cell>
          <cell r="FT38">
            <v>2308</v>
          </cell>
          <cell r="FU38">
            <v>2278</v>
          </cell>
          <cell r="FV38">
            <v>30</v>
          </cell>
          <cell r="FW38">
            <v>29</v>
          </cell>
          <cell r="FX38">
            <v>1</v>
          </cell>
          <cell r="FY38">
            <v>0.96666666666666667</v>
          </cell>
          <cell r="FZ38">
            <v>3.3333333333333333E-2</v>
          </cell>
          <cell r="GA38">
            <v>0.9821428571428571</v>
          </cell>
          <cell r="GB38">
            <v>1.7857142857142856E-2</v>
          </cell>
          <cell r="GC38">
            <v>3.4696032534422437E-3</v>
          </cell>
          <cell r="GD38">
            <v>0.10304807675589374</v>
          </cell>
          <cell r="GE38">
            <v>0.96785714285714286</v>
          </cell>
          <cell r="GF38">
            <v>3.2142857142857147E-2</v>
          </cell>
          <cell r="GG38">
            <v>1.0820856268751204E-2</v>
          </cell>
          <cell r="GH38">
            <v>0.1321654898626527</v>
          </cell>
          <cell r="GI38">
            <v>0.9821428571428571</v>
          </cell>
          <cell r="GJ38">
            <v>1.7857142857142856E-2</v>
          </cell>
          <cell r="GK38">
            <v>3.4696032534422437E-3</v>
          </cell>
          <cell r="GL38">
            <v>0.10304807675589374</v>
          </cell>
          <cell r="GM38">
            <v>0.94387755102040816</v>
          </cell>
          <cell r="GN38">
            <v>5.6122448979591837E-2</v>
          </cell>
          <cell r="GO38">
            <v>2.0206272864052088E-2</v>
          </cell>
          <cell r="GP38">
            <v>0.15924873938941972</v>
          </cell>
          <cell r="GQ38">
            <v>29</v>
          </cell>
          <cell r="GR38">
            <v>28</v>
          </cell>
          <cell r="GS38">
            <v>28</v>
          </cell>
          <cell r="GT38">
            <v>28</v>
          </cell>
          <cell r="GU38">
            <v>28</v>
          </cell>
          <cell r="GV38">
            <v>31</v>
          </cell>
          <cell r="GW38">
            <v>31</v>
          </cell>
          <cell r="GX38">
            <v>30</v>
          </cell>
          <cell r="GY38">
            <v>30</v>
          </cell>
          <cell r="GZ38">
            <v>30</v>
          </cell>
          <cell r="HA38">
            <v>31</v>
          </cell>
          <cell r="HB38">
            <v>30</v>
          </cell>
          <cell r="HC38">
            <v>31</v>
          </cell>
          <cell r="HD38">
            <v>30</v>
          </cell>
          <cell r="HE38">
            <v>28</v>
          </cell>
          <cell r="HF38">
            <v>29</v>
          </cell>
          <cell r="HG38">
            <v>27</v>
          </cell>
          <cell r="HH38">
            <v>28</v>
          </cell>
          <cell r="HI38">
            <v>29</v>
          </cell>
          <cell r="HJ38">
            <v>26</v>
          </cell>
          <cell r="HK38">
            <v>27</v>
          </cell>
          <cell r="HL38">
            <v>29</v>
          </cell>
          <cell r="HM38">
            <v>29</v>
          </cell>
          <cell r="HN38">
            <v>12</v>
          </cell>
          <cell r="HO38">
            <v>1.889763779527559E-2</v>
          </cell>
          <cell r="HP38">
            <v>1003</v>
          </cell>
          <cell r="HQ38">
            <v>964</v>
          </cell>
          <cell r="HR38">
            <v>39</v>
          </cell>
          <cell r="HS38">
            <v>3.8883349950149554E-2</v>
          </cell>
        </row>
        <row r="39">
          <cell r="A39" t="str">
            <v>Stepping Stones</v>
          </cell>
          <cell r="C39" t="str">
            <v>Adur</v>
          </cell>
          <cell r="D39" t="str">
            <v>Adur East</v>
          </cell>
          <cell r="E39" t="str">
            <v>Adur</v>
          </cell>
          <cell r="F39" t="str">
            <v>Adur</v>
          </cell>
          <cell r="G39" t="str">
            <v>Eastbrook, Hillside, Southwich Green</v>
          </cell>
          <cell r="H39" t="str">
            <v>Shoreham</v>
          </cell>
          <cell r="I39" t="str">
            <v>B</v>
          </cell>
          <cell r="J39" t="str">
            <v>Coastal West Sussex</v>
          </cell>
          <cell r="K39" t="str">
            <v>East Worthing and Shoreham</v>
          </cell>
          <cell r="L39">
            <v>13130</v>
          </cell>
          <cell r="M39">
            <v>13040</v>
          </cell>
          <cell r="N39">
            <v>13085</v>
          </cell>
          <cell r="O39">
            <v>13055</v>
          </cell>
          <cell r="P39">
            <v>13065</v>
          </cell>
          <cell r="Q39">
            <v>13160</v>
          </cell>
          <cell r="R39">
            <v>13195</v>
          </cell>
          <cell r="S39">
            <v>13265</v>
          </cell>
          <cell r="T39">
            <v>13280</v>
          </cell>
          <cell r="U39">
            <v>13390</v>
          </cell>
          <cell r="V39">
            <v>700</v>
          </cell>
          <cell r="W39">
            <v>680</v>
          </cell>
          <cell r="X39">
            <v>705</v>
          </cell>
          <cell r="Y39">
            <v>710</v>
          </cell>
          <cell r="Z39">
            <v>735</v>
          </cell>
          <cell r="AA39">
            <v>775</v>
          </cell>
          <cell r="AB39">
            <v>775</v>
          </cell>
          <cell r="AC39">
            <v>805</v>
          </cell>
          <cell r="AD39">
            <v>825</v>
          </cell>
          <cell r="AE39">
            <v>830</v>
          </cell>
          <cell r="AF39">
            <v>0.88930348258706471</v>
          </cell>
          <cell r="AG39">
            <v>1.8656716417910446E-2</v>
          </cell>
          <cell r="AH39">
            <v>3.3582089552238806E-2</v>
          </cell>
          <cell r="AI39">
            <v>3.109452736318408E-2</v>
          </cell>
          <cell r="AJ39">
            <v>7.462686567164179E-3</v>
          </cell>
          <cell r="AK39">
            <v>1.9900497512437811E-2</v>
          </cell>
          <cell r="AL39">
            <v>0.11069651741293532</v>
          </cell>
          <cell r="AM39">
            <v>1550</v>
          </cell>
          <cell r="AN39">
            <v>0.59199483537766295</v>
          </cell>
          <cell r="AO39">
            <v>0.20787604906391219</v>
          </cell>
          <cell r="AP39">
            <v>0.2001291155584248</v>
          </cell>
          <cell r="AQ39">
            <v>109</v>
          </cell>
          <cell r="AR39">
            <v>125</v>
          </cell>
          <cell r="AS39">
            <v>107</v>
          </cell>
          <cell r="AT39">
            <v>138</v>
          </cell>
          <cell r="AU39">
            <v>115</v>
          </cell>
          <cell r="AV39">
            <v>10</v>
          </cell>
          <cell r="AW39">
            <v>7</v>
          </cell>
          <cell r="AX39">
            <v>5</v>
          </cell>
          <cell r="AY39">
            <v>7</v>
          </cell>
          <cell r="AZ39">
            <v>7</v>
          </cell>
          <cell r="BA39">
            <v>5</v>
          </cell>
          <cell r="BB39">
            <v>4.3478260869565216E-2</v>
          </cell>
          <cell r="BC39">
            <v>1.8712101106831382E-2</v>
          </cell>
          <cell r="BD39">
            <v>9.7757849346889233E-2</v>
          </cell>
          <cell r="BE39">
            <v>15</v>
          </cell>
          <cell r="BF39">
            <v>256</v>
          </cell>
          <cell r="BG39">
            <v>276</v>
          </cell>
          <cell r="BH39">
            <v>106</v>
          </cell>
          <cell r="BI39">
            <v>0.12492352662605885</v>
          </cell>
          <cell r="BJ39">
            <v>1665</v>
          </cell>
          <cell r="BK39">
            <v>2857</v>
          </cell>
          <cell r="BL39">
            <v>1670</v>
          </cell>
          <cell r="BM39">
            <v>843</v>
          </cell>
          <cell r="BN39">
            <v>1</v>
          </cell>
          <cell r="BO39">
            <v>307</v>
          </cell>
          <cell r="BP39">
            <v>384</v>
          </cell>
          <cell r="BQ39">
            <v>135</v>
          </cell>
          <cell r="BR39">
            <v>145</v>
          </cell>
          <cell r="BS39">
            <v>130</v>
          </cell>
          <cell r="BT39">
            <v>105</v>
          </cell>
          <cell r="BU39">
            <v>384</v>
          </cell>
          <cell r="BV39">
            <v>151</v>
          </cell>
          <cell r="BW39">
            <v>0.39322916666666669</v>
          </cell>
          <cell r="BX39">
            <v>34</v>
          </cell>
          <cell r="BY39">
            <v>2</v>
          </cell>
          <cell r="BZ39">
            <v>300</v>
          </cell>
          <cell r="CA39">
            <v>5.3229240596167494E-2</v>
          </cell>
          <cell r="CB39">
            <v>215</v>
          </cell>
          <cell r="CC39">
            <v>210</v>
          </cell>
          <cell r="CD39">
            <v>215</v>
          </cell>
          <cell r="CE39">
            <v>185</v>
          </cell>
          <cell r="CF39">
            <v>480</v>
          </cell>
          <cell r="CG39">
            <v>0.19444444444444442</v>
          </cell>
          <cell r="CH39">
            <v>480</v>
          </cell>
          <cell r="CI39">
            <v>0.18844444444444447</v>
          </cell>
          <cell r="CJ39">
            <v>555</v>
          </cell>
          <cell r="CK39">
            <v>0.20177777777777775</v>
          </cell>
          <cell r="CL39">
            <v>515</v>
          </cell>
          <cell r="CM39">
            <v>0.17744444444444449</v>
          </cell>
          <cell r="CN39">
            <v>520</v>
          </cell>
          <cell r="CO39">
            <v>0.17844444444444446</v>
          </cell>
          <cell r="CP39">
            <v>495</v>
          </cell>
          <cell r="CQ39">
            <v>0.19919517102615694</v>
          </cell>
          <cell r="CR39">
            <v>138</v>
          </cell>
          <cell r="CS39">
            <v>15</v>
          </cell>
          <cell r="CT39">
            <v>123</v>
          </cell>
          <cell r="CU39">
            <v>0.90037632661901679</v>
          </cell>
          <cell r="CV39">
            <v>51</v>
          </cell>
          <cell r="CW39">
            <v>71</v>
          </cell>
          <cell r="CX39">
            <v>0.39368252379312629</v>
          </cell>
          <cell r="CY39">
            <v>0.56805227360147259</v>
          </cell>
          <cell r="CZ39">
            <v>0.33144299050634901</v>
          </cell>
          <cell r="DA39">
            <v>0.50299618402314283</v>
          </cell>
          <cell r="DB39">
            <v>0.48889394915995515</v>
          </cell>
          <cell r="DC39">
            <v>0.66089917864669501</v>
          </cell>
          <cell r="DD39">
            <v>85</v>
          </cell>
          <cell r="DE39">
            <v>4</v>
          </cell>
          <cell r="DF39">
            <v>4.7058823529411764E-2</v>
          </cell>
          <cell r="DG39">
            <v>1.8450260833070709E-2</v>
          </cell>
          <cell r="DH39">
            <v>0.11483727156318768</v>
          </cell>
          <cell r="DI39" t="str">
            <v>No Sig diff</v>
          </cell>
          <cell r="DJ39">
            <v>120</v>
          </cell>
          <cell r="DK39">
            <v>6</v>
          </cell>
          <cell r="DL39">
            <v>0.05</v>
          </cell>
          <cell r="DM39">
            <v>2.3114364414465797E-2</v>
          </cell>
          <cell r="DN39">
            <v>0.10480288536236734</v>
          </cell>
          <cell r="DO39" t="str">
            <v>No Sig diff</v>
          </cell>
          <cell r="DP39">
            <v>92</v>
          </cell>
          <cell r="DQ39">
            <v>13</v>
          </cell>
          <cell r="DR39">
            <v>0.14130434782608695</v>
          </cell>
          <cell r="DS39">
            <v>8.4476933783828992E-2</v>
          </cell>
          <cell r="DT39">
            <v>0.22688580200803002</v>
          </cell>
          <cell r="DU39" t="str">
            <v>No Sig diff</v>
          </cell>
          <cell r="DV39">
            <v>114</v>
          </cell>
          <cell r="DW39">
            <v>11</v>
          </cell>
          <cell r="DX39">
            <v>9.6491228070175433E-2</v>
          </cell>
          <cell r="DY39">
            <v>5.4736149045213803E-2</v>
          </cell>
          <cell r="DZ39">
            <v>0.16455389606543028</v>
          </cell>
          <cell r="EA39" t="str">
            <v>No Sig diff</v>
          </cell>
          <cell r="EB39">
            <v>103</v>
          </cell>
          <cell r="EC39">
            <v>19</v>
          </cell>
          <cell r="ED39">
            <v>0.18446601941747573</v>
          </cell>
          <cell r="EE39">
            <v>0.12139537223023854</v>
          </cell>
          <cell r="EF39">
            <v>0.27022656257424815</v>
          </cell>
          <cell r="EG39" t="str">
            <v>No Sig diff</v>
          </cell>
          <cell r="EH39">
            <v>94</v>
          </cell>
          <cell r="EI39">
            <v>19</v>
          </cell>
          <cell r="EJ39">
            <v>0.20212765957446807</v>
          </cell>
          <cell r="EK39">
            <v>0.1333948198921881</v>
          </cell>
          <cell r="EL39">
            <v>0.29425067236660452</v>
          </cell>
          <cell r="EM39" t="str">
            <v>No Sig diff</v>
          </cell>
          <cell r="EN39">
            <v>97</v>
          </cell>
          <cell r="EO39">
            <v>18</v>
          </cell>
          <cell r="EP39">
            <v>0.18556701030927836</v>
          </cell>
          <cell r="EQ39">
            <v>0.12072903379332831</v>
          </cell>
          <cell r="ER39">
            <v>0.27436103418690677</v>
          </cell>
          <cell r="ES39" t="str">
            <v>No Sig diff</v>
          </cell>
          <cell r="ET39">
            <v>90</v>
          </cell>
          <cell r="EU39">
            <v>19</v>
          </cell>
          <cell r="EV39">
            <v>0.21111111111111111</v>
          </cell>
          <cell r="EW39">
            <v>0.13952592118014923</v>
          </cell>
          <cell r="EX39">
            <v>0.30634799581257288</v>
          </cell>
          <cell r="EY39" t="str">
            <v>No Sig diff</v>
          </cell>
          <cell r="EZ39">
            <v>135</v>
          </cell>
          <cell r="FA39">
            <v>68</v>
          </cell>
          <cell r="FB39">
            <v>0.50370370370370365</v>
          </cell>
          <cell r="FC39">
            <v>0.42043501688207358</v>
          </cell>
          <cell r="FD39">
            <v>0.5867674427326115</v>
          </cell>
          <cell r="FE39">
            <v>135</v>
          </cell>
          <cell r="FF39">
            <v>34</v>
          </cell>
          <cell r="FG39">
            <v>27</v>
          </cell>
          <cell r="FH39">
            <v>21.518518518518519</v>
          </cell>
          <cell r="FI39">
            <v>0.36710239651416121</v>
          </cell>
          <cell r="FJ39">
            <v>122</v>
          </cell>
          <cell r="FK39">
            <v>68</v>
          </cell>
          <cell r="FL39">
            <v>0.55737704918032782</v>
          </cell>
          <cell r="FM39">
            <v>0.46882625948307327</v>
          </cell>
          <cell r="FN39">
            <v>0.64242483480015478</v>
          </cell>
          <cell r="FO39">
            <v>122</v>
          </cell>
          <cell r="FP39">
            <v>34</v>
          </cell>
          <cell r="FQ39">
            <v>24</v>
          </cell>
          <cell r="FR39">
            <v>23.166666666666668</v>
          </cell>
          <cell r="FS39">
            <v>0.31862745098039214</v>
          </cell>
          <cell r="FT39">
            <v>2004</v>
          </cell>
          <cell r="FU39">
            <v>1951</v>
          </cell>
          <cell r="FV39">
            <v>53</v>
          </cell>
          <cell r="FW39">
            <v>51</v>
          </cell>
          <cell r="FX39">
            <v>2</v>
          </cell>
          <cell r="FY39">
            <v>0.96226415094339623</v>
          </cell>
          <cell r="FZ39">
            <v>3.7735849056603772E-2</v>
          </cell>
          <cell r="GA39">
            <v>0.93227513227513237</v>
          </cell>
          <cell r="GB39">
            <v>6.7724867724867729E-2</v>
          </cell>
          <cell r="GC39">
            <v>5.315354431925607E-2</v>
          </cell>
          <cell r="GD39">
            <v>0.20601533031468619</v>
          </cell>
          <cell r="GE39">
            <v>0.84338624338624335</v>
          </cell>
          <cell r="GF39">
            <v>0.15661375661375662</v>
          </cell>
          <cell r="GG39">
            <v>4.2994504137461961E-2</v>
          </cell>
          <cell r="GH39">
            <v>0.18712216950173294</v>
          </cell>
          <cell r="GI39">
            <v>0.81005291005291002</v>
          </cell>
          <cell r="GJ39">
            <v>0.18994708994708998</v>
          </cell>
          <cell r="GK39">
            <v>7.459006187684232E-2</v>
          </cell>
          <cell r="GL39">
            <v>0.24268321474659466</v>
          </cell>
          <cell r="GM39">
            <v>0.78822751322751317</v>
          </cell>
          <cell r="GN39">
            <v>0.21177248677248675</v>
          </cell>
          <cell r="GO39">
            <v>0.17018055060319134</v>
          </cell>
          <cell r="GP39">
            <v>0.37951033397822453</v>
          </cell>
          <cell r="GQ39">
            <v>36</v>
          </cell>
          <cell r="GR39">
            <v>33</v>
          </cell>
          <cell r="GS39">
            <v>33</v>
          </cell>
          <cell r="GT39">
            <v>33</v>
          </cell>
          <cell r="GU39">
            <v>33</v>
          </cell>
          <cell r="GV39">
            <v>24</v>
          </cell>
          <cell r="GW39">
            <v>24</v>
          </cell>
          <cell r="GX39">
            <v>24</v>
          </cell>
          <cell r="GY39">
            <v>22</v>
          </cell>
          <cell r="GZ39">
            <v>24</v>
          </cell>
          <cell r="HA39">
            <v>24</v>
          </cell>
          <cell r="HB39">
            <v>22</v>
          </cell>
          <cell r="HC39">
            <v>24</v>
          </cell>
          <cell r="HD39">
            <v>30</v>
          </cell>
          <cell r="HE39">
            <v>29</v>
          </cell>
          <cell r="HF39">
            <v>30</v>
          </cell>
          <cell r="HG39">
            <v>27</v>
          </cell>
          <cell r="HH39">
            <v>30</v>
          </cell>
          <cell r="HI39">
            <v>30</v>
          </cell>
          <cell r="HJ39">
            <v>27</v>
          </cell>
          <cell r="HK39">
            <v>29</v>
          </cell>
          <cell r="HL39">
            <v>27</v>
          </cell>
          <cell r="HM39">
            <v>30</v>
          </cell>
          <cell r="HN39">
            <v>26</v>
          </cell>
          <cell r="HO39">
            <v>3.2338308457711441E-2</v>
          </cell>
          <cell r="HP39">
            <v>1254</v>
          </cell>
          <cell r="HQ39">
            <v>1069</v>
          </cell>
          <cell r="HR39">
            <v>185</v>
          </cell>
          <cell r="HS39">
            <v>0.14752791068580542</v>
          </cell>
        </row>
        <row r="40">
          <cell r="A40" t="str">
            <v>Storrington (Little Footsteps)</v>
          </cell>
          <cell r="C40" t="str">
            <v>Horsham</v>
          </cell>
          <cell r="D40" t="str">
            <v>Horsham Rural</v>
          </cell>
          <cell r="E40" t="str">
            <v>Horsham</v>
          </cell>
          <cell r="F40" t="str">
            <v>Chanctonbury</v>
          </cell>
          <cell r="G40" t="str">
            <v>Chanctonbury, Chantry</v>
          </cell>
          <cell r="H40" t="str">
            <v>Steyning/Storrington</v>
          </cell>
          <cell r="I40" t="str">
            <v>B</v>
          </cell>
          <cell r="J40" t="str">
            <v>Coastal West Sussex</v>
          </cell>
          <cell r="K40" t="str">
            <v>Arundel and South Downs</v>
          </cell>
          <cell r="L40">
            <v>12250</v>
          </cell>
          <cell r="M40">
            <v>12260</v>
          </cell>
          <cell r="N40">
            <v>12325</v>
          </cell>
          <cell r="O40">
            <v>12385</v>
          </cell>
          <cell r="P40">
            <v>12470</v>
          </cell>
          <cell r="Q40">
            <v>12475</v>
          </cell>
          <cell r="R40">
            <v>12705</v>
          </cell>
          <cell r="S40">
            <v>12710</v>
          </cell>
          <cell r="T40">
            <v>12795</v>
          </cell>
          <cell r="U40">
            <v>12795</v>
          </cell>
          <cell r="V40">
            <v>625</v>
          </cell>
          <cell r="W40">
            <v>595</v>
          </cell>
          <cell r="X40">
            <v>560</v>
          </cell>
          <cell r="Y40">
            <v>605</v>
          </cell>
          <cell r="Z40">
            <v>610</v>
          </cell>
          <cell r="AA40">
            <v>600</v>
          </cell>
          <cell r="AB40">
            <v>615</v>
          </cell>
          <cell r="AC40">
            <v>600</v>
          </cell>
          <cell r="AD40">
            <v>605</v>
          </cell>
          <cell r="AE40">
            <v>590</v>
          </cell>
          <cell r="AF40">
            <v>0.93080724876441512</v>
          </cell>
          <cell r="AG40">
            <v>3.2948929159802305E-2</v>
          </cell>
          <cell r="AH40">
            <v>2.6359143327841845E-2</v>
          </cell>
          <cell r="AI40">
            <v>9.8846787479406912E-3</v>
          </cell>
          <cell r="AJ40">
            <v>0</v>
          </cell>
          <cell r="AK40">
            <v>0</v>
          </cell>
          <cell r="AL40">
            <v>6.919275123558484E-2</v>
          </cell>
          <cell r="AM40">
            <v>1245</v>
          </cell>
          <cell r="AN40">
            <v>0.68890675241157562</v>
          </cell>
          <cell r="AO40">
            <v>0.16157556270096463</v>
          </cell>
          <cell r="AP40">
            <v>0.14951768488745981</v>
          </cell>
          <cell r="AQ40">
            <v>115</v>
          </cell>
          <cell r="AR40">
            <v>103</v>
          </cell>
          <cell r="AS40">
            <v>98</v>
          </cell>
          <cell r="AT40">
            <v>111</v>
          </cell>
          <cell r="AU40">
            <v>96</v>
          </cell>
          <cell r="AV40">
            <v>7</v>
          </cell>
          <cell r="AW40">
            <v>6</v>
          </cell>
          <cell r="AX40">
            <v>2</v>
          </cell>
          <cell r="AY40">
            <v>1</v>
          </cell>
          <cell r="AZ40">
            <v>5</v>
          </cell>
          <cell r="BA40">
            <v>8</v>
          </cell>
          <cell r="BB40">
            <v>8.3333333333333329E-2</v>
          </cell>
          <cell r="BC40">
            <v>4.2830624150967216E-2</v>
          </cell>
          <cell r="BD40">
            <v>0.15589903239709582</v>
          </cell>
          <cell r="BE40">
            <v>7</v>
          </cell>
          <cell r="BF40">
            <v>168</v>
          </cell>
          <cell r="BG40">
            <v>196</v>
          </cell>
          <cell r="BH40">
            <v>100</v>
          </cell>
          <cell r="BI40">
            <v>0.14694188556472054</v>
          </cell>
          <cell r="BJ40">
            <v>1359</v>
          </cell>
          <cell r="BK40">
            <v>2423</v>
          </cell>
          <cell r="BL40">
            <v>1459</v>
          </cell>
          <cell r="BM40">
            <v>1025</v>
          </cell>
          <cell r="BN40">
            <v>0</v>
          </cell>
          <cell r="BO40">
            <v>140</v>
          </cell>
          <cell r="BP40">
            <v>205</v>
          </cell>
          <cell r="BQ40">
            <v>89</v>
          </cell>
          <cell r="BR40">
            <v>35</v>
          </cell>
          <cell r="BS40">
            <v>40</v>
          </cell>
          <cell r="BT40">
            <v>45</v>
          </cell>
          <cell r="BU40">
            <v>209</v>
          </cell>
          <cell r="BV40">
            <v>51</v>
          </cell>
          <cell r="BW40">
            <v>0.24401913875598086</v>
          </cell>
          <cell r="BX40">
            <v>15</v>
          </cell>
          <cell r="BY40">
            <v>7</v>
          </cell>
          <cell r="BZ40">
            <v>132</v>
          </cell>
          <cell r="CA40">
            <v>2.4242424242424242E-2</v>
          </cell>
          <cell r="CB40">
            <v>65</v>
          </cell>
          <cell r="CC40">
            <v>50</v>
          </cell>
          <cell r="CD40">
            <v>70</v>
          </cell>
          <cell r="CE40">
            <v>90</v>
          </cell>
          <cell r="CF40">
            <v>175</v>
          </cell>
          <cell r="CG40">
            <v>0.12362499999999998</v>
          </cell>
          <cell r="CH40">
            <v>195</v>
          </cell>
          <cell r="CI40">
            <v>0.10725</v>
          </cell>
          <cell r="CJ40">
            <v>215</v>
          </cell>
          <cell r="CK40">
            <v>0.11975000000000001</v>
          </cell>
          <cell r="CL40">
            <v>195</v>
          </cell>
          <cell r="CM40">
            <v>0.104375</v>
          </cell>
          <cell r="CN40">
            <v>235</v>
          </cell>
          <cell r="CO40">
            <v>9.1999999999999998E-2</v>
          </cell>
          <cell r="CP40">
            <v>160</v>
          </cell>
          <cell r="CQ40">
            <v>7.9800498753117205E-2</v>
          </cell>
          <cell r="CR40">
            <v>122</v>
          </cell>
          <cell r="CS40">
            <v>4</v>
          </cell>
          <cell r="CT40">
            <v>118</v>
          </cell>
          <cell r="CU40">
            <v>0.96772660818713452</v>
          </cell>
          <cell r="CV40">
            <v>58</v>
          </cell>
          <cell r="CW40">
            <v>75</v>
          </cell>
          <cell r="CX40">
            <v>0.50400219298245619</v>
          </cell>
          <cell r="CY40">
            <v>0.63892490110079125</v>
          </cell>
          <cell r="CZ40">
            <v>0.40302228798677547</v>
          </cell>
          <cell r="DA40">
            <v>0.5805629571183446</v>
          </cell>
          <cell r="DB40">
            <v>0.54575544867159853</v>
          </cell>
          <cell r="DC40">
            <v>0.71688062964648003</v>
          </cell>
          <cell r="DD40">
            <v>106</v>
          </cell>
          <cell r="DE40">
            <v>7</v>
          </cell>
          <cell r="DF40">
            <v>6.6000000000000003E-2</v>
          </cell>
          <cell r="DG40">
            <v>3.2000000000000001E-2</v>
          </cell>
          <cell r="DH40">
            <v>0.13</v>
          </cell>
          <cell r="DI40" t="str">
            <v>No Sig diff</v>
          </cell>
          <cell r="DJ40">
            <v>96</v>
          </cell>
          <cell r="DK40">
            <v>11</v>
          </cell>
          <cell r="DL40">
            <v>0.115</v>
          </cell>
          <cell r="DM40">
            <v>6.5000000000000002E-2</v>
          </cell>
          <cell r="DN40">
            <v>0.19400000000000001</v>
          </cell>
          <cell r="DO40" t="str">
            <v>No Sig diff</v>
          </cell>
          <cell r="DP40">
            <v>91</v>
          </cell>
          <cell r="DQ40">
            <v>11</v>
          </cell>
          <cell r="DR40">
            <v>0.12087912087912088</v>
          </cell>
          <cell r="DS40">
            <v>6.885508485107264E-2</v>
          </cell>
          <cell r="DT40">
            <v>0.20361498406203427</v>
          </cell>
          <cell r="DU40" t="str">
            <v>No Sig diff</v>
          </cell>
          <cell r="DV40">
            <v>106</v>
          </cell>
          <cell r="DW40">
            <v>7</v>
          </cell>
          <cell r="DX40">
            <v>6.6037735849056603E-2</v>
          </cell>
          <cell r="DY40">
            <v>3.2354147112036276E-2</v>
          </cell>
          <cell r="DZ40">
            <v>0.13007503957437352</v>
          </cell>
          <cell r="EA40" t="str">
            <v>No Sig diff</v>
          </cell>
          <cell r="EB40">
            <v>120</v>
          </cell>
          <cell r="EC40">
            <v>21</v>
          </cell>
          <cell r="ED40">
            <v>0.17499999999999999</v>
          </cell>
          <cell r="EE40">
            <v>0.11700000000000001</v>
          </cell>
          <cell r="EF40">
            <v>0.253</v>
          </cell>
          <cell r="EG40" t="str">
            <v>No Sig diff</v>
          </cell>
          <cell r="EH40">
            <v>112</v>
          </cell>
          <cell r="EI40">
            <v>22</v>
          </cell>
          <cell r="EJ40">
            <v>0.19600000000000001</v>
          </cell>
          <cell r="EK40">
            <v>0.13300000000000001</v>
          </cell>
          <cell r="EL40">
            <v>0.28000000000000003</v>
          </cell>
          <cell r="EM40" t="str">
            <v>No Sig diff</v>
          </cell>
          <cell r="EN40">
            <v>104</v>
          </cell>
          <cell r="EO40">
            <v>13</v>
          </cell>
          <cell r="EP40">
            <v>0.125</v>
          </cell>
          <cell r="EQ40">
            <v>7.4526025237809115E-2</v>
          </cell>
          <cell r="ER40">
            <v>0.20218999054152978</v>
          </cell>
          <cell r="ES40" t="str">
            <v>No Sig diff</v>
          </cell>
          <cell r="ET40">
            <v>94</v>
          </cell>
          <cell r="EU40">
            <v>14</v>
          </cell>
          <cell r="EV40">
            <v>0.14893617021276595</v>
          </cell>
          <cell r="EW40">
            <v>9.0840479586594094E-2</v>
          </cell>
          <cell r="EX40">
            <v>0.23459885057555427</v>
          </cell>
          <cell r="EY40" t="str">
            <v>No Sig diff</v>
          </cell>
          <cell r="EZ40">
            <v>117</v>
          </cell>
          <cell r="FA40">
            <v>64</v>
          </cell>
          <cell r="FB40">
            <v>0.54700854700854706</v>
          </cell>
          <cell r="FC40">
            <v>0.45674877894037469</v>
          </cell>
          <cell r="FD40">
            <v>0.63427958257851358</v>
          </cell>
          <cell r="FE40">
            <v>117</v>
          </cell>
          <cell r="FF40">
            <v>34</v>
          </cell>
          <cell r="FG40">
            <v>23</v>
          </cell>
          <cell r="FH40">
            <v>28.869565217391305</v>
          </cell>
          <cell r="FI40">
            <v>0.15089514066496162</v>
          </cell>
          <cell r="FJ40">
            <v>134</v>
          </cell>
          <cell r="FK40">
            <v>83</v>
          </cell>
          <cell r="FL40">
            <v>0.61940298507462688</v>
          </cell>
          <cell r="FM40">
            <v>0.53495253716790758</v>
          </cell>
          <cell r="FN40">
            <v>0.69719822700548961</v>
          </cell>
          <cell r="FO40">
            <v>134</v>
          </cell>
          <cell r="FP40">
            <v>34</v>
          </cell>
          <cell r="FQ40">
            <v>26</v>
          </cell>
          <cell r="FR40">
            <v>26.192307692307693</v>
          </cell>
          <cell r="FS40">
            <v>0.22963800904977372</v>
          </cell>
          <cell r="FT40">
            <v>1921</v>
          </cell>
          <cell r="FU40">
            <v>1896</v>
          </cell>
          <cell r="FV40">
            <v>25</v>
          </cell>
          <cell r="FW40">
            <v>21</v>
          </cell>
          <cell r="FX40">
            <v>4</v>
          </cell>
          <cell r="FY40">
            <v>0.84</v>
          </cell>
          <cell r="FZ40">
            <v>0.16</v>
          </cell>
          <cell r="GA40">
            <v>0.923408189033189</v>
          </cell>
          <cell r="GB40">
            <v>7.6591810966810961E-2</v>
          </cell>
          <cell r="GC40">
            <v>4.2492043037232537E-2</v>
          </cell>
          <cell r="GD40">
            <v>0.16780102074279987</v>
          </cell>
          <cell r="GE40">
            <v>0.93233676046176039</v>
          </cell>
          <cell r="GF40">
            <v>6.7663239538239536E-2</v>
          </cell>
          <cell r="GG40">
            <v>3.4389161893526081E-2</v>
          </cell>
          <cell r="GH40">
            <v>0.15233056050680582</v>
          </cell>
          <cell r="GI40">
            <v>0.923408189033189</v>
          </cell>
          <cell r="GJ40">
            <v>7.6591810966810961E-2</v>
          </cell>
          <cell r="GK40">
            <v>4.2492043037232537E-2</v>
          </cell>
          <cell r="GL40">
            <v>0.16780102074279987</v>
          </cell>
          <cell r="GM40">
            <v>0.85197961760461771</v>
          </cell>
          <cell r="GN40">
            <v>0.1480203823953824</v>
          </cell>
          <cell r="GO40">
            <v>0.11556188621286038</v>
          </cell>
          <cell r="GP40">
            <v>0.28331790860477624</v>
          </cell>
          <cell r="GQ40">
            <v>35</v>
          </cell>
          <cell r="GR40">
            <v>35</v>
          </cell>
          <cell r="GS40">
            <v>35</v>
          </cell>
          <cell r="GT40">
            <v>35</v>
          </cell>
          <cell r="GU40">
            <v>35</v>
          </cell>
          <cell r="GV40">
            <v>18</v>
          </cell>
          <cell r="GW40">
            <v>16</v>
          </cell>
          <cell r="GX40">
            <v>18</v>
          </cell>
          <cell r="GY40">
            <v>16</v>
          </cell>
          <cell r="GZ40">
            <v>18</v>
          </cell>
          <cell r="HA40">
            <v>18</v>
          </cell>
          <cell r="HB40">
            <v>16</v>
          </cell>
          <cell r="HC40">
            <v>18</v>
          </cell>
          <cell r="HD40">
            <v>30</v>
          </cell>
          <cell r="HE40">
            <v>30</v>
          </cell>
          <cell r="HF40">
            <v>30</v>
          </cell>
          <cell r="HG40">
            <v>29</v>
          </cell>
          <cell r="HH40">
            <v>30</v>
          </cell>
          <cell r="HI40">
            <v>30</v>
          </cell>
          <cell r="HJ40">
            <v>29</v>
          </cell>
          <cell r="HK40">
            <v>29</v>
          </cell>
          <cell r="HL40">
            <v>29</v>
          </cell>
          <cell r="HM40">
            <v>30</v>
          </cell>
          <cell r="HN40">
            <v>14</v>
          </cell>
          <cell r="HO40">
            <v>2.3102310231023101E-2</v>
          </cell>
          <cell r="HP40">
            <v>939</v>
          </cell>
          <cell r="HQ40">
            <v>864</v>
          </cell>
          <cell r="HR40">
            <v>75</v>
          </cell>
          <cell r="HS40">
            <v>7.9872204472843447E-2</v>
          </cell>
        </row>
        <row r="41">
          <cell r="A41" t="str">
            <v>Sussex Downs</v>
          </cell>
          <cell r="C41" t="str">
            <v>Mid Sussex</v>
          </cell>
          <cell r="D41" t="str">
            <v>Mid Sussex</v>
          </cell>
          <cell r="E41" t="str">
            <v>Mid Sussex</v>
          </cell>
          <cell r="F41" t="str">
            <v>Mid Sussex</v>
          </cell>
          <cell r="G41" t="str">
            <v>Bolney, Cuckfield, Hassocks, Hurstpierpoint and Downs</v>
          </cell>
          <cell r="H41" t="str">
            <v>Hassocks</v>
          </cell>
          <cell r="I41" t="str">
            <v>C2</v>
          </cell>
          <cell r="J41" t="str">
            <v>Horsham and Mid Sussex</v>
          </cell>
          <cell r="K41" t="str">
            <v>Mid Sussex</v>
          </cell>
          <cell r="L41">
            <v>17565</v>
          </cell>
          <cell r="M41">
            <v>17650</v>
          </cell>
          <cell r="N41">
            <v>17895</v>
          </cell>
          <cell r="O41">
            <v>18095</v>
          </cell>
          <cell r="P41">
            <v>18490</v>
          </cell>
          <cell r="Q41">
            <v>18770</v>
          </cell>
          <cell r="R41">
            <v>19185</v>
          </cell>
          <cell r="S41">
            <v>19470</v>
          </cell>
          <cell r="T41">
            <v>19695</v>
          </cell>
          <cell r="U41">
            <v>19975</v>
          </cell>
          <cell r="V41">
            <v>885</v>
          </cell>
          <cell r="W41">
            <v>890</v>
          </cell>
          <cell r="X41">
            <v>920</v>
          </cell>
          <cell r="Y41">
            <v>960</v>
          </cell>
          <cell r="Z41">
            <v>1000</v>
          </cell>
          <cell r="AA41">
            <v>1015</v>
          </cell>
          <cell r="AB41">
            <v>1065</v>
          </cell>
          <cell r="AC41">
            <v>1135</v>
          </cell>
          <cell r="AD41">
            <v>1170</v>
          </cell>
          <cell r="AE41">
            <v>1195</v>
          </cell>
          <cell r="AF41">
            <v>0.92307692307692313</v>
          </cell>
          <cell r="AG41">
            <v>2.8293545534924844E-2</v>
          </cell>
          <cell r="AH41">
            <v>3.8019451812555262E-2</v>
          </cell>
          <cell r="AI41">
            <v>8.8417329796640146E-3</v>
          </cell>
          <cell r="AJ41">
            <v>8.8417329796640137E-4</v>
          </cell>
          <cell r="AK41">
            <v>8.8417329796640137E-4</v>
          </cell>
          <cell r="AL41">
            <v>7.6923076923076927E-2</v>
          </cell>
          <cell r="AM41">
            <v>2290</v>
          </cell>
          <cell r="AN41">
            <v>0.74083769633507857</v>
          </cell>
          <cell r="AO41">
            <v>0.11343804537521815</v>
          </cell>
          <cell r="AP41">
            <v>0.14572425828970331</v>
          </cell>
          <cell r="AQ41">
            <v>177</v>
          </cell>
          <cell r="AR41">
            <v>186</v>
          </cell>
          <cell r="AS41">
            <v>202</v>
          </cell>
          <cell r="AT41">
            <v>176</v>
          </cell>
          <cell r="AU41">
            <v>217</v>
          </cell>
          <cell r="AV41">
            <v>5</v>
          </cell>
          <cell r="AW41">
            <v>6</v>
          </cell>
          <cell r="AX41">
            <v>7</v>
          </cell>
          <cell r="AY41">
            <v>2</v>
          </cell>
          <cell r="AZ41">
            <v>3</v>
          </cell>
          <cell r="BA41">
            <v>6</v>
          </cell>
          <cell r="BB41">
            <v>2.7649769585253458E-2</v>
          </cell>
          <cell r="BC41">
            <v>1.2732431477870355E-2</v>
          </cell>
          <cell r="BD41">
            <v>5.899983702501134E-2</v>
          </cell>
          <cell r="BE41">
            <v>7</v>
          </cell>
          <cell r="BF41">
            <v>294</v>
          </cell>
          <cell r="BG41">
            <v>388</v>
          </cell>
          <cell r="BH41">
            <v>185</v>
          </cell>
          <cell r="BI41">
            <v>0.15331473238785223</v>
          </cell>
          <cell r="BJ41">
            <v>2368</v>
          </cell>
          <cell r="BK41">
            <v>4334</v>
          </cell>
          <cell r="BL41">
            <v>2179</v>
          </cell>
          <cell r="BM41">
            <v>1435</v>
          </cell>
          <cell r="BN41">
            <v>2</v>
          </cell>
          <cell r="BO41">
            <v>250</v>
          </cell>
          <cell r="BP41">
            <v>324</v>
          </cell>
          <cell r="BQ41">
            <v>168</v>
          </cell>
          <cell r="BR41">
            <v>55</v>
          </cell>
          <cell r="BS41">
            <v>60</v>
          </cell>
          <cell r="BT41">
            <v>50</v>
          </cell>
          <cell r="BU41">
            <v>364</v>
          </cell>
          <cell r="BV41">
            <v>82</v>
          </cell>
          <cell r="BW41">
            <v>0.22527472527472528</v>
          </cell>
          <cell r="BX41">
            <v>27</v>
          </cell>
          <cell r="BY41">
            <v>9</v>
          </cell>
          <cell r="BZ41">
            <v>158</v>
          </cell>
          <cell r="CA41">
            <v>1.961271102284012E-2</v>
          </cell>
          <cell r="CB41">
            <v>85</v>
          </cell>
          <cell r="CC41">
            <v>80</v>
          </cell>
          <cell r="CD41">
            <v>95</v>
          </cell>
          <cell r="CE41">
            <v>75</v>
          </cell>
          <cell r="CF41">
            <v>275</v>
          </cell>
          <cell r="CG41">
            <v>8.4749999999999992E-2</v>
          </cell>
          <cell r="CH41">
            <v>275</v>
          </cell>
          <cell r="CI41">
            <v>7.2499999999999995E-2</v>
          </cell>
          <cell r="CJ41">
            <v>275</v>
          </cell>
          <cell r="CK41">
            <v>7.3083333333333347E-2</v>
          </cell>
          <cell r="CL41">
            <v>265</v>
          </cell>
          <cell r="CM41">
            <v>7.3416666666666672E-2</v>
          </cell>
          <cell r="CN41">
            <v>305</v>
          </cell>
          <cell r="CO41">
            <v>6.9916666666666669E-2</v>
          </cell>
          <cell r="CP41">
            <v>245</v>
          </cell>
          <cell r="CQ41">
            <v>6.6939890710382519E-2</v>
          </cell>
          <cell r="CR41">
            <v>205</v>
          </cell>
          <cell r="CS41">
            <v>7</v>
          </cell>
          <cell r="CT41">
            <v>198</v>
          </cell>
          <cell r="CU41">
            <v>0.96602240352240354</v>
          </cell>
          <cell r="CV41">
            <v>105</v>
          </cell>
          <cell r="CW41">
            <v>142</v>
          </cell>
          <cell r="CX41">
            <v>0.52804169514695831</v>
          </cell>
          <cell r="CY41">
            <v>0.73110749387065188</v>
          </cell>
          <cell r="CZ41">
            <v>0.46087105556409669</v>
          </cell>
          <cell r="DA41">
            <v>0.59858150525587306</v>
          </cell>
          <cell r="DB41">
            <v>0.65076780881350293</v>
          </cell>
          <cell r="DC41">
            <v>0.7753088770629466</v>
          </cell>
          <cell r="DD41">
            <v>165</v>
          </cell>
          <cell r="DE41">
            <v>2</v>
          </cell>
          <cell r="DF41">
            <v>1.2E-2</v>
          </cell>
          <cell r="DG41">
            <v>3.0000000000000001E-3</v>
          </cell>
          <cell r="DH41">
            <v>4.2999999999999997E-2</v>
          </cell>
          <cell r="DI41" t="str">
            <v>Sig better than Eng.</v>
          </cell>
          <cell r="DJ41">
            <v>191</v>
          </cell>
          <cell r="DK41">
            <v>5</v>
          </cell>
          <cell r="DL41">
            <v>2.5999999999999999E-2</v>
          </cell>
          <cell r="DM41">
            <v>1.0999999999999999E-2</v>
          </cell>
          <cell r="DN41">
            <v>0.06</v>
          </cell>
          <cell r="DO41" t="str">
            <v>Sig better than Eng.</v>
          </cell>
          <cell r="DP41">
            <v>203</v>
          </cell>
          <cell r="DQ41">
            <v>8</v>
          </cell>
          <cell r="DR41">
            <v>3.9408866995073892E-2</v>
          </cell>
          <cell r="DS41">
            <v>2.0102050271229469E-2</v>
          </cell>
          <cell r="DT41">
            <v>7.5823877411838186E-2</v>
          </cell>
          <cell r="DU41" t="str">
            <v>Sig better than Eng.</v>
          </cell>
          <cell r="DV41">
            <v>175</v>
          </cell>
          <cell r="DW41">
            <v>11</v>
          </cell>
          <cell r="DX41">
            <v>6.2857142857142861E-2</v>
          </cell>
          <cell r="DY41">
            <v>3.5457550361549364E-2</v>
          </cell>
          <cell r="DZ41">
            <v>0.10903612012792414</v>
          </cell>
          <cell r="EA41" t="str">
            <v>No Sig diff</v>
          </cell>
          <cell r="EB41">
            <v>174</v>
          </cell>
          <cell r="EC41">
            <v>14</v>
          </cell>
          <cell r="ED41">
            <v>0.08</v>
          </cell>
          <cell r="EE41">
            <v>4.9000000000000002E-2</v>
          </cell>
          <cell r="EF41">
            <v>0.13100000000000001</v>
          </cell>
          <cell r="EG41" t="str">
            <v>Sig better than Eng.</v>
          </cell>
          <cell r="EH41">
            <v>162</v>
          </cell>
          <cell r="EI41">
            <v>21</v>
          </cell>
          <cell r="EJ41">
            <v>0.13</v>
          </cell>
          <cell r="EK41">
            <v>8.5999999999999993E-2</v>
          </cell>
          <cell r="EL41">
            <v>0.19</v>
          </cell>
          <cell r="EM41" t="str">
            <v>No Sig diff</v>
          </cell>
          <cell r="EN41">
            <v>169</v>
          </cell>
          <cell r="EO41">
            <v>20</v>
          </cell>
          <cell r="EP41">
            <v>0.11834319526627218</v>
          </cell>
          <cell r="EQ41">
            <v>7.7928809241215022E-2</v>
          </cell>
          <cell r="ER41">
            <v>0.17572247974828192</v>
          </cell>
          <cell r="ES41" t="str">
            <v>Sig better than Eng.</v>
          </cell>
          <cell r="ET41">
            <v>178</v>
          </cell>
          <cell r="EU41">
            <v>18</v>
          </cell>
          <cell r="EV41">
            <v>0.10112359550561797</v>
          </cell>
          <cell r="EW41">
            <v>6.4926616688432873E-2</v>
          </cell>
          <cell r="EX41">
            <v>0.1541733568768916</v>
          </cell>
          <cell r="EY41" t="str">
            <v>Sig better than Eng.</v>
          </cell>
          <cell r="EZ41">
            <v>230</v>
          </cell>
          <cell r="FA41">
            <v>126</v>
          </cell>
          <cell r="FB41">
            <v>0.54782608695652169</v>
          </cell>
          <cell r="FC41">
            <v>0.48324428174249945</v>
          </cell>
          <cell r="FD41">
            <v>0.61083655452558616</v>
          </cell>
          <cell r="FE41">
            <v>230</v>
          </cell>
          <cell r="FF41">
            <v>34</v>
          </cell>
          <cell r="FG41">
            <v>46</v>
          </cell>
          <cell r="FH41">
            <v>24.347826086956513</v>
          </cell>
          <cell r="FI41">
            <v>0.28388746803069081</v>
          </cell>
          <cell r="FJ41">
            <v>254</v>
          </cell>
          <cell r="FK41">
            <v>168</v>
          </cell>
          <cell r="FL41">
            <v>0.66141732283464572</v>
          </cell>
          <cell r="FM41">
            <v>0.60120044816600826</v>
          </cell>
          <cell r="FN41">
            <v>0.71682443571049714</v>
          </cell>
          <cell r="FO41">
            <v>254</v>
          </cell>
          <cell r="FP41">
            <v>34</v>
          </cell>
          <cell r="FQ41">
            <v>50</v>
          </cell>
          <cell r="FR41">
            <v>27.059999999999995</v>
          </cell>
          <cell r="FS41">
            <v>0.20411764705882368</v>
          </cell>
          <cell r="FT41">
            <v>3264</v>
          </cell>
          <cell r="FU41">
            <v>3239</v>
          </cell>
          <cell r="FV41">
            <v>25</v>
          </cell>
          <cell r="FW41">
            <v>24</v>
          </cell>
          <cell r="FX41">
            <v>1</v>
          </cell>
          <cell r="FY41">
            <v>0.96</v>
          </cell>
          <cell r="FZ41">
            <v>0.04</v>
          </cell>
          <cell r="GA41">
            <v>0.91988817509650833</v>
          </cell>
          <cell r="GB41">
            <v>8.0111824903491571E-2</v>
          </cell>
          <cell r="GC41">
            <v>5.2836307068052514E-2</v>
          </cell>
          <cell r="GD41">
            <v>0.14150749816822447</v>
          </cell>
          <cell r="GE41">
            <v>0.93379961088294428</v>
          </cell>
          <cell r="GF41">
            <v>6.620038911705578E-2</v>
          </cell>
          <cell r="GG41">
            <v>4.3420566103405354E-2</v>
          </cell>
          <cell r="GH41">
            <v>0.12650941504912244</v>
          </cell>
          <cell r="GI41">
            <v>0.90401766443433107</v>
          </cell>
          <cell r="GJ41">
            <v>9.5982335565668889E-2</v>
          </cell>
          <cell r="GK41">
            <v>6.740122032002023E-2</v>
          </cell>
          <cell r="GL41">
            <v>0.16356332104188054</v>
          </cell>
          <cell r="GM41">
            <v>0.8422166953416953</v>
          </cell>
          <cell r="GN41">
            <v>0.15778330465830465</v>
          </cell>
          <cell r="GO41">
            <v>0.11864352018350914</v>
          </cell>
          <cell r="GP41">
            <v>0.23439014159713753</v>
          </cell>
          <cell r="GQ41">
            <v>56</v>
          </cell>
          <cell r="GR41">
            <v>52</v>
          </cell>
          <cell r="GS41">
            <v>52</v>
          </cell>
          <cell r="GT41">
            <v>53</v>
          </cell>
          <cell r="GU41">
            <v>52</v>
          </cell>
          <cell r="GV41">
            <v>70</v>
          </cell>
          <cell r="GW41">
            <v>63</v>
          </cell>
          <cell r="GX41">
            <v>63</v>
          </cell>
          <cell r="GY41">
            <v>60</v>
          </cell>
          <cell r="GZ41">
            <v>64</v>
          </cell>
          <cell r="HA41">
            <v>67</v>
          </cell>
          <cell r="HB41">
            <v>67</v>
          </cell>
          <cell r="HC41">
            <v>68</v>
          </cell>
          <cell r="HD41">
            <v>74</v>
          </cell>
          <cell r="HE41">
            <v>70</v>
          </cell>
          <cell r="HF41">
            <v>72</v>
          </cell>
          <cell r="HG41">
            <v>67</v>
          </cell>
          <cell r="HH41">
            <v>72</v>
          </cell>
          <cell r="HI41">
            <v>71</v>
          </cell>
          <cell r="HJ41">
            <v>56</v>
          </cell>
          <cell r="HK41">
            <v>71</v>
          </cell>
          <cell r="HL41">
            <v>67</v>
          </cell>
          <cell r="HM41">
            <v>72</v>
          </cell>
          <cell r="HN41">
            <v>14</v>
          </cell>
          <cell r="HO41">
            <v>1.237842617152962E-2</v>
          </cell>
          <cell r="HP41">
            <v>1748</v>
          </cell>
          <cell r="HQ41">
            <v>1643</v>
          </cell>
          <cell r="HR41">
            <v>105</v>
          </cell>
          <cell r="HS41">
            <v>6.0068649885583525E-2</v>
          </cell>
        </row>
        <row r="42">
          <cell r="A42" t="str">
            <v>The Gattons</v>
          </cell>
          <cell r="C42" t="str">
            <v>Mid Sussex</v>
          </cell>
          <cell r="D42" t="str">
            <v>Mid Sussex</v>
          </cell>
          <cell r="E42" t="str">
            <v>Mid Sussex</v>
          </cell>
          <cell r="F42" t="str">
            <v>Mid Sussex</v>
          </cell>
          <cell r="G42" t="str">
            <v>Burgess Hill Dunstall, Burgess Hill Victoria</v>
          </cell>
          <cell r="H42" t="str">
            <v>Burgess Hill</v>
          </cell>
          <cell r="I42" t="str">
            <v>C2</v>
          </cell>
          <cell r="J42" t="str">
            <v>Horsham and Mid Sussex</v>
          </cell>
          <cell r="K42" t="str">
            <v>Mid Sussex</v>
          </cell>
          <cell r="L42">
            <v>10660</v>
          </cell>
          <cell r="M42">
            <v>10735</v>
          </cell>
          <cell r="N42">
            <v>10835</v>
          </cell>
          <cell r="O42">
            <v>10865</v>
          </cell>
          <cell r="P42">
            <v>10945</v>
          </cell>
          <cell r="Q42">
            <v>10870</v>
          </cell>
          <cell r="R42">
            <v>11015</v>
          </cell>
          <cell r="S42">
            <v>11065</v>
          </cell>
          <cell r="T42">
            <v>11080</v>
          </cell>
          <cell r="U42">
            <v>11015</v>
          </cell>
          <cell r="V42">
            <v>895</v>
          </cell>
          <cell r="W42">
            <v>880</v>
          </cell>
          <cell r="X42">
            <v>890</v>
          </cell>
          <cell r="Y42">
            <v>855</v>
          </cell>
          <cell r="Z42">
            <v>850</v>
          </cell>
          <cell r="AA42">
            <v>815</v>
          </cell>
          <cell r="AB42">
            <v>825</v>
          </cell>
          <cell r="AC42">
            <v>810</v>
          </cell>
          <cell r="AD42">
            <v>780</v>
          </cell>
          <cell r="AE42">
            <v>765</v>
          </cell>
          <cell r="AF42">
            <v>0.89027431421446379</v>
          </cell>
          <cell r="AG42">
            <v>2.2443890274314215E-2</v>
          </cell>
          <cell r="AH42">
            <v>3.8653366583541147E-2</v>
          </cell>
          <cell r="AI42">
            <v>4.3640897755610975E-2</v>
          </cell>
          <cell r="AJ42">
            <v>4.9875311720698253E-3</v>
          </cell>
          <cell r="AK42">
            <v>0</v>
          </cell>
          <cell r="AL42">
            <v>0.10972568578553615</v>
          </cell>
          <cell r="AM42">
            <v>1615</v>
          </cell>
          <cell r="AN42">
            <v>0.71065675340768275</v>
          </cell>
          <cell r="AO42">
            <v>0.13444857496902107</v>
          </cell>
          <cell r="AP42">
            <v>0.15489467162329615</v>
          </cell>
          <cell r="AQ42">
            <v>146</v>
          </cell>
          <cell r="AR42">
            <v>149</v>
          </cell>
          <cell r="AS42">
            <v>140</v>
          </cell>
          <cell r="AT42">
            <v>139</v>
          </cell>
          <cell r="AU42">
            <v>139</v>
          </cell>
          <cell r="AV42">
            <v>5</v>
          </cell>
          <cell r="AW42">
            <v>5</v>
          </cell>
          <cell r="AX42">
            <v>3</v>
          </cell>
          <cell r="AY42">
            <v>0</v>
          </cell>
          <cell r="AZ42">
            <v>6</v>
          </cell>
          <cell r="BA42">
            <v>8</v>
          </cell>
          <cell r="BB42">
            <v>5.7553956834532377E-2</v>
          </cell>
          <cell r="BC42">
            <v>2.9448901559716051E-2</v>
          </cell>
          <cell r="BD42">
            <v>0.10945656037343801</v>
          </cell>
          <cell r="BE42">
            <v>7</v>
          </cell>
          <cell r="BF42">
            <v>258</v>
          </cell>
          <cell r="BG42">
            <v>268</v>
          </cell>
          <cell r="BH42">
            <v>121</v>
          </cell>
          <cell r="BI42">
            <v>0.14698135896818981</v>
          </cell>
          <cell r="BJ42">
            <v>1656</v>
          </cell>
          <cell r="BK42">
            <v>2925</v>
          </cell>
          <cell r="BL42">
            <v>1282</v>
          </cell>
          <cell r="BM42">
            <v>848</v>
          </cell>
          <cell r="BN42">
            <v>1</v>
          </cell>
          <cell r="BO42">
            <v>170</v>
          </cell>
          <cell r="BP42">
            <v>202</v>
          </cell>
          <cell r="BQ42">
            <v>61</v>
          </cell>
          <cell r="BR42">
            <v>55</v>
          </cell>
          <cell r="BS42">
            <v>60</v>
          </cell>
          <cell r="BT42">
            <v>40</v>
          </cell>
          <cell r="BU42">
            <v>291</v>
          </cell>
          <cell r="BV42">
            <v>68</v>
          </cell>
          <cell r="BW42">
            <v>0.23367697594501718</v>
          </cell>
          <cell r="BX42">
            <v>18</v>
          </cell>
          <cell r="BY42">
            <v>9</v>
          </cell>
          <cell r="BZ42">
            <v>96</v>
          </cell>
          <cell r="CA42">
            <v>2.2524636320976069E-2</v>
          </cell>
          <cell r="CB42">
            <v>95</v>
          </cell>
          <cell r="CC42">
            <v>90</v>
          </cell>
          <cell r="CD42">
            <v>80</v>
          </cell>
          <cell r="CE42">
            <v>70</v>
          </cell>
          <cell r="CF42">
            <v>245</v>
          </cell>
          <cell r="CG42">
            <v>0.10257142857142856</v>
          </cell>
          <cell r="CH42">
            <v>225</v>
          </cell>
          <cell r="CI42">
            <v>9.0142857142857122E-2</v>
          </cell>
          <cell r="CJ42">
            <v>250</v>
          </cell>
          <cell r="CK42">
            <v>9.9000000000000005E-2</v>
          </cell>
          <cell r="CL42">
            <v>230</v>
          </cell>
          <cell r="CM42">
            <v>8.7714285714285731E-2</v>
          </cell>
          <cell r="CN42">
            <v>260</v>
          </cell>
          <cell r="CO42">
            <v>0.10242857142857142</v>
          </cell>
          <cell r="CP42">
            <v>200</v>
          </cell>
          <cell r="CQ42">
            <v>8.1632653061224483E-2</v>
          </cell>
          <cell r="CR42">
            <v>128</v>
          </cell>
          <cell r="CS42">
            <v>4</v>
          </cell>
          <cell r="CT42">
            <v>124</v>
          </cell>
          <cell r="CU42">
            <v>0.96561533704390845</v>
          </cell>
          <cell r="CV42">
            <v>50</v>
          </cell>
          <cell r="CW42">
            <v>63</v>
          </cell>
          <cell r="CX42">
            <v>0.39850440176070434</v>
          </cell>
          <cell r="CY42">
            <v>0.50356309190342807</v>
          </cell>
          <cell r="CZ42">
            <v>0.32104885004590489</v>
          </cell>
          <cell r="DA42">
            <v>0.49121883120964888</v>
          </cell>
          <cell r="DB42">
            <v>0.42115888884621255</v>
          </cell>
          <cell r="DC42">
            <v>0.59448547104915794</v>
          </cell>
          <cell r="DD42">
            <v>151</v>
          </cell>
          <cell r="DE42">
            <v>12</v>
          </cell>
          <cell r="DF42">
            <v>7.9470198675496692E-2</v>
          </cell>
          <cell r="DG42">
            <v>4.604266587121892E-2</v>
          </cell>
          <cell r="DH42">
            <v>0.13376356324041996</v>
          </cell>
          <cell r="DI42" t="str">
            <v>No Sig diff</v>
          </cell>
          <cell r="DJ42">
            <v>141</v>
          </cell>
          <cell r="DK42">
            <v>7</v>
          </cell>
          <cell r="DL42">
            <v>4.9645390070921988E-2</v>
          </cell>
          <cell r="DM42">
            <v>2.4253530324488039E-2</v>
          </cell>
          <cell r="DN42">
            <v>9.8925695885742862E-2</v>
          </cell>
          <cell r="DO42" t="str">
            <v>No Sig diff</v>
          </cell>
          <cell r="DP42">
            <v>143</v>
          </cell>
          <cell r="DQ42">
            <v>12</v>
          </cell>
          <cell r="DR42">
            <v>8.3916083916083919E-2</v>
          </cell>
          <cell r="DS42">
            <v>4.8653962460813528E-2</v>
          </cell>
          <cell r="DT42">
            <v>0.14094820469479138</v>
          </cell>
          <cell r="DU42" t="str">
            <v>No Sig diff</v>
          </cell>
          <cell r="DV42">
            <v>101</v>
          </cell>
          <cell r="DW42">
            <v>5</v>
          </cell>
          <cell r="DX42">
            <v>4.9504950495049507E-2</v>
          </cell>
          <cell r="DY42">
            <v>2.1328509888006445E-2</v>
          </cell>
          <cell r="DZ42">
            <v>0.11069425072968564</v>
          </cell>
          <cell r="EA42" t="str">
            <v>No Sig diff</v>
          </cell>
          <cell r="EB42">
            <v>159</v>
          </cell>
          <cell r="EC42">
            <v>34</v>
          </cell>
          <cell r="ED42">
            <v>0.21383647798742139</v>
          </cell>
          <cell r="EE42">
            <v>0.15725209441968857</v>
          </cell>
          <cell r="EF42">
            <v>0.28392215776997809</v>
          </cell>
          <cell r="EG42" t="str">
            <v>No Sig diff</v>
          </cell>
          <cell r="EH42">
            <v>120</v>
          </cell>
          <cell r="EI42">
            <v>18</v>
          </cell>
          <cell r="EJ42">
            <v>0.15</v>
          </cell>
          <cell r="EK42">
            <v>9.7038122925847389E-2</v>
          </cell>
          <cell r="EL42">
            <v>0.22467529356724508</v>
          </cell>
          <cell r="EM42" t="str">
            <v>No Sig diff</v>
          </cell>
          <cell r="EN42">
            <v>135</v>
          </cell>
          <cell r="EO42">
            <v>16</v>
          </cell>
          <cell r="EP42">
            <v>0.11851851851851852</v>
          </cell>
          <cell r="EQ42">
            <v>7.4283486027595741E-2</v>
          </cell>
          <cell r="ER42">
            <v>0.18386317365984914</v>
          </cell>
          <cell r="ES42" t="str">
            <v>Sig better than Eng.</v>
          </cell>
          <cell r="ET42">
            <v>128</v>
          </cell>
          <cell r="EU42">
            <v>21</v>
          </cell>
          <cell r="EV42">
            <v>0.1640625</v>
          </cell>
          <cell r="EW42">
            <v>0.10988331645919329</v>
          </cell>
          <cell r="EX42">
            <v>0.23781807603707014</v>
          </cell>
          <cell r="EY42" t="str">
            <v>No Sig diff</v>
          </cell>
          <cell r="EZ42">
            <v>163</v>
          </cell>
          <cell r="FA42">
            <v>108</v>
          </cell>
          <cell r="FB42">
            <v>0.66257668711656437</v>
          </cell>
          <cell r="FC42">
            <v>0.58698917481437962</v>
          </cell>
          <cell r="FD42">
            <v>0.73067767115200299</v>
          </cell>
          <cell r="FE42">
            <v>163</v>
          </cell>
          <cell r="FF42">
            <v>35</v>
          </cell>
          <cell r="FG42">
            <v>32</v>
          </cell>
          <cell r="FH42">
            <v>26.906250000000004</v>
          </cell>
          <cell r="FI42">
            <v>0.2312499999999999</v>
          </cell>
          <cell r="FJ42">
            <v>150</v>
          </cell>
          <cell r="FK42">
            <v>107</v>
          </cell>
          <cell r="FL42">
            <v>0.71333333333333337</v>
          </cell>
          <cell r="FM42">
            <v>0.63635082260833997</v>
          </cell>
          <cell r="FN42">
            <v>0.77966187312794732</v>
          </cell>
          <cell r="FO42">
            <v>150</v>
          </cell>
          <cell r="FP42">
            <v>34</v>
          </cell>
          <cell r="FQ42">
            <v>30</v>
          </cell>
          <cell r="FR42">
            <v>29.633333333333329</v>
          </cell>
          <cell r="FS42">
            <v>0.12843137254901973</v>
          </cell>
          <cell r="FT42">
            <v>2111</v>
          </cell>
          <cell r="FU42">
            <v>2085</v>
          </cell>
          <cell r="FV42">
            <v>26</v>
          </cell>
          <cell r="FW42">
            <v>25</v>
          </cell>
          <cell r="FX42">
            <v>1</v>
          </cell>
          <cell r="FY42">
            <v>0.96153846153846156</v>
          </cell>
          <cell r="FZ42">
            <v>3.8461538461538464E-2</v>
          </cell>
          <cell r="GA42">
            <v>0.94065934065934076</v>
          </cell>
          <cell r="GB42">
            <v>5.9340659340659338E-2</v>
          </cell>
          <cell r="GC42">
            <v>2.5950008789329414E-2</v>
          </cell>
          <cell r="GD42">
            <v>0.11697106055647577</v>
          </cell>
          <cell r="GE42">
            <v>0.9580586080586081</v>
          </cell>
          <cell r="GF42">
            <v>4.1941391941391945E-2</v>
          </cell>
          <cell r="GG42">
            <v>1.4631662528342755E-2</v>
          </cell>
          <cell r="GH42">
            <v>9.2201872895180545E-2</v>
          </cell>
          <cell r="GI42">
            <v>0.9580586080586081</v>
          </cell>
          <cell r="GJ42">
            <v>4.1941391941391945E-2</v>
          </cell>
          <cell r="GK42">
            <v>1.4631662528342755E-2</v>
          </cell>
          <cell r="GL42">
            <v>9.2201872895180545E-2</v>
          </cell>
          <cell r="GM42">
            <v>0.88284465534465539</v>
          </cell>
          <cell r="GN42">
            <v>0.11715534465534468</v>
          </cell>
          <cell r="GO42">
            <v>7.3800941708644846E-2</v>
          </cell>
          <cell r="GP42">
            <v>0.20037363859888463</v>
          </cell>
          <cell r="GQ42">
            <v>35</v>
          </cell>
          <cell r="GR42">
            <v>34</v>
          </cell>
          <cell r="GS42">
            <v>34</v>
          </cell>
          <cell r="GT42">
            <v>35</v>
          </cell>
          <cell r="GU42">
            <v>34</v>
          </cell>
          <cell r="GV42">
            <v>38</v>
          </cell>
          <cell r="GW42">
            <v>38</v>
          </cell>
          <cell r="GX42">
            <v>38</v>
          </cell>
          <cell r="GY42">
            <v>38</v>
          </cell>
          <cell r="GZ42">
            <v>38</v>
          </cell>
          <cell r="HA42">
            <v>38</v>
          </cell>
          <cell r="HB42">
            <v>37</v>
          </cell>
          <cell r="HC42">
            <v>38</v>
          </cell>
          <cell r="HD42">
            <v>46</v>
          </cell>
          <cell r="HE42">
            <v>45</v>
          </cell>
          <cell r="HF42">
            <v>43</v>
          </cell>
          <cell r="HG42">
            <v>44</v>
          </cell>
          <cell r="HH42">
            <v>43</v>
          </cell>
          <cell r="HI42">
            <v>43</v>
          </cell>
          <cell r="HJ42">
            <v>42</v>
          </cell>
          <cell r="HK42">
            <v>43</v>
          </cell>
          <cell r="HL42">
            <v>42</v>
          </cell>
          <cell r="HM42">
            <v>43</v>
          </cell>
          <cell r="HN42">
            <v>7</v>
          </cell>
          <cell r="HO42">
            <v>8.7281795511221939E-3</v>
          </cell>
          <cell r="HP42">
            <v>1306</v>
          </cell>
          <cell r="HQ42">
            <v>1227</v>
          </cell>
          <cell r="HR42">
            <v>79</v>
          </cell>
          <cell r="HS42">
            <v>6.0490045941807041E-2</v>
          </cell>
        </row>
        <row r="43">
          <cell r="A43" t="str">
            <v>The Needles</v>
          </cell>
          <cell r="C43" t="str">
            <v>Horsham</v>
          </cell>
          <cell r="D43" t="str">
            <v>Horsham Town</v>
          </cell>
          <cell r="E43" t="str">
            <v>Horsham</v>
          </cell>
          <cell r="F43" t="str">
            <v>Horsham</v>
          </cell>
          <cell r="G43" t="str">
            <v>Denne, Holbrook West, Trafalgar</v>
          </cell>
          <cell r="H43" t="str">
            <v>Horsham E</v>
          </cell>
          <cell r="I43" t="str">
            <v>C3</v>
          </cell>
          <cell r="J43" t="str">
            <v>Horsham and Mid Sussex</v>
          </cell>
          <cell r="K43" t="str">
            <v>Horsham</v>
          </cell>
          <cell r="L43">
            <v>13510</v>
          </cell>
          <cell r="M43">
            <v>13700</v>
          </cell>
          <cell r="N43">
            <v>14090</v>
          </cell>
          <cell r="O43">
            <v>14320</v>
          </cell>
          <cell r="P43">
            <v>14400</v>
          </cell>
          <cell r="Q43">
            <v>14500</v>
          </cell>
          <cell r="R43">
            <v>14600</v>
          </cell>
          <cell r="S43">
            <v>14840</v>
          </cell>
          <cell r="T43">
            <v>15055</v>
          </cell>
          <cell r="U43">
            <v>15260</v>
          </cell>
          <cell r="V43">
            <v>820</v>
          </cell>
          <cell r="W43">
            <v>775</v>
          </cell>
          <cell r="X43">
            <v>800</v>
          </cell>
          <cell r="Y43">
            <v>865</v>
          </cell>
          <cell r="Z43">
            <v>865</v>
          </cell>
          <cell r="AA43">
            <v>900</v>
          </cell>
          <cell r="AB43">
            <v>900</v>
          </cell>
          <cell r="AC43">
            <v>915</v>
          </cell>
          <cell r="AD43">
            <v>940</v>
          </cell>
          <cell r="AE43">
            <v>985</v>
          </cell>
          <cell r="AF43">
            <v>0.83986562150055988</v>
          </cell>
          <cell r="AG43">
            <v>4.3673012318029114E-2</v>
          </cell>
          <cell r="AH43">
            <v>4.9272116461366179E-2</v>
          </cell>
          <cell r="AI43">
            <v>5.5991041433370664E-2</v>
          </cell>
          <cell r="AJ43">
            <v>6.7189249720044789E-3</v>
          </cell>
          <cell r="AK43">
            <v>4.4792833146696529E-3</v>
          </cell>
          <cell r="AL43">
            <v>0.16013437849944009</v>
          </cell>
          <cell r="AM43">
            <v>1710</v>
          </cell>
          <cell r="AN43">
            <v>0.66764189584552369</v>
          </cell>
          <cell r="AO43">
            <v>0.14921006436512579</v>
          </cell>
          <cell r="AP43">
            <v>0.18314803978935049</v>
          </cell>
          <cell r="AQ43">
            <v>174</v>
          </cell>
          <cell r="AR43">
            <v>164</v>
          </cell>
          <cell r="AS43">
            <v>195</v>
          </cell>
          <cell r="AT43">
            <v>156</v>
          </cell>
          <cell r="AU43">
            <v>196</v>
          </cell>
          <cell r="AV43">
            <v>2</v>
          </cell>
          <cell r="AW43">
            <v>3</v>
          </cell>
          <cell r="AX43">
            <v>3</v>
          </cell>
          <cell r="AY43">
            <v>1</v>
          </cell>
          <cell r="AZ43">
            <v>2</v>
          </cell>
          <cell r="BA43">
            <v>16</v>
          </cell>
          <cell r="BB43">
            <v>8.1632653061224483E-2</v>
          </cell>
          <cell r="BC43">
            <v>5.0870551452464711E-2</v>
          </cell>
          <cell r="BD43">
            <v>0.12847891402983311</v>
          </cell>
          <cell r="BE43">
            <v>4</v>
          </cell>
          <cell r="BF43">
            <v>291</v>
          </cell>
          <cell r="BG43">
            <v>299</v>
          </cell>
          <cell r="BH43">
            <v>111</v>
          </cell>
          <cell r="BI43">
            <v>0.13630790713323415</v>
          </cell>
          <cell r="BJ43">
            <v>1691</v>
          </cell>
          <cell r="BK43">
            <v>2953</v>
          </cell>
          <cell r="BL43">
            <v>1667</v>
          </cell>
          <cell r="BM43">
            <v>1141</v>
          </cell>
          <cell r="BN43">
            <v>1</v>
          </cell>
          <cell r="BO43">
            <v>169</v>
          </cell>
          <cell r="BP43">
            <v>262</v>
          </cell>
          <cell r="BQ43">
            <v>94</v>
          </cell>
          <cell r="BR43">
            <v>65</v>
          </cell>
          <cell r="BS43">
            <v>70</v>
          </cell>
          <cell r="BT43">
            <v>70</v>
          </cell>
          <cell r="BU43">
            <v>286</v>
          </cell>
          <cell r="BV43">
            <v>85</v>
          </cell>
          <cell r="BW43">
            <v>0.29720279720279719</v>
          </cell>
          <cell r="BX43">
            <v>31</v>
          </cell>
          <cell r="BY43">
            <v>9</v>
          </cell>
          <cell r="BZ43">
            <v>200</v>
          </cell>
          <cell r="CA43">
            <v>3.0211480362537766E-2</v>
          </cell>
          <cell r="CB43">
            <v>95</v>
          </cell>
          <cell r="CC43">
            <v>80</v>
          </cell>
          <cell r="CD43">
            <v>105</v>
          </cell>
          <cell r="CE43">
            <v>100</v>
          </cell>
          <cell r="CF43">
            <v>235</v>
          </cell>
          <cell r="CG43">
            <v>0.1037777777777778</v>
          </cell>
          <cell r="CH43">
            <v>235</v>
          </cell>
          <cell r="CI43">
            <v>0.10033333333333334</v>
          </cell>
          <cell r="CJ43">
            <v>245</v>
          </cell>
          <cell r="CK43">
            <v>9.6000000000000016E-2</v>
          </cell>
          <cell r="CL43">
            <v>250</v>
          </cell>
          <cell r="CM43">
            <v>9.2000000000000026E-2</v>
          </cell>
          <cell r="CN43">
            <v>260</v>
          </cell>
          <cell r="CO43">
            <v>8.8888888888888906E-2</v>
          </cell>
          <cell r="CP43">
            <v>230</v>
          </cell>
          <cell r="CQ43">
            <v>8.9668615984405453E-2</v>
          </cell>
          <cell r="CR43">
            <v>154</v>
          </cell>
          <cell r="CS43">
            <v>3</v>
          </cell>
          <cell r="CT43">
            <v>151</v>
          </cell>
          <cell r="CU43">
            <v>0.9781201369436664</v>
          </cell>
          <cell r="CV43">
            <v>73</v>
          </cell>
          <cell r="CW43">
            <v>92</v>
          </cell>
          <cell r="CX43">
            <v>0.48621979871979876</v>
          </cell>
          <cell r="CY43">
            <v>0.60651000234333574</v>
          </cell>
          <cell r="CZ43">
            <v>0.40514083756405994</v>
          </cell>
          <cell r="DA43">
            <v>0.56256809853579959</v>
          </cell>
          <cell r="DB43">
            <v>0.52966070139484978</v>
          </cell>
          <cell r="DC43">
            <v>0.68346032034607762</v>
          </cell>
          <cell r="DD43">
            <v>149</v>
          </cell>
          <cell r="DE43">
            <v>5</v>
          </cell>
          <cell r="DF43">
            <v>3.3557046979865772E-2</v>
          </cell>
          <cell r="DG43">
            <v>1.4417106348108081E-2</v>
          </cell>
          <cell r="DH43">
            <v>7.6143785490357191E-2</v>
          </cell>
          <cell r="DI43" t="str">
            <v>Sig better than Eng.</v>
          </cell>
          <cell r="DJ43">
            <v>141</v>
          </cell>
          <cell r="DK43">
            <v>9</v>
          </cell>
          <cell r="DL43">
            <v>6.3829787234042548E-2</v>
          </cell>
          <cell r="DM43">
            <v>3.3941271284132213E-2</v>
          </cell>
          <cell r="DN43">
            <v>0.11685435725018591</v>
          </cell>
          <cell r="DO43" t="str">
            <v>No Sig diff</v>
          </cell>
          <cell r="DP43">
            <v>80</v>
          </cell>
          <cell r="DQ43">
            <v>8</v>
          </cell>
          <cell r="DR43">
            <v>0.1</v>
          </cell>
          <cell r="DS43">
            <v>5.1547615567380821E-2</v>
          </cell>
          <cell r="DT43">
            <v>0.18510688806104081</v>
          </cell>
          <cell r="DU43" t="str">
            <v>No Sig diff</v>
          </cell>
          <cell r="DV43">
            <v>133</v>
          </cell>
          <cell r="DW43">
            <v>7</v>
          </cell>
          <cell r="DX43">
            <v>5.2631578947368418E-2</v>
          </cell>
          <cell r="DY43">
            <v>2.5725728312537676E-2</v>
          </cell>
          <cell r="DZ43">
            <v>0.10465477898731589</v>
          </cell>
          <cell r="EA43" t="str">
            <v>No Sig diff</v>
          </cell>
          <cell r="EB43">
            <v>125</v>
          </cell>
          <cell r="EC43">
            <v>23</v>
          </cell>
          <cell r="ED43">
            <v>0.184</v>
          </cell>
          <cell r="EE43">
            <v>0.12585414090214395</v>
          </cell>
          <cell r="EF43">
            <v>0.26098918792151837</v>
          </cell>
          <cell r="EG43" t="str">
            <v>No Sig diff</v>
          </cell>
          <cell r="EH43">
            <v>158</v>
          </cell>
          <cell r="EI43">
            <v>24</v>
          </cell>
          <cell r="EJ43">
            <v>0.15189873417721519</v>
          </cell>
          <cell r="EK43">
            <v>0.10425003468710974</v>
          </cell>
          <cell r="EL43">
            <v>0.21607245374355769</v>
          </cell>
          <cell r="EM43" t="str">
            <v>No Sig diff</v>
          </cell>
          <cell r="EN43">
            <v>117</v>
          </cell>
          <cell r="EO43">
            <v>10</v>
          </cell>
          <cell r="EP43">
            <v>8.5470085470085472E-2</v>
          </cell>
          <cell r="EQ43">
            <v>4.7087483244617576E-2</v>
          </cell>
          <cell r="ER43">
            <v>0.15020787427064</v>
          </cell>
          <cell r="ES43" t="str">
            <v>Sig better than Eng.</v>
          </cell>
          <cell r="ET43">
            <v>119</v>
          </cell>
          <cell r="EU43">
            <v>9</v>
          </cell>
          <cell r="EV43">
            <v>7.5630252100840331E-2</v>
          </cell>
          <cell r="EW43">
            <v>4.0297241660835648E-2</v>
          </cell>
          <cell r="EX43">
            <v>0.13750477266215499</v>
          </cell>
          <cell r="EY43" t="str">
            <v>Sig better than Eng.</v>
          </cell>
          <cell r="EZ43">
            <v>162</v>
          </cell>
          <cell r="FA43">
            <v>96</v>
          </cell>
          <cell r="FB43">
            <v>0.59259259259259256</v>
          </cell>
          <cell r="FC43">
            <v>0.51563559092203559</v>
          </cell>
          <cell r="FD43">
            <v>0.66526006818113026</v>
          </cell>
          <cell r="FE43">
            <v>162</v>
          </cell>
          <cell r="FF43">
            <v>34</v>
          </cell>
          <cell r="FG43">
            <v>32</v>
          </cell>
          <cell r="FH43">
            <v>24.46875</v>
          </cell>
          <cell r="FI43">
            <v>0.28033088235294118</v>
          </cell>
          <cell r="FJ43">
            <v>185</v>
          </cell>
          <cell r="FK43">
            <v>101</v>
          </cell>
          <cell r="FL43">
            <v>0.54594594594594592</v>
          </cell>
          <cell r="FM43">
            <v>0.47399376090072665</v>
          </cell>
          <cell r="FN43">
            <v>0.61602884380781664</v>
          </cell>
          <cell r="FO43">
            <v>185</v>
          </cell>
          <cell r="FP43">
            <v>34</v>
          </cell>
          <cell r="FQ43">
            <v>37</v>
          </cell>
          <cell r="FR43">
            <v>24.783783783783782</v>
          </cell>
          <cell r="FS43">
            <v>0.27106518282988873</v>
          </cell>
          <cell r="FT43">
            <v>2096</v>
          </cell>
          <cell r="FU43">
            <v>2025</v>
          </cell>
          <cell r="FV43">
            <v>71</v>
          </cell>
          <cell r="FW43">
            <v>56</v>
          </cell>
          <cell r="FX43">
            <v>15</v>
          </cell>
          <cell r="FY43">
            <v>0.78873239436619713</v>
          </cell>
          <cell r="FZ43">
            <v>0.21126760563380281</v>
          </cell>
          <cell r="GA43">
            <v>0.95912975912975917</v>
          </cell>
          <cell r="GB43">
            <v>4.0870240870240868E-2</v>
          </cell>
          <cell r="GC43">
            <v>1.7224087727905863E-2</v>
          </cell>
          <cell r="GD43">
            <v>0.10763251528174392</v>
          </cell>
          <cell r="GE43">
            <v>0.96767676767676769</v>
          </cell>
          <cell r="GF43">
            <v>3.2323232323232323E-2</v>
          </cell>
          <cell r="GG43">
            <v>1.1274202463345791E-2</v>
          </cell>
          <cell r="GH43">
            <v>9.2494607847741314E-2</v>
          </cell>
          <cell r="GI43">
            <v>0.95912975912975895</v>
          </cell>
          <cell r="GJ43">
            <v>4.0870240870240875E-2</v>
          </cell>
          <cell r="GK43">
            <v>1.7224087727905863E-2</v>
          </cell>
          <cell r="GL43">
            <v>0.10763251528174392</v>
          </cell>
          <cell r="GM43">
            <v>0.83677356594023267</v>
          </cell>
          <cell r="GN43">
            <v>0.16322643405976739</v>
          </cell>
          <cell r="GO43">
            <v>9.607722097921384E-2</v>
          </cell>
          <cell r="GP43">
            <v>0.24688972487264566</v>
          </cell>
          <cell r="GQ43">
            <v>49</v>
          </cell>
          <cell r="GR43">
            <v>45</v>
          </cell>
          <cell r="GS43">
            <v>45</v>
          </cell>
          <cell r="GT43">
            <v>47</v>
          </cell>
          <cell r="GU43">
            <v>45</v>
          </cell>
          <cell r="GV43">
            <v>54</v>
          </cell>
          <cell r="GW43">
            <v>50</v>
          </cell>
          <cell r="GX43">
            <v>50</v>
          </cell>
          <cell r="GY43">
            <v>50</v>
          </cell>
          <cell r="GZ43">
            <v>50</v>
          </cell>
          <cell r="HA43">
            <v>49</v>
          </cell>
          <cell r="HB43">
            <v>50</v>
          </cell>
          <cell r="HC43">
            <v>50</v>
          </cell>
          <cell r="HD43">
            <v>48</v>
          </cell>
          <cell r="HE43">
            <v>45</v>
          </cell>
          <cell r="HF43">
            <v>45</v>
          </cell>
          <cell r="HG43">
            <v>43</v>
          </cell>
          <cell r="HH43">
            <v>45</v>
          </cell>
          <cell r="HI43">
            <v>46</v>
          </cell>
          <cell r="HJ43">
            <v>43</v>
          </cell>
          <cell r="HK43">
            <v>46</v>
          </cell>
          <cell r="HL43">
            <v>45</v>
          </cell>
          <cell r="HM43">
            <v>45</v>
          </cell>
          <cell r="HN43">
            <v>17</v>
          </cell>
          <cell r="HO43">
            <v>1.9036954087346025E-2</v>
          </cell>
          <cell r="HP43">
            <v>1395</v>
          </cell>
          <cell r="HQ43">
            <v>1297</v>
          </cell>
          <cell r="HR43">
            <v>98</v>
          </cell>
          <cell r="HS43">
            <v>7.0250896057347675E-2</v>
          </cell>
        </row>
        <row r="44">
          <cell r="A44" t="str">
            <v>The Villages</v>
          </cell>
          <cell r="C44" t="str">
            <v>Arun West</v>
          </cell>
          <cell r="D44" t="str">
            <v>Arun West North</v>
          </cell>
          <cell r="E44" t="str">
            <v>Arun</v>
          </cell>
          <cell r="F44" t="str">
            <v>Arch</v>
          </cell>
          <cell r="G44" t="str">
            <v>Arundel, Barnham, Walberton, Yapton</v>
          </cell>
          <cell r="H44" t="str">
            <v>Barnham/Westergate</v>
          </cell>
          <cell r="I44" t="str">
            <v>A</v>
          </cell>
          <cell r="J44" t="str">
            <v>Coastal West Sussex</v>
          </cell>
          <cell r="K44" t="str">
            <v>Bognor Regis and Littlehampton</v>
          </cell>
          <cell r="L44">
            <v>21245</v>
          </cell>
          <cell r="M44">
            <v>21405</v>
          </cell>
          <cell r="N44">
            <v>21340</v>
          </cell>
          <cell r="O44">
            <v>21505</v>
          </cell>
          <cell r="P44">
            <v>21720</v>
          </cell>
          <cell r="Q44">
            <v>21695</v>
          </cell>
          <cell r="R44">
            <v>21740</v>
          </cell>
          <cell r="S44">
            <v>21775</v>
          </cell>
          <cell r="T44">
            <v>21950</v>
          </cell>
          <cell r="U44">
            <v>22015</v>
          </cell>
          <cell r="V44">
            <v>1045</v>
          </cell>
          <cell r="W44">
            <v>1050</v>
          </cell>
          <cell r="X44">
            <v>1060</v>
          </cell>
          <cell r="Y44">
            <v>1040</v>
          </cell>
          <cell r="Z44">
            <v>1035</v>
          </cell>
          <cell r="AA44">
            <v>1035</v>
          </cell>
          <cell r="AB44">
            <v>1020</v>
          </cell>
          <cell r="AC44">
            <v>1020</v>
          </cell>
          <cell r="AD44">
            <v>1030</v>
          </cell>
          <cell r="AE44">
            <v>1030</v>
          </cell>
          <cell r="AF44">
            <v>0.93579766536964981</v>
          </cell>
          <cell r="AG44">
            <v>2.5291828793774319E-2</v>
          </cell>
          <cell r="AH44">
            <v>2.4319066147859923E-2</v>
          </cell>
          <cell r="AI44">
            <v>1.4591439688715954E-2</v>
          </cell>
          <cell r="AJ44">
            <v>0</v>
          </cell>
          <cell r="AK44">
            <v>0</v>
          </cell>
          <cell r="AL44">
            <v>6.4202334630350189E-2</v>
          </cell>
          <cell r="AM44">
            <v>2185</v>
          </cell>
          <cell r="AN44">
            <v>0.69258920402561752</v>
          </cell>
          <cell r="AO44">
            <v>0.12305580969807868</v>
          </cell>
          <cell r="AP44">
            <v>0.18435498627630376</v>
          </cell>
          <cell r="AQ44">
            <v>185</v>
          </cell>
          <cell r="AR44">
            <v>191</v>
          </cell>
          <cell r="AS44">
            <v>178</v>
          </cell>
          <cell r="AT44">
            <v>212</v>
          </cell>
          <cell r="AU44">
            <v>164</v>
          </cell>
          <cell r="AV44">
            <v>7</v>
          </cell>
          <cell r="AW44">
            <v>6</v>
          </cell>
          <cell r="AX44">
            <v>6</v>
          </cell>
          <cell r="AY44">
            <v>4</v>
          </cell>
          <cell r="AZ44">
            <v>6</v>
          </cell>
          <cell r="BA44">
            <v>10</v>
          </cell>
          <cell r="BB44">
            <v>6.097560975609756E-2</v>
          </cell>
          <cell r="BC44">
            <v>3.3454561325115796E-2</v>
          </cell>
          <cell r="BD44">
            <v>0.10859293390169864</v>
          </cell>
          <cell r="BE44">
            <v>12</v>
          </cell>
          <cell r="BF44">
            <v>269</v>
          </cell>
          <cell r="BG44">
            <v>371</v>
          </cell>
          <cell r="BH44">
            <v>159</v>
          </cell>
          <cell r="BI44">
            <v>0.14517552228463421</v>
          </cell>
          <cell r="BJ44">
            <v>2354</v>
          </cell>
          <cell r="BK44">
            <v>4219</v>
          </cell>
          <cell r="BL44">
            <v>2370</v>
          </cell>
          <cell r="BM44">
            <v>1475</v>
          </cell>
          <cell r="BN44">
            <v>2</v>
          </cell>
          <cell r="BO44">
            <v>285</v>
          </cell>
          <cell r="BP44">
            <v>418</v>
          </cell>
          <cell r="BQ44">
            <v>190</v>
          </cell>
          <cell r="BR44">
            <v>105</v>
          </cell>
          <cell r="BS44">
            <v>80</v>
          </cell>
          <cell r="BT44">
            <v>90</v>
          </cell>
          <cell r="BU44">
            <v>416</v>
          </cell>
          <cell r="BV44">
            <v>126</v>
          </cell>
          <cell r="BW44">
            <v>0.30288461538461536</v>
          </cell>
          <cell r="BX44">
            <v>43</v>
          </cell>
          <cell r="BY44">
            <v>4</v>
          </cell>
          <cell r="BZ44">
            <v>251</v>
          </cell>
          <cell r="CA44">
            <v>2.7713370873357623E-2</v>
          </cell>
          <cell r="CB44">
            <v>110</v>
          </cell>
          <cell r="CC44">
            <v>135</v>
          </cell>
          <cell r="CD44">
            <v>155</v>
          </cell>
          <cell r="CE44">
            <v>140</v>
          </cell>
          <cell r="CF44">
            <v>420</v>
          </cell>
          <cell r="CG44">
            <v>0.11600000000000001</v>
          </cell>
          <cell r="CH44">
            <v>385</v>
          </cell>
          <cell r="CI44">
            <v>0.11278571428571428</v>
          </cell>
          <cell r="CJ44">
            <v>435</v>
          </cell>
          <cell r="CK44">
            <v>0.11542857142857142</v>
          </cell>
          <cell r="CL44">
            <v>415</v>
          </cell>
          <cell r="CM44">
            <v>0.10264285714285715</v>
          </cell>
          <cell r="CN44">
            <v>440</v>
          </cell>
          <cell r="CO44">
            <v>0.11557142857142859</v>
          </cell>
          <cell r="CP44">
            <v>365</v>
          </cell>
          <cell r="CQ44">
            <v>9.9455040871934602E-2</v>
          </cell>
          <cell r="CR44">
            <v>207</v>
          </cell>
          <cell r="CS44">
            <v>14</v>
          </cell>
          <cell r="CT44">
            <v>193</v>
          </cell>
          <cell r="CU44">
            <v>0.93933534952442532</v>
          </cell>
          <cell r="CV44">
            <v>85</v>
          </cell>
          <cell r="CW44">
            <v>110</v>
          </cell>
          <cell r="CX44">
            <v>0.46018530409875624</v>
          </cell>
          <cell r="CY44">
            <v>0.60210405672566514</v>
          </cell>
          <cell r="CZ44">
            <v>0.37221521505149513</v>
          </cell>
          <cell r="DA44">
            <v>0.51093956523884998</v>
          </cell>
          <cell r="DB44">
            <v>0.49940629268557302</v>
          </cell>
          <cell r="DC44">
            <v>0.63775983479967402</v>
          </cell>
          <cell r="DD44">
            <v>174</v>
          </cell>
          <cell r="DE44">
            <v>27</v>
          </cell>
          <cell r="DF44">
            <v>0.15517241379310345</v>
          </cell>
          <cell r="DG44">
            <v>0.10888846203868341</v>
          </cell>
          <cell r="DH44">
            <v>0.21635324034192896</v>
          </cell>
          <cell r="DI44" t="str">
            <v>Sig worse than Eng.</v>
          </cell>
          <cell r="DJ44">
            <v>178</v>
          </cell>
          <cell r="DK44">
            <v>13</v>
          </cell>
          <cell r="DL44">
            <v>7.3033707865168537E-2</v>
          </cell>
          <cell r="DM44">
            <v>4.3175025310267297E-2</v>
          </cell>
          <cell r="DN44">
            <v>0.12093198864698146</v>
          </cell>
          <cell r="DO44" t="str">
            <v>No Sig diff</v>
          </cell>
          <cell r="DP44">
            <v>194</v>
          </cell>
          <cell r="DQ44">
            <v>14</v>
          </cell>
          <cell r="DR44">
            <v>7.2164948453608241E-2</v>
          </cell>
          <cell r="DS44">
            <v>4.3470708676375661E-2</v>
          </cell>
          <cell r="DT44">
            <v>0.11747361012564239</v>
          </cell>
          <cell r="DU44" t="str">
            <v>No Sig diff</v>
          </cell>
          <cell r="DV44">
            <v>212</v>
          </cell>
          <cell r="DW44">
            <v>24</v>
          </cell>
          <cell r="DX44">
            <v>0.11320754716981132</v>
          </cell>
          <cell r="DY44">
            <v>7.7264917405978337E-2</v>
          </cell>
          <cell r="DZ44">
            <v>0.1629181276120798</v>
          </cell>
          <cell r="EA44" t="str">
            <v>No Sig diff</v>
          </cell>
          <cell r="EB44">
            <v>180</v>
          </cell>
          <cell r="EC44">
            <v>24</v>
          </cell>
          <cell r="ED44">
            <v>0.13333333333333333</v>
          </cell>
          <cell r="EE44">
            <v>9.1262810536594019E-2</v>
          </cell>
          <cell r="EF44">
            <v>0.1907272212725889</v>
          </cell>
          <cell r="EG44" t="str">
            <v>No Sig diff</v>
          </cell>
          <cell r="EH44">
            <v>181</v>
          </cell>
          <cell r="EI44">
            <v>38</v>
          </cell>
          <cell r="EJ44">
            <v>0.20994475138121546</v>
          </cell>
          <cell r="EK44">
            <v>0.15695179474513435</v>
          </cell>
          <cell r="EL44">
            <v>0.27499382681666318</v>
          </cell>
          <cell r="EM44" t="str">
            <v>No Sig diff</v>
          </cell>
          <cell r="EN44">
            <v>177</v>
          </cell>
          <cell r="EO44">
            <v>29</v>
          </cell>
          <cell r="EP44">
            <v>0.16384180790960451</v>
          </cell>
          <cell r="EQ44">
            <v>0.11656641651721572</v>
          </cell>
          <cell r="ER44">
            <v>0.22539863521359599</v>
          </cell>
          <cell r="ES44" t="str">
            <v>No Sig diff</v>
          </cell>
          <cell r="ET44">
            <v>182</v>
          </cell>
          <cell r="EU44">
            <v>23</v>
          </cell>
          <cell r="EV44">
            <v>0.12637362637362637</v>
          </cell>
          <cell r="EW44">
            <v>8.5705065885255408E-2</v>
          </cell>
          <cell r="EX44">
            <v>0.18248836703857232</v>
          </cell>
          <cell r="EY44" t="str">
            <v>Sig better than Eng.</v>
          </cell>
          <cell r="EZ44">
            <v>241</v>
          </cell>
          <cell r="FA44">
            <v>129</v>
          </cell>
          <cell r="FB44">
            <v>0.53526970954356845</v>
          </cell>
          <cell r="FC44">
            <v>0.47224088134498177</v>
          </cell>
          <cell r="FD44">
            <v>0.59719180412373907</v>
          </cell>
          <cell r="FE44">
            <v>241</v>
          </cell>
          <cell r="FF44">
            <v>34</v>
          </cell>
          <cell r="FG44">
            <v>48</v>
          </cell>
          <cell r="FH44">
            <v>24.562500000000007</v>
          </cell>
          <cell r="FI44">
            <v>0.2775735294117645</v>
          </cell>
          <cell r="FJ44">
            <v>209</v>
          </cell>
          <cell r="FK44">
            <v>137</v>
          </cell>
          <cell r="FL44">
            <v>0.65550239234449759</v>
          </cell>
          <cell r="FM44">
            <v>0.58879307370670031</v>
          </cell>
          <cell r="FN44">
            <v>0.71659855610146839</v>
          </cell>
          <cell r="FO44">
            <v>209</v>
          </cell>
          <cell r="FP44">
            <v>34</v>
          </cell>
          <cell r="FQ44">
            <v>41</v>
          </cell>
          <cell r="FR44">
            <v>25.512195121951219</v>
          </cell>
          <cell r="FS44">
            <v>0.24964131994261121</v>
          </cell>
          <cell r="FT44">
            <v>3058</v>
          </cell>
          <cell r="FU44">
            <v>3021</v>
          </cell>
          <cell r="FV44">
            <v>37</v>
          </cell>
          <cell r="FW44">
            <v>36</v>
          </cell>
          <cell r="FX44">
            <v>1</v>
          </cell>
          <cell r="FY44">
            <v>0.97297297297297303</v>
          </cell>
          <cell r="FZ44">
            <v>2.7027027027027029E-2</v>
          </cell>
          <cell r="GA44">
            <v>0.91651404151404159</v>
          </cell>
          <cell r="GB44">
            <v>8.3485958485958481E-2</v>
          </cell>
          <cell r="GC44">
            <v>6.9158620605686214E-2</v>
          </cell>
          <cell r="GD44">
            <v>0.16758575632747763</v>
          </cell>
          <cell r="GE44">
            <v>0.93107448107448121</v>
          </cell>
          <cell r="GF44">
            <v>6.8925518925518917E-2</v>
          </cell>
          <cell r="GG44">
            <v>5.4210515626730349E-2</v>
          </cell>
          <cell r="GH44">
            <v>0.14499669951626121</v>
          </cell>
          <cell r="GI44">
            <v>0.89275684632827512</v>
          </cell>
          <cell r="GJ44">
            <v>0.1072431536717251</v>
          </cell>
          <cell r="GK44">
            <v>8.4547343075125556E-2</v>
          </cell>
          <cell r="GL44">
            <v>0.18973419564821054</v>
          </cell>
          <cell r="GM44">
            <v>0.73381301238444085</v>
          </cell>
          <cell r="GN44">
            <v>0.26618698761555903</v>
          </cell>
          <cell r="GO44">
            <v>0.20578932597912503</v>
          </cell>
          <cell r="GP44">
            <v>0.34376473253880774</v>
          </cell>
          <cell r="GQ44">
            <v>61</v>
          </cell>
          <cell r="GR44">
            <v>58</v>
          </cell>
          <cell r="GS44">
            <v>58</v>
          </cell>
          <cell r="GT44">
            <v>60</v>
          </cell>
          <cell r="GU44">
            <v>59</v>
          </cell>
          <cell r="GV44">
            <v>53</v>
          </cell>
          <cell r="GW44">
            <v>52</v>
          </cell>
          <cell r="GX44">
            <v>53</v>
          </cell>
          <cell r="GY44">
            <v>52</v>
          </cell>
          <cell r="GZ44">
            <v>53</v>
          </cell>
          <cell r="HA44">
            <v>53</v>
          </cell>
          <cell r="HB44">
            <v>51</v>
          </cell>
          <cell r="HC44">
            <v>53</v>
          </cell>
          <cell r="HD44">
            <v>67</v>
          </cell>
          <cell r="HE44">
            <v>64</v>
          </cell>
          <cell r="HF44">
            <v>65</v>
          </cell>
          <cell r="HG44">
            <v>61</v>
          </cell>
          <cell r="HH44">
            <v>64</v>
          </cell>
          <cell r="HI44">
            <v>64</v>
          </cell>
          <cell r="HJ44">
            <v>57</v>
          </cell>
          <cell r="HK44">
            <v>61</v>
          </cell>
          <cell r="HL44">
            <v>61</v>
          </cell>
          <cell r="HM44">
            <v>65</v>
          </cell>
          <cell r="HN44">
            <v>19</v>
          </cell>
          <cell r="HO44">
            <v>1.8482490272373541E-2</v>
          </cell>
          <cell r="HP44">
            <v>1627</v>
          </cell>
          <cell r="HQ44">
            <v>1483</v>
          </cell>
          <cell r="HR44">
            <v>144</v>
          </cell>
          <cell r="HS44">
            <v>8.8506453595574672E-2</v>
          </cell>
        </row>
        <row r="45">
          <cell r="A45" t="str">
            <v>The Wave</v>
          </cell>
          <cell r="C45" t="str">
            <v>Worthing</v>
          </cell>
          <cell r="D45" t="str">
            <v>Worthing</v>
          </cell>
          <cell r="E45" t="str">
            <v>Worthing</v>
          </cell>
          <cell r="F45" t="str">
            <v>CCC</v>
          </cell>
          <cell r="G45" t="str">
            <v>Broadwater, Gaisford</v>
          </cell>
          <cell r="H45" t="str">
            <v>Worthing</v>
          </cell>
          <cell r="I45" t="str">
            <v>B</v>
          </cell>
          <cell r="J45" t="str">
            <v>Coastal West Sussex</v>
          </cell>
          <cell r="K45" t="str">
            <v>East Worthing and Shoreham</v>
          </cell>
          <cell r="L45">
            <v>13165</v>
          </cell>
          <cell r="M45">
            <v>13320</v>
          </cell>
          <cell r="N45">
            <v>13405</v>
          </cell>
          <cell r="O45">
            <v>13530</v>
          </cell>
          <cell r="P45">
            <v>13660</v>
          </cell>
          <cell r="Q45">
            <v>13830</v>
          </cell>
          <cell r="R45">
            <v>13930</v>
          </cell>
          <cell r="S45">
            <v>14030</v>
          </cell>
          <cell r="T45">
            <v>14190</v>
          </cell>
          <cell r="U45">
            <v>14215</v>
          </cell>
          <cell r="V45">
            <v>875</v>
          </cell>
          <cell r="W45">
            <v>890</v>
          </cell>
          <cell r="X45">
            <v>900</v>
          </cell>
          <cell r="Y45">
            <v>915</v>
          </cell>
          <cell r="Z45">
            <v>950</v>
          </cell>
          <cell r="AA45">
            <v>995</v>
          </cell>
          <cell r="AB45">
            <v>995</v>
          </cell>
          <cell r="AC45">
            <v>1000</v>
          </cell>
          <cell r="AD45">
            <v>1010</v>
          </cell>
          <cell r="AE45">
            <v>965</v>
          </cell>
          <cell r="AF45">
            <v>0.83480825958702065</v>
          </cell>
          <cell r="AG45">
            <v>2.8515240904621434E-2</v>
          </cell>
          <cell r="AH45">
            <v>6.5880039331366769E-2</v>
          </cell>
          <cell r="AI45">
            <v>5.1130776794493606E-2</v>
          </cell>
          <cell r="AJ45">
            <v>1.4749262536873156E-2</v>
          </cell>
          <cell r="AK45">
            <v>4.9164208456243851E-3</v>
          </cell>
          <cell r="AL45">
            <v>0.16519174041297935</v>
          </cell>
          <cell r="AM45">
            <v>1995</v>
          </cell>
          <cell r="AN45">
            <v>0.66984445559458106</v>
          </cell>
          <cell r="AO45">
            <v>0.10386352232814852</v>
          </cell>
          <cell r="AP45">
            <v>0.22629202207727045</v>
          </cell>
          <cell r="AQ45">
            <v>183</v>
          </cell>
          <cell r="AR45">
            <v>162</v>
          </cell>
          <cell r="AS45">
            <v>185</v>
          </cell>
          <cell r="AT45">
            <v>166</v>
          </cell>
          <cell r="AU45">
            <v>151</v>
          </cell>
          <cell r="AV45">
            <v>14</v>
          </cell>
          <cell r="AW45">
            <v>5</v>
          </cell>
          <cell r="AX45">
            <v>10</v>
          </cell>
          <cell r="AY45">
            <v>8</v>
          </cell>
          <cell r="AZ45">
            <v>8</v>
          </cell>
          <cell r="BA45">
            <v>9</v>
          </cell>
          <cell r="BB45">
            <v>5.9602649006622516E-2</v>
          </cell>
          <cell r="BC45">
            <v>3.167075659834806E-2</v>
          </cell>
          <cell r="BD45">
            <v>0.10938616050281703</v>
          </cell>
          <cell r="BE45">
            <v>17</v>
          </cell>
          <cell r="BF45">
            <v>292</v>
          </cell>
          <cell r="BG45">
            <v>331</v>
          </cell>
          <cell r="BH45">
            <v>171</v>
          </cell>
          <cell r="BI45">
            <v>0.16135239546166366</v>
          </cell>
          <cell r="BJ45">
            <v>1975</v>
          </cell>
          <cell r="BK45">
            <v>3591</v>
          </cell>
          <cell r="BL45">
            <v>1617</v>
          </cell>
          <cell r="BM45">
            <v>880</v>
          </cell>
          <cell r="BN45">
            <v>0</v>
          </cell>
          <cell r="BO45">
            <v>264</v>
          </cell>
          <cell r="BP45">
            <v>366</v>
          </cell>
          <cell r="BQ45">
            <v>107</v>
          </cell>
          <cell r="BR45">
            <v>125</v>
          </cell>
          <cell r="BS45">
            <v>120</v>
          </cell>
          <cell r="BT45">
            <v>90</v>
          </cell>
          <cell r="BU45">
            <v>476</v>
          </cell>
          <cell r="BV45">
            <v>162</v>
          </cell>
          <cell r="BW45">
            <v>0.34033613445378152</v>
          </cell>
          <cell r="BX45">
            <v>35</v>
          </cell>
          <cell r="BY45">
            <v>4</v>
          </cell>
          <cell r="BZ45">
            <v>315</v>
          </cell>
          <cell r="CA45">
            <v>5.4254219772648986E-2</v>
          </cell>
          <cell r="CB45">
            <v>175</v>
          </cell>
          <cell r="CC45">
            <v>155</v>
          </cell>
          <cell r="CD45">
            <v>160</v>
          </cell>
          <cell r="CE45">
            <v>135</v>
          </cell>
          <cell r="CF45">
            <v>440</v>
          </cell>
          <cell r="CG45">
            <v>0.15611111111111112</v>
          </cell>
          <cell r="CH45">
            <v>455</v>
          </cell>
          <cell r="CI45">
            <v>0.13388888888888886</v>
          </cell>
          <cell r="CJ45">
            <v>485</v>
          </cell>
          <cell r="CK45">
            <v>0.15444444444444447</v>
          </cell>
          <cell r="CL45">
            <v>405</v>
          </cell>
          <cell r="CM45">
            <v>0.14644444444444446</v>
          </cell>
          <cell r="CN45">
            <v>470</v>
          </cell>
          <cell r="CO45">
            <v>0.13633333333333331</v>
          </cell>
          <cell r="CP45">
            <v>410</v>
          </cell>
          <cell r="CQ45">
            <v>0.13333333333333333</v>
          </cell>
          <cell r="CR45">
            <v>172</v>
          </cell>
          <cell r="CS45">
            <v>4</v>
          </cell>
          <cell r="CT45">
            <v>168</v>
          </cell>
          <cell r="CU45">
            <v>0.97713264643089193</v>
          </cell>
          <cell r="CV45">
            <v>70</v>
          </cell>
          <cell r="CW45">
            <v>87</v>
          </cell>
          <cell r="CX45">
            <v>0.41528562596674057</v>
          </cell>
          <cell r="CY45">
            <v>0.51025165065412736</v>
          </cell>
          <cell r="CZ45">
            <v>0.34479298206061598</v>
          </cell>
          <cell r="DA45">
            <v>0.49226626319780803</v>
          </cell>
          <cell r="DB45">
            <v>0.44274583327172728</v>
          </cell>
          <cell r="DC45">
            <v>0.59217004274432472</v>
          </cell>
          <cell r="DD45">
            <v>130</v>
          </cell>
          <cell r="DE45">
            <v>14</v>
          </cell>
          <cell r="DF45">
            <v>0.1076923076923077</v>
          </cell>
          <cell r="DG45">
            <v>6.5241339616437855E-2</v>
          </cell>
          <cell r="DH45">
            <v>0.17266296224380834</v>
          </cell>
          <cell r="DI45" t="str">
            <v>No Sig diff</v>
          </cell>
          <cell r="DJ45">
            <v>186</v>
          </cell>
          <cell r="DK45">
            <v>13</v>
          </cell>
          <cell r="DL45">
            <v>6.9892473118279563E-2</v>
          </cell>
          <cell r="DM45">
            <v>4.1297216253746931E-2</v>
          </cell>
          <cell r="DN45">
            <v>0.11589425818008303</v>
          </cell>
          <cell r="DO45" t="str">
            <v>No Sig diff</v>
          </cell>
          <cell r="DP45">
            <v>159</v>
          </cell>
          <cell r="DQ45">
            <v>13</v>
          </cell>
          <cell r="DR45">
            <v>8.1761006289308172E-2</v>
          </cell>
          <cell r="DS45">
            <v>4.8402298802567148E-2</v>
          </cell>
          <cell r="DT45">
            <v>0.13485237747463791</v>
          </cell>
          <cell r="DU45" t="str">
            <v>No Sig diff</v>
          </cell>
          <cell r="DV45">
            <v>192</v>
          </cell>
          <cell r="DW45">
            <v>25</v>
          </cell>
          <cell r="DX45">
            <v>0.13020833333333334</v>
          </cell>
          <cell r="DY45">
            <v>8.9774224743510128E-2</v>
          </cell>
          <cell r="DZ45">
            <v>0.18514947703502674</v>
          </cell>
          <cell r="EA45" t="str">
            <v>No Sig diff</v>
          </cell>
          <cell r="EB45">
            <v>152</v>
          </cell>
          <cell r="EC45">
            <v>20</v>
          </cell>
          <cell r="ED45">
            <v>0.13157894736842105</v>
          </cell>
          <cell r="EE45">
            <v>8.6817115241413917E-2</v>
          </cell>
          <cell r="EF45">
            <v>0.19450378070282012</v>
          </cell>
          <cell r="EG45" t="str">
            <v>No Sig diff</v>
          </cell>
          <cell r="EH45">
            <v>163</v>
          </cell>
          <cell r="EI45">
            <v>32</v>
          </cell>
          <cell r="EJ45">
            <v>0.19631901840490798</v>
          </cell>
          <cell r="EK45">
            <v>0.14263444430709368</v>
          </cell>
          <cell r="EL45">
            <v>0.26398786228400306</v>
          </cell>
          <cell r="EM45" t="str">
            <v>No Sig diff</v>
          </cell>
          <cell r="EN45">
            <v>148</v>
          </cell>
          <cell r="EO45">
            <v>17</v>
          </cell>
          <cell r="EP45">
            <v>0.11486486486486487</v>
          </cell>
          <cell r="EQ45">
            <v>7.2964239324355348E-2</v>
          </cell>
          <cell r="ER45">
            <v>0.17625266832785691</v>
          </cell>
          <cell r="ES45" t="str">
            <v>Sig better than Eng.</v>
          </cell>
          <cell r="ET45">
            <v>146</v>
          </cell>
          <cell r="EU45">
            <v>22</v>
          </cell>
          <cell r="EV45">
            <v>0.15068493150684931</v>
          </cell>
          <cell r="EW45">
            <v>0.10166464144505639</v>
          </cell>
          <cell r="EX45">
            <v>0.21761587809355135</v>
          </cell>
          <cell r="EY45" t="str">
            <v>No Sig diff</v>
          </cell>
          <cell r="EZ45">
            <v>222</v>
          </cell>
          <cell r="FA45">
            <v>118</v>
          </cell>
          <cell r="FB45">
            <v>0.53153153153153154</v>
          </cell>
          <cell r="FC45">
            <v>0.46591247372915356</v>
          </cell>
          <cell r="FD45">
            <v>0.59607791578172553</v>
          </cell>
          <cell r="FE45">
            <v>222</v>
          </cell>
          <cell r="FF45">
            <v>34</v>
          </cell>
          <cell r="FG45">
            <v>44</v>
          </cell>
          <cell r="FH45">
            <v>24.886363636363633</v>
          </cell>
          <cell r="FI45">
            <v>0.26804812834224606</v>
          </cell>
          <cell r="FJ45">
            <v>203</v>
          </cell>
          <cell r="FK45">
            <v>141</v>
          </cell>
          <cell r="FL45">
            <v>0.69458128078817738</v>
          </cell>
          <cell r="FM45">
            <v>0.62809552282698589</v>
          </cell>
          <cell r="FN45">
            <v>0.75383951307161123</v>
          </cell>
          <cell r="FO45">
            <v>203</v>
          </cell>
          <cell r="FP45">
            <v>34</v>
          </cell>
          <cell r="FQ45">
            <v>40</v>
          </cell>
          <cell r="FR45">
            <v>26.025000000000006</v>
          </cell>
          <cell r="FS45">
            <v>0.2345588235294116</v>
          </cell>
          <cell r="FT45">
            <v>2577</v>
          </cell>
          <cell r="FU45">
            <v>2501</v>
          </cell>
          <cell r="FV45">
            <v>76</v>
          </cell>
          <cell r="FW45">
            <v>65</v>
          </cell>
          <cell r="FX45">
            <v>11</v>
          </cell>
          <cell r="FY45">
            <v>0.85526315789473684</v>
          </cell>
          <cell r="FZ45">
            <v>0.14473684210526316</v>
          </cell>
          <cell r="GA45">
            <v>0.88145604395604382</v>
          </cell>
          <cell r="GB45">
            <v>0.11854395604395604</v>
          </cell>
          <cell r="GC45">
            <v>7.1709958980432961E-2</v>
          </cell>
          <cell r="GD45">
            <v>0.19511025818384223</v>
          </cell>
          <cell r="GE45">
            <v>0.92870879120879124</v>
          </cell>
          <cell r="GF45">
            <v>7.1291208791208788E-2</v>
          </cell>
          <cell r="GG45">
            <v>3.8009793445671562E-2</v>
          </cell>
          <cell r="GH45">
            <v>0.13939825508010059</v>
          </cell>
          <cell r="GI45">
            <v>0.88305860805860803</v>
          </cell>
          <cell r="GJ45">
            <v>0.11694139194139194</v>
          </cell>
          <cell r="GK45">
            <v>7.1709958980432961E-2</v>
          </cell>
          <cell r="GL45">
            <v>0.19511025818384223</v>
          </cell>
          <cell r="GM45">
            <v>0.81379731379731379</v>
          </cell>
          <cell r="GN45">
            <v>0.18620268620268621</v>
          </cell>
          <cell r="GO45">
            <v>0.12319860172367546</v>
          </cell>
          <cell r="GP45">
            <v>0.26879865153450394</v>
          </cell>
          <cell r="GQ45">
            <v>38</v>
          </cell>
          <cell r="GR45">
            <v>36</v>
          </cell>
          <cell r="GS45">
            <v>36</v>
          </cell>
          <cell r="GT45">
            <v>37</v>
          </cell>
          <cell r="GU45">
            <v>36</v>
          </cell>
          <cell r="GV45">
            <v>54</v>
          </cell>
          <cell r="GW45">
            <v>50</v>
          </cell>
          <cell r="GX45">
            <v>51</v>
          </cell>
          <cell r="GY45">
            <v>50</v>
          </cell>
          <cell r="GZ45">
            <v>52</v>
          </cell>
          <cell r="HA45">
            <v>53</v>
          </cell>
          <cell r="HB45">
            <v>49</v>
          </cell>
          <cell r="HC45">
            <v>52</v>
          </cell>
          <cell r="HD45">
            <v>52</v>
          </cell>
          <cell r="HE45">
            <v>48</v>
          </cell>
          <cell r="HF45">
            <v>47</v>
          </cell>
          <cell r="HG45">
            <v>45</v>
          </cell>
          <cell r="HH45">
            <v>48</v>
          </cell>
          <cell r="HI45">
            <v>51</v>
          </cell>
          <cell r="HJ45">
            <v>47</v>
          </cell>
          <cell r="HK45">
            <v>50</v>
          </cell>
          <cell r="HL45">
            <v>46</v>
          </cell>
          <cell r="HM45">
            <v>50</v>
          </cell>
          <cell r="HN45">
            <v>20</v>
          </cell>
          <cell r="HO45">
            <v>1.966568338249754E-2</v>
          </cell>
          <cell r="HP45">
            <v>1566</v>
          </cell>
          <cell r="HQ45">
            <v>1396</v>
          </cell>
          <cell r="HR45">
            <v>170</v>
          </cell>
          <cell r="HS45">
            <v>0.10855683269476372</v>
          </cell>
        </row>
        <row r="46">
          <cell r="A46" t="str">
            <v>Treehouse</v>
          </cell>
          <cell r="C46" t="str">
            <v>Arun West</v>
          </cell>
          <cell r="D46" t="str">
            <v>Arun West North</v>
          </cell>
          <cell r="E46" t="str">
            <v>Arun</v>
          </cell>
          <cell r="F46" t="str">
            <v>Arch</v>
          </cell>
          <cell r="G46" t="str">
            <v>Bersted, Orchard</v>
          </cell>
          <cell r="H46" t="str">
            <v>Bognor Regis/Felpham</v>
          </cell>
          <cell r="I46" t="str">
            <v>A</v>
          </cell>
          <cell r="J46" t="str">
            <v>Coastal West Sussex</v>
          </cell>
          <cell r="K46" t="str">
            <v>Bognor Regis and Littlehampton</v>
          </cell>
          <cell r="L46">
            <v>13355</v>
          </cell>
          <cell r="M46">
            <v>13435</v>
          </cell>
          <cell r="N46">
            <v>13285</v>
          </cell>
          <cell r="O46">
            <v>13270</v>
          </cell>
          <cell r="P46">
            <v>13255</v>
          </cell>
          <cell r="Q46">
            <v>13215</v>
          </cell>
          <cell r="R46">
            <v>13290</v>
          </cell>
          <cell r="S46">
            <v>13380</v>
          </cell>
          <cell r="T46">
            <v>13845</v>
          </cell>
          <cell r="U46">
            <v>14270</v>
          </cell>
          <cell r="V46">
            <v>790</v>
          </cell>
          <cell r="W46">
            <v>780</v>
          </cell>
          <cell r="X46">
            <v>770</v>
          </cell>
          <cell r="Y46">
            <v>780</v>
          </cell>
          <cell r="Z46">
            <v>805</v>
          </cell>
          <cell r="AA46">
            <v>855</v>
          </cell>
          <cell r="AB46">
            <v>870</v>
          </cell>
          <cell r="AC46">
            <v>900</v>
          </cell>
          <cell r="AD46">
            <v>960</v>
          </cell>
          <cell r="AE46">
            <v>1055</v>
          </cell>
          <cell r="AF46">
            <v>0.8165137614678899</v>
          </cell>
          <cell r="AG46">
            <v>0.11582568807339449</v>
          </cell>
          <cell r="AH46">
            <v>2.8669724770642203E-2</v>
          </cell>
          <cell r="AI46">
            <v>2.8669724770642203E-2</v>
          </cell>
          <cell r="AJ46">
            <v>5.7339449541284407E-3</v>
          </cell>
          <cell r="AK46">
            <v>4.5871559633027525E-3</v>
          </cell>
          <cell r="AL46">
            <v>0.1834862385321101</v>
          </cell>
          <cell r="AM46">
            <v>1590</v>
          </cell>
          <cell r="AN46">
            <v>0.55499685732243875</v>
          </cell>
          <cell r="AO46">
            <v>0.17284726587052168</v>
          </cell>
          <cell r="AP46">
            <v>0.27215587680703962</v>
          </cell>
          <cell r="AQ46">
            <v>181</v>
          </cell>
          <cell r="AR46">
            <v>205</v>
          </cell>
          <cell r="AS46">
            <v>186</v>
          </cell>
          <cell r="AT46">
            <v>208</v>
          </cell>
          <cell r="AU46">
            <v>219</v>
          </cell>
          <cell r="AV46">
            <v>16</v>
          </cell>
          <cell r="AW46">
            <v>9</v>
          </cell>
          <cell r="AX46">
            <v>15</v>
          </cell>
          <cell r="AY46">
            <v>12</v>
          </cell>
          <cell r="AZ46">
            <v>15</v>
          </cell>
          <cell r="BA46">
            <v>10</v>
          </cell>
          <cell r="BB46">
            <v>4.5662100456621002E-2</v>
          </cell>
          <cell r="BC46">
            <v>2.4989013068053595E-2</v>
          </cell>
          <cell r="BD46">
            <v>8.1999421430922537E-2</v>
          </cell>
          <cell r="BE46">
            <v>25</v>
          </cell>
          <cell r="BF46">
            <v>278</v>
          </cell>
          <cell r="BG46">
            <v>265</v>
          </cell>
          <cell r="BH46">
            <v>130</v>
          </cell>
          <cell r="BI46">
            <v>0.14120386595365619</v>
          </cell>
          <cell r="BJ46">
            <v>1626</v>
          </cell>
          <cell r="BK46">
            <v>2858</v>
          </cell>
          <cell r="BL46">
            <v>1629</v>
          </cell>
          <cell r="BM46">
            <v>778</v>
          </cell>
          <cell r="BN46">
            <v>1</v>
          </cell>
          <cell r="BO46">
            <v>284</v>
          </cell>
          <cell r="BP46">
            <v>410</v>
          </cell>
          <cell r="BQ46">
            <v>156</v>
          </cell>
          <cell r="BR46">
            <v>140</v>
          </cell>
          <cell r="BS46">
            <v>135</v>
          </cell>
          <cell r="BT46">
            <v>130</v>
          </cell>
          <cell r="BU46">
            <v>409</v>
          </cell>
          <cell r="BV46">
            <v>162</v>
          </cell>
          <cell r="BW46">
            <v>0.39608801955990219</v>
          </cell>
          <cell r="BX46">
            <v>34</v>
          </cell>
          <cell r="BY46">
            <v>1</v>
          </cell>
          <cell r="BZ46">
            <v>382</v>
          </cell>
          <cell r="CA46">
            <v>6.7694488747120321E-2</v>
          </cell>
          <cell r="CB46">
            <v>185</v>
          </cell>
          <cell r="CC46">
            <v>170</v>
          </cell>
          <cell r="CD46">
            <v>190</v>
          </cell>
          <cell r="CE46">
            <v>220</v>
          </cell>
          <cell r="CF46">
            <v>535</v>
          </cell>
          <cell r="CG46">
            <v>0.22511111111111115</v>
          </cell>
          <cell r="CH46">
            <v>540</v>
          </cell>
          <cell r="CI46">
            <v>0.21177777777777779</v>
          </cell>
          <cell r="CJ46">
            <v>585</v>
          </cell>
          <cell r="CK46">
            <v>0.21944444444444444</v>
          </cell>
          <cell r="CL46">
            <v>575</v>
          </cell>
          <cell r="CM46">
            <v>0.20233333333333334</v>
          </cell>
          <cell r="CN46">
            <v>620</v>
          </cell>
          <cell r="CO46">
            <v>0.19422222222222224</v>
          </cell>
          <cell r="CP46">
            <v>515</v>
          </cell>
          <cell r="CQ46">
            <v>0.18864468864468864</v>
          </cell>
          <cell r="CR46">
            <v>200</v>
          </cell>
          <cell r="CS46">
            <v>7</v>
          </cell>
          <cell r="CT46">
            <v>193</v>
          </cell>
          <cell r="CU46">
            <v>0.96329494760867318</v>
          </cell>
          <cell r="CV46">
            <v>79</v>
          </cell>
          <cell r="CW46">
            <v>93</v>
          </cell>
          <cell r="CX46">
            <v>0.41464355972233413</v>
          </cell>
          <cell r="CY46">
            <v>0.4833177411501387</v>
          </cell>
          <cell r="CZ46">
            <v>0.34238121808503996</v>
          </cell>
          <cell r="DA46">
            <v>0.47981083887852871</v>
          </cell>
          <cell r="DB46">
            <v>0.41241407003029495</v>
          </cell>
          <cell r="DC46">
            <v>0.55202434136241874</v>
          </cell>
          <cell r="DD46">
            <v>132</v>
          </cell>
          <cell r="DE46">
            <v>14</v>
          </cell>
          <cell r="DF46">
            <v>0.106</v>
          </cell>
          <cell r="DG46">
            <v>6.4000000000000001E-2</v>
          </cell>
          <cell r="DH46">
            <v>0.17</v>
          </cell>
          <cell r="DI46" t="str">
            <v>No Sig diff</v>
          </cell>
          <cell r="DJ46">
            <v>141</v>
          </cell>
          <cell r="DK46">
            <v>14</v>
          </cell>
          <cell r="DL46">
            <v>9.9000000000000005E-2</v>
          </cell>
          <cell r="DM46">
            <v>0.06</v>
          </cell>
          <cell r="DN46">
            <v>0.16</v>
          </cell>
          <cell r="DO46" t="str">
            <v>No Sig diff</v>
          </cell>
          <cell r="DP46">
            <v>157</v>
          </cell>
          <cell r="DQ46">
            <v>23</v>
          </cell>
          <cell r="DR46">
            <v>0.1464968152866242</v>
          </cell>
          <cell r="DS46">
            <v>9.9644421057218227E-2</v>
          </cell>
          <cell r="DT46">
            <v>0.21023500422365618</v>
          </cell>
          <cell r="DU46" t="str">
            <v>Sig worse than Eng.</v>
          </cell>
          <cell r="DV46">
            <v>177</v>
          </cell>
          <cell r="DW46">
            <v>17</v>
          </cell>
          <cell r="DX46">
            <v>9.6045197740112997E-2</v>
          </cell>
          <cell r="DY46">
            <v>6.0832403068680117E-2</v>
          </cell>
          <cell r="DZ46">
            <v>0.14841971791876588</v>
          </cell>
          <cell r="EA46" t="str">
            <v>No Sig diff</v>
          </cell>
          <cell r="EB46">
            <v>155</v>
          </cell>
          <cell r="EC46">
            <v>33</v>
          </cell>
          <cell r="ED46">
            <v>0.2129032258064516</v>
          </cell>
          <cell r="EE46">
            <v>0.15580823566402421</v>
          </cell>
          <cell r="EF46">
            <v>0.28388464640358285</v>
          </cell>
          <cell r="EG46" t="str">
            <v>No Sig diff</v>
          </cell>
          <cell r="EH46">
            <v>124</v>
          </cell>
          <cell r="EI46">
            <v>25</v>
          </cell>
          <cell r="EJ46">
            <v>0.20161290322580644</v>
          </cell>
          <cell r="EK46">
            <v>0.14045648042948655</v>
          </cell>
          <cell r="EL46">
            <v>0.28070156420930498</v>
          </cell>
          <cell r="EM46" t="str">
            <v>No Sig diff</v>
          </cell>
          <cell r="EN46">
            <v>114</v>
          </cell>
          <cell r="EO46">
            <v>22</v>
          </cell>
          <cell r="EP46">
            <v>0.19298245614035087</v>
          </cell>
          <cell r="EQ46">
            <v>0.13103892161535791</v>
          </cell>
          <cell r="ER46">
            <v>0.27494263444708866</v>
          </cell>
          <cell r="ES46" t="str">
            <v>No Sig diff</v>
          </cell>
          <cell r="ET46">
            <v>112</v>
          </cell>
          <cell r="EU46">
            <v>20</v>
          </cell>
          <cell r="EV46">
            <v>0.17857142857142858</v>
          </cell>
          <cell r="EW46">
            <v>0.11867660544910416</v>
          </cell>
          <cell r="EX46">
            <v>0.25978426052250259</v>
          </cell>
          <cell r="EY46" t="str">
            <v>No Sig diff</v>
          </cell>
          <cell r="EZ46">
            <v>174</v>
          </cell>
          <cell r="FA46">
            <v>66</v>
          </cell>
          <cell r="FB46">
            <v>0.37931034482758619</v>
          </cell>
          <cell r="FC46">
            <v>0.31055707756930351</v>
          </cell>
          <cell r="FD46">
            <v>0.45327751826391088</v>
          </cell>
          <cell r="FE46">
            <v>174</v>
          </cell>
          <cell r="FF46">
            <v>31</v>
          </cell>
          <cell r="FG46">
            <v>34</v>
          </cell>
          <cell r="FH46">
            <v>19.382352941176478</v>
          </cell>
          <cell r="FI46">
            <v>0.37476280834914588</v>
          </cell>
          <cell r="FJ46">
            <v>199</v>
          </cell>
          <cell r="FK46">
            <v>88</v>
          </cell>
          <cell r="FL46">
            <v>0.44221105527638194</v>
          </cell>
          <cell r="FM46">
            <v>0.37494971073800898</v>
          </cell>
          <cell r="FN46">
            <v>0.5116612408213006</v>
          </cell>
          <cell r="FO46">
            <v>199</v>
          </cell>
          <cell r="FP46">
            <v>33</v>
          </cell>
          <cell r="FQ46">
            <v>39</v>
          </cell>
          <cell r="FR46">
            <v>20.333333333333332</v>
          </cell>
          <cell r="FS46">
            <v>0.38383838383838387</v>
          </cell>
          <cell r="FT46">
            <v>1967</v>
          </cell>
          <cell r="FU46">
            <v>1849</v>
          </cell>
          <cell r="FV46">
            <v>118</v>
          </cell>
          <cell r="FW46">
            <v>101</v>
          </cell>
          <cell r="FX46">
            <v>17</v>
          </cell>
          <cell r="FY46">
            <v>0.85593220338983056</v>
          </cell>
          <cell r="FZ46">
            <v>0.1440677966101695</v>
          </cell>
          <cell r="GA46">
            <v>0.80888710055376711</v>
          </cell>
          <cell r="GB46">
            <v>0.1911128994462328</v>
          </cell>
          <cell r="GC46">
            <v>0.12559204496833837</v>
          </cell>
          <cell r="GD46">
            <v>0.27354270907748762</v>
          </cell>
          <cell r="GE46">
            <v>0.8403833820500487</v>
          </cell>
          <cell r="GF46">
            <v>0.1596166179499513</v>
          </cell>
          <cell r="GG46">
            <v>0.11019873582848602</v>
          </cell>
          <cell r="GH46">
            <v>0.25251994270496581</v>
          </cell>
          <cell r="GI46">
            <v>0.85686689853356524</v>
          </cell>
          <cell r="GJ46">
            <v>0.14313310146643482</v>
          </cell>
          <cell r="GK46">
            <v>9.5097773135579794E-2</v>
          </cell>
          <cell r="GL46">
            <v>0.23120482988549781</v>
          </cell>
          <cell r="GM46">
            <v>0.65537163453830127</v>
          </cell>
          <cell r="GN46">
            <v>0.34462836546169878</v>
          </cell>
          <cell r="GO46">
            <v>0.26503550667530684</v>
          </cell>
          <cell r="GP46">
            <v>0.44363588922569969</v>
          </cell>
          <cell r="GQ46">
            <v>55</v>
          </cell>
          <cell r="GR46">
            <v>53</v>
          </cell>
          <cell r="GS46">
            <v>54</v>
          </cell>
          <cell r="GT46">
            <v>53</v>
          </cell>
          <cell r="GU46">
            <v>54</v>
          </cell>
          <cell r="GV46">
            <v>50</v>
          </cell>
          <cell r="GW46">
            <v>46</v>
          </cell>
          <cell r="GX46">
            <v>44</v>
          </cell>
          <cell r="GY46">
            <v>46</v>
          </cell>
          <cell r="GZ46">
            <v>44</v>
          </cell>
          <cell r="HA46">
            <v>45</v>
          </cell>
          <cell r="HB46">
            <v>45</v>
          </cell>
          <cell r="HC46">
            <v>45</v>
          </cell>
          <cell r="HD46">
            <v>49</v>
          </cell>
          <cell r="HE46">
            <v>42</v>
          </cell>
          <cell r="HF46">
            <v>44</v>
          </cell>
          <cell r="HG46">
            <v>39</v>
          </cell>
          <cell r="HH46">
            <v>44</v>
          </cell>
          <cell r="HI46">
            <v>45</v>
          </cell>
          <cell r="HJ46">
            <v>41</v>
          </cell>
          <cell r="HK46">
            <v>45</v>
          </cell>
          <cell r="HL46">
            <v>41</v>
          </cell>
          <cell r="HM46">
            <v>47</v>
          </cell>
          <cell r="HN46">
            <v>17</v>
          </cell>
          <cell r="HO46">
            <v>1.9495412844036698E-2</v>
          </cell>
          <cell r="HP46">
            <v>1401</v>
          </cell>
          <cell r="HQ46">
            <v>1225</v>
          </cell>
          <cell r="HR46">
            <v>176</v>
          </cell>
          <cell r="HS46">
            <v>0.12562455389007851</v>
          </cell>
        </row>
        <row r="47">
          <cell r="A47" t="str">
            <v>Worthing Central</v>
          </cell>
          <cell r="C47" t="str">
            <v>Worthing</v>
          </cell>
          <cell r="D47" t="str">
            <v>Worthing</v>
          </cell>
          <cell r="E47" t="str">
            <v>Worthing</v>
          </cell>
          <cell r="F47" t="str">
            <v>CCC</v>
          </cell>
          <cell r="G47" t="str">
            <v>Marine, Tarring</v>
          </cell>
          <cell r="H47" t="str">
            <v>Worthing</v>
          </cell>
          <cell r="I47" t="str">
            <v>B</v>
          </cell>
          <cell r="J47" t="str">
            <v>Coastal West Sussex</v>
          </cell>
          <cell r="K47" t="str">
            <v>Worthing West</v>
          </cell>
          <cell r="L47">
            <v>15975</v>
          </cell>
          <cell r="M47">
            <v>16075</v>
          </cell>
          <cell r="N47">
            <v>16115</v>
          </cell>
          <cell r="O47">
            <v>16215</v>
          </cell>
          <cell r="P47">
            <v>16445</v>
          </cell>
          <cell r="Q47">
            <v>16465</v>
          </cell>
          <cell r="R47">
            <v>16535</v>
          </cell>
          <cell r="S47">
            <v>16690</v>
          </cell>
          <cell r="T47">
            <v>16745</v>
          </cell>
          <cell r="U47">
            <v>16800</v>
          </cell>
          <cell r="V47">
            <v>835</v>
          </cell>
          <cell r="W47">
            <v>820</v>
          </cell>
          <cell r="X47">
            <v>835</v>
          </cell>
          <cell r="Y47">
            <v>920</v>
          </cell>
          <cell r="Z47">
            <v>960</v>
          </cell>
          <cell r="AA47">
            <v>955</v>
          </cell>
          <cell r="AB47">
            <v>995</v>
          </cell>
          <cell r="AC47">
            <v>1040</v>
          </cell>
          <cell r="AD47">
            <v>995</v>
          </cell>
          <cell r="AE47">
            <v>950</v>
          </cell>
          <cell r="AF47">
            <v>0.87996127783155853</v>
          </cell>
          <cell r="AG47">
            <v>1.9361084220716359E-2</v>
          </cell>
          <cell r="AH47">
            <v>6.8731848983543078E-2</v>
          </cell>
          <cell r="AI47">
            <v>2.3233301064859633E-2</v>
          </cell>
          <cell r="AJ47">
            <v>5.8083252662149082E-3</v>
          </cell>
          <cell r="AK47">
            <v>2.9041626331074541E-3</v>
          </cell>
          <cell r="AL47">
            <v>0.12003872216844143</v>
          </cell>
          <cell r="AM47">
            <v>1920</v>
          </cell>
          <cell r="AN47">
            <v>0.72173006774361648</v>
          </cell>
          <cell r="AO47">
            <v>6.3574778530484627E-2</v>
          </cell>
          <cell r="AP47">
            <v>0.2146951537258989</v>
          </cell>
          <cell r="AQ47">
            <v>177</v>
          </cell>
          <cell r="AR47">
            <v>194</v>
          </cell>
          <cell r="AS47">
            <v>199</v>
          </cell>
          <cell r="AT47">
            <v>192</v>
          </cell>
          <cell r="AU47">
            <v>180</v>
          </cell>
          <cell r="AV47">
            <v>5</v>
          </cell>
          <cell r="AW47">
            <v>7</v>
          </cell>
          <cell r="AX47">
            <v>4</v>
          </cell>
          <cell r="AY47">
            <v>7</v>
          </cell>
          <cell r="AZ47">
            <v>6</v>
          </cell>
          <cell r="BA47">
            <v>19</v>
          </cell>
          <cell r="BB47">
            <v>0.10555555555555556</v>
          </cell>
          <cell r="BC47">
            <v>6.8622994329574208E-2</v>
          </cell>
          <cell r="BD47">
            <v>0.15897234291969828</v>
          </cell>
          <cell r="BE47">
            <v>10</v>
          </cell>
          <cell r="BF47">
            <v>305</v>
          </cell>
          <cell r="BG47">
            <v>362</v>
          </cell>
          <cell r="BH47">
            <v>126</v>
          </cell>
          <cell r="BI47">
            <v>0.11040218512385018</v>
          </cell>
          <cell r="BJ47">
            <v>1957</v>
          </cell>
          <cell r="BK47">
            <v>3375</v>
          </cell>
          <cell r="BL47">
            <v>1779</v>
          </cell>
          <cell r="BM47">
            <v>871</v>
          </cell>
          <cell r="BN47">
            <v>2</v>
          </cell>
          <cell r="BO47">
            <v>301</v>
          </cell>
          <cell r="BP47">
            <v>459</v>
          </cell>
          <cell r="BQ47">
            <v>146</v>
          </cell>
          <cell r="BR47">
            <v>95</v>
          </cell>
          <cell r="BS47">
            <v>95</v>
          </cell>
          <cell r="BT47">
            <v>65</v>
          </cell>
          <cell r="BU47">
            <v>410</v>
          </cell>
          <cell r="BV47">
            <v>120</v>
          </cell>
          <cell r="BW47">
            <v>0.29268292682926828</v>
          </cell>
          <cell r="BX47">
            <v>46</v>
          </cell>
          <cell r="BY47">
            <v>6</v>
          </cell>
          <cell r="BZ47">
            <v>284</v>
          </cell>
          <cell r="CA47">
            <v>3.7576078327599897E-2</v>
          </cell>
          <cell r="CB47">
            <v>125</v>
          </cell>
          <cell r="CC47">
            <v>135</v>
          </cell>
          <cell r="CD47">
            <v>150</v>
          </cell>
          <cell r="CE47">
            <v>115</v>
          </cell>
          <cell r="CF47">
            <v>330</v>
          </cell>
          <cell r="CG47">
            <v>9.7599999999999992E-2</v>
          </cell>
          <cell r="CH47">
            <v>290</v>
          </cell>
          <cell r="CI47">
            <v>8.660000000000001E-2</v>
          </cell>
          <cell r="CJ47">
            <v>295</v>
          </cell>
          <cell r="CK47">
            <v>9.8500000000000004E-2</v>
          </cell>
          <cell r="CL47">
            <v>260</v>
          </cell>
          <cell r="CM47">
            <v>9.8999999999999991E-2</v>
          </cell>
          <cell r="CN47">
            <v>295</v>
          </cell>
          <cell r="CO47">
            <v>0.10369999999999999</v>
          </cell>
          <cell r="CP47">
            <v>300</v>
          </cell>
          <cell r="CQ47">
            <v>0.10256410256410256</v>
          </cell>
          <cell r="CR47">
            <v>182</v>
          </cell>
          <cell r="CS47">
            <v>3</v>
          </cell>
          <cell r="CT47">
            <v>179</v>
          </cell>
          <cell r="CU47">
            <v>0.97499999999999998</v>
          </cell>
          <cell r="CV47">
            <v>81</v>
          </cell>
          <cell r="CW47">
            <v>101</v>
          </cell>
          <cell r="CX47">
            <v>0.46937373737373739</v>
          </cell>
          <cell r="CY47">
            <v>0.5735577200577201</v>
          </cell>
          <cell r="CZ47">
            <v>0.38135730949003172</v>
          </cell>
          <cell r="DA47">
            <v>0.52566603749446195</v>
          </cell>
          <cell r="DB47">
            <v>0.49100901444444317</v>
          </cell>
          <cell r="DC47">
            <v>0.6347829278706536</v>
          </cell>
          <cell r="DD47">
            <v>147</v>
          </cell>
          <cell r="DE47">
            <v>10</v>
          </cell>
          <cell r="DF47">
            <v>6.8027210884353748E-2</v>
          </cell>
          <cell r="DG47">
            <v>3.7367568349765325E-2</v>
          </cell>
          <cell r="DH47">
            <v>0.12068883740957281</v>
          </cell>
          <cell r="DI47" t="str">
            <v>No Sig diff</v>
          </cell>
          <cell r="DJ47">
            <v>180</v>
          </cell>
          <cell r="DK47">
            <v>12</v>
          </cell>
          <cell r="DL47">
            <v>6.6666666666666666E-2</v>
          </cell>
          <cell r="DM47">
            <v>3.8544074935702596E-2</v>
          </cell>
          <cell r="DN47">
            <v>0.11289868992969539</v>
          </cell>
          <cell r="DO47" t="str">
            <v>No Sig diff</v>
          </cell>
          <cell r="DP47">
            <v>162</v>
          </cell>
          <cell r="DQ47">
            <v>10</v>
          </cell>
          <cell r="DR47">
            <v>6.1728395061728392E-2</v>
          </cell>
          <cell r="DS47">
            <v>3.3871842697269186E-2</v>
          </cell>
          <cell r="DT47">
            <v>0.10988870421441249</v>
          </cell>
          <cell r="DU47" t="str">
            <v>No Sig diff</v>
          </cell>
          <cell r="DV47">
            <v>178</v>
          </cell>
          <cell r="DW47">
            <v>12</v>
          </cell>
          <cell r="DX47">
            <v>6.741573033707865E-2</v>
          </cell>
          <cell r="DY47">
            <v>3.898189964215943E-2</v>
          </cell>
          <cell r="DZ47">
            <v>0.11412652239347416</v>
          </cell>
          <cell r="EA47" t="str">
            <v>No Sig diff</v>
          </cell>
          <cell r="EB47">
            <v>152</v>
          </cell>
          <cell r="EC47">
            <v>23</v>
          </cell>
          <cell r="ED47">
            <v>0.15131578947368421</v>
          </cell>
          <cell r="EE47">
            <v>0.10299520465345144</v>
          </cell>
          <cell r="EF47">
            <v>0.21682635757948435</v>
          </cell>
          <cell r="EG47" t="str">
            <v>No Sig diff</v>
          </cell>
          <cell r="EH47">
            <v>148</v>
          </cell>
          <cell r="EI47">
            <v>18</v>
          </cell>
          <cell r="EJ47">
            <v>0.12162162162162163</v>
          </cell>
          <cell r="EK47">
            <v>7.833277129047371E-2</v>
          </cell>
          <cell r="EL47">
            <v>0.18405576956082262</v>
          </cell>
          <cell r="EM47" t="str">
            <v>Sig better than Eng.</v>
          </cell>
          <cell r="EN47">
            <v>151</v>
          </cell>
          <cell r="EO47">
            <v>26</v>
          </cell>
          <cell r="EP47">
            <v>0.17218543046357615</v>
          </cell>
          <cell r="EQ47">
            <v>0.1202985593941184</v>
          </cell>
          <cell r="ER47">
            <v>0.24033779243306463</v>
          </cell>
          <cell r="ES47" t="str">
            <v>No Sig diff</v>
          </cell>
          <cell r="ET47">
            <v>132</v>
          </cell>
          <cell r="EU47">
            <v>17</v>
          </cell>
          <cell r="EV47">
            <v>0.12878787878787878</v>
          </cell>
          <cell r="EW47">
            <v>8.1986655242001494E-2</v>
          </cell>
          <cell r="EX47">
            <v>0.19658410768423812</v>
          </cell>
          <cell r="EY47" t="str">
            <v>No Sig diff</v>
          </cell>
          <cell r="EZ47">
            <v>200</v>
          </cell>
          <cell r="FA47">
            <v>109</v>
          </cell>
          <cell r="FB47">
            <v>0.54500000000000004</v>
          </cell>
          <cell r="FC47">
            <v>0.475786113724881</v>
          </cell>
          <cell r="FD47">
            <v>0.61251780690116497</v>
          </cell>
          <cell r="FE47">
            <v>200</v>
          </cell>
          <cell r="FF47">
            <v>34</v>
          </cell>
          <cell r="FG47">
            <v>40</v>
          </cell>
          <cell r="FH47">
            <v>26.749999999999996</v>
          </cell>
          <cell r="FI47">
            <v>0.21323529411764716</v>
          </cell>
          <cell r="FJ47">
            <v>212</v>
          </cell>
          <cell r="FK47">
            <v>123</v>
          </cell>
          <cell r="FL47">
            <v>0.58018867924528306</v>
          </cell>
          <cell r="FM47">
            <v>0.51290566369236901</v>
          </cell>
          <cell r="FN47">
            <v>0.64461736355998478</v>
          </cell>
          <cell r="FO47">
            <v>212</v>
          </cell>
          <cell r="FP47">
            <v>34</v>
          </cell>
          <cell r="FQ47">
            <v>42</v>
          </cell>
          <cell r="FR47">
            <v>26.61904761904762</v>
          </cell>
          <cell r="FS47">
            <v>0.21708683473389351</v>
          </cell>
          <cell r="FT47">
            <v>2349</v>
          </cell>
          <cell r="FU47">
            <v>2302</v>
          </cell>
          <cell r="FV47">
            <v>47</v>
          </cell>
          <cell r="FW47">
            <v>38</v>
          </cell>
          <cell r="FX47">
            <v>9</v>
          </cell>
          <cell r="FY47">
            <v>0.80851063829787229</v>
          </cell>
          <cell r="FZ47">
            <v>0.19148936170212766</v>
          </cell>
          <cell r="GA47">
            <v>0.90526844070961732</v>
          </cell>
          <cell r="GB47">
            <v>9.4731559290382822E-2</v>
          </cell>
          <cell r="GC47">
            <v>6.0704434258640506E-2</v>
          </cell>
          <cell r="GD47">
            <v>0.17357043245469891</v>
          </cell>
          <cell r="GE47">
            <v>0.91740079365079374</v>
          </cell>
          <cell r="GF47">
            <v>8.2599206349206339E-2</v>
          </cell>
          <cell r="GG47">
            <v>4.7917980164869027E-2</v>
          </cell>
          <cell r="GH47">
            <v>0.15269863893147434</v>
          </cell>
          <cell r="GI47">
            <v>0.925436507936508</v>
          </cell>
          <cell r="GJ47">
            <v>7.4563492063492068E-2</v>
          </cell>
          <cell r="GK47">
            <v>4.7917980164869027E-2</v>
          </cell>
          <cell r="GL47">
            <v>0.15269863893147434</v>
          </cell>
          <cell r="GM47">
            <v>0.83954481792717084</v>
          </cell>
          <cell r="GN47">
            <v>0.16045518207282913</v>
          </cell>
          <cell r="GO47">
            <v>0.11549589521930297</v>
          </cell>
          <cell r="GP47">
            <v>0.25341196196202076</v>
          </cell>
          <cell r="GQ47">
            <v>39</v>
          </cell>
          <cell r="GR47">
            <v>39</v>
          </cell>
          <cell r="GS47">
            <v>39</v>
          </cell>
          <cell r="GT47">
            <v>39</v>
          </cell>
          <cell r="GU47">
            <v>39</v>
          </cell>
          <cell r="GV47">
            <v>45</v>
          </cell>
          <cell r="GW47">
            <v>43</v>
          </cell>
          <cell r="GX47">
            <v>45</v>
          </cell>
          <cell r="GY47">
            <v>43</v>
          </cell>
          <cell r="GZ47">
            <v>45</v>
          </cell>
          <cell r="HA47">
            <v>45</v>
          </cell>
          <cell r="HB47">
            <v>43</v>
          </cell>
          <cell r="HC47">
            <v>45</v>
          </cell>
          <cell r="HD47">
            <v>59</v>
          </cell>
          <cell r="HE47">
            <v>56</v>
          </cell>
          <cell r="HF47">
            <v>54</v>
          </cell>
          <cell r="HG47">
            <v>54</v>
          </cell>
          <cell r="HH47">
            <v>57</v>
          </cell>
          <cell r="HI47">
            <v>58</v>
          </cell>
          <cell r="HJ47">
            <v>57</v>
          </cell>
          <cell r="HK47">
            <v>57</v>
          </cell>
          <cell r="HL47">
            <v>57</v>
          </cell>
          <cell r="HM47">
            <v>58</v>
          </cell>
          <cell r="HN47">
            <v>13</v>
          </cell>
          <cell r="HO47">
            <v>1.2584704743465635E-2</v>
          </cell>
          <cell r="HP47">
            <v>1567</v>
          </cell>
          <cell r="HQ47">
            <v>1408</v>
          </cell>
          <cell r="HR47">
            <v>159</v>
          </cell>
          <cell r="HS47">
            <v>0.10146777281429484</v>
          </cell>
        </row>
        <row r="48">
          <cell r="A48" t="str">
            <v>CFC Group - Adur East</v>
          </cell>
          <cell r="C48" t="str">
            <v>n/a</v>
          </cell>
          <cell r="D48" t="str">
            <v>CFC Group - Adur East</v>
          </cell>
          <cell r="E48" t="str">
            <v>Adur</v>
          </cell>
          <cell r="G48" t="str">
            <v>n/a</v>
          </cell>
          <cell r="H48" t="str">
            <v>n/a</v>
          </cell>
          <cell r="I48" t="str">
            <v>n/a</v>
          </cell>
          <cell r="J48" t="str">
            <v>Coastal West Sussex</v>
          </cell>
          <cell r="K48" t="str">
            <v>East Worthing and Shoreham</v>
          </cell>
          <cell r="L48">
            <v>27300</v>
          </cell>
          <cell r="M48">
            <v>27205</v>
          </cell>
          <cell r="N48">
            <v>27465</v>
          </cell>
          <cell r="O48">
            <v>27495</v>
          </cell>
          <cell r="P48">
            <v>27515</v>
          </cell>
          <cell r="Q48">
            <v>27770</v>
          </cell>
          <cell r="R48">
            <v>27820</v>
          </cell>
          <cell r="S48">
            <v>27855</v>
          </cell>
          <cell r="T48">
            <v>28125</v>
          </cell>
          <cell r="U48">
            <v>28580</v>
          </cell>
          <cell r="V48">
            <v>1470</v>
          </cell>
          <cell r="W48">
            <v>1455</v>
          </cell>
          <cell r="X48">
            <v>1510</v>
          </cell>
          <cell r="Y48">
            <v>1510</v>
          </cell>
          <cell r="Z48">
            <v>1565</v>
          </cell>
          <cell r="AA48">
            <v>1590</v>
          </cell>
          <cell r="AB48">
            <v>1630</v>
          </cell>
          <cell r="AC48">
            <v>1710</v>
          </cell>
          <cell r="AD48">
            <v>1770</v>
          </cell>
          <cell r="AE48">
            <v>1825</v>
          </cell>
          <cell r="AF48">
            <v>0.89380530973451322</v>
          </cell>
          <cell r="AG48">
            <v>2.0648967551622419E-2</v>
          </cell>
          <cell r="AH48">
            <v>4.1297935103244837E-2</v>
          </cell>
          <cell r="AI48">
            <v>2.9498525073746312E-2</v>
          </cell>
          <cell r="AJ48">
            <v>2.9498525073746312E-3</v>
          </cell>
          <cell r="AK48">
            <v>1.1799410029498525E-2</v>
          </cell>
          <cell r="AL48">
            <v>0.10619469026548672</v>
          </cell>
          <cell r="AM48">
            <v>3208</v>
          </cell>
          <cell r="AN48">
            <v>0.5960099750623441</v>
          </cell>
          <cell r="AO48">
            <v>0.20511221945137156</v>
          </cell>
          <cell r="AP48">
            <v>0.19887780548628428</v>
          </cell>
          <cell r="AQ48">
            <v>259</v>
          </cell>
          <cell r="AR48">
            <v>293</v>
          </cell>
          <cell r="AS48">
            <v>276</v>
          </cell>
          <cell r="AT48">
            <v>316</v>
          </cell>
          <cell r="AU48">
            <v>317</v>
          </cell>
          <cell r="AV48">
            <v>17</v>
          </cell>
          <cell r="AW48">
            <v>12</v>
          </cell>
          <cell r="AX48">
            <v>12</v>
          </cell>
          <cell r="AY48">
            <v>11</v>
          </cell>
          <cell r="AZ48">
            <v>13</v>
          </cell>
          <cell r="BA48">
            <v>21</v>
          </cell>
          <cell r="BB48">
            <v>6.6246056782334389E-2</v>
          </cell>
          <cell r="BC48">
            <v>4.373390669612897E-2</v>
          </cell>
          <cell r="BD48">
            <v>9.9144943777846523E-2</v>
          </cell>
          <cell r="BE48">
            <v>24</v>
          </cell>
          <cell r="BF48">
            <v>555</v>
          </cell>
          <cell r="BG48">
            <v>572</v>
          </cell>
          <cell r="BH48">
            <v>212</v>
          </cell>
          <cell r="BI48">
            <v>6.2982768865121802E-2</v>
          </cell>
          <cell r="BJ48">
            <v>3366</v>
          </cell>
          <cell r="BK48">
            <v>5787</v>
          </cell>
          <cell r="BL48">
            <v>3378</v>
          </cell>
          <cell r="BM48">
            <v>1740</v>
          </cell>
          <cell r="BN48">
            <v>4</v>
          </cell>
          <cell r="BO48">
            <v>585</v>
          </cell>
          <cell r="BP48">
            <v>790</v>
          </cell>
          <cell r="BQ48">
            <v>259</v>
          </cell>
          <cell r="BR48">
            <v>280</v>
          </cell>
          <cell r="BS48">
            <v>235</v>
          </cell>
          <cell r="BT48">
            <v>200</v>
          </cell>
          <cell r="BU48">
            <v>789</v>
          </cell>
          <cell r="BV48">
            <v>307</v>
          </cell>
          <cell r="BW48">
            <v>0.38910012674271227</v>
          </cell>
          <cell r="BX48">
            <v>64</v>
          </cell>
          <cell r="BY48" t="str">
            <v>n/a</v>
          </cell>
          <cell r="BZ48">
            <v>645</v>
          </cell>
          <cell r="CA48">
            <v>5.3580328958298722E-2</v>
          </cell>
          <cell r="CB48">
            <v>380</v>
          </cell>
          <cell r="CC48">
            <v>375</v>
          </cell>
          <cell r="CD48">
            <v>370</v>
          </cell>
          <cell r="CE48">
            <v>340</v>
          </cell>
          <cell r="CF48">
            <v>895</v>
          </cell>
          <cell r="CG48">
            <v>0.18011697985441</v>
          </cell>
          <cell r="CH48">
            <v>905</v>
          </cell>
          <cell r="CI48">
            <v>0.17256772141302529</v>
          </cell>
          <cell r="CJ48">
            <v>975</v>
          </cell>
          <cell r="CK48">
            <v>0.18370287490287487</v>
          </cell>
          <cell r="CL48">
            <v>935</v>
          </cell>
          <cell r="CM48">
            <v>0.16952676497596283</v>
          </cell>
          <cell r="CN48">
            <v>965</v>
          </cell>
          <cell r="CO48">
            <v>0.16842979012927198</v>
          </cell>
          <cell r="CP48">
            <v>930</v>
          </cell>
          <cell r="CQ48">
            <v>0.18058252427184465</v>
          </cell>
          <cell r="CR48">
            <v>319</v>
          </cell>
          <cell r="CS48">
            <v>20</v>
          </cell>
          <cell r="CT48">
            <v>299</v>
          </cell>
          <cell r="CU48">
            <v>0.93730407523510972</v>
          </cell>
          <cell r="CV48">
            <v>124</v>
          </cell>
          <cell r="CW48">
            <v>166</v>
          </cell>
          <cell r="CX48">
            <v>0.41471571906354515</v>
          </cell>
          <cell r="CY48">
            <v>0.55518394648829428</v>
          </cell>
          <cell r="CZ48">
            <v>0.36029897736062799</v>
          </cell>
          <cell r="DA48">
            <v>0.47129607505194154</v>
          </cell>
          <cell r="DB48">
            <v>0.49851037608616161</v>
          </cell>
          <cell r="DC48">
            <v>0.61045753117629342</v>
          </cell>
          <cell r="DD48">
            <v>213</v>
          </cell>
          <cell r="DE48">
            <v>10</v>
          </cell>
          <cell r="DF48">
            <v>4.6948356807511735E-2</v>
          </cell>
          <cell r="DG48">
            <v>2.5698400422747351E-2</v>
          </cell>
          <cell r="DH48">
            <v>8.425040249694056E-2</v>
          </cell>
          <cell r="DI48" t="str">
            <v>Sig better than Eng.</v>
          </cell>
          <cell r="DJ48">
            <v>276</v>
          </cell>
          <cell r="DK48">
            <v>15</v>
          </cell>
          <cell r="DL48">
            <v>5.434782608695652E-2</v>
          </cell>
          <cell r="DM48">
            <v>3.3208743744781791E-2</v>
          </cell>
          <cell r="DN48">
            <v>8.7722082456984568E-2</v>
          </cell>
          <cell r="DO48" t="str">
            <v>Sig better than Eng.</v>
          </cell>
          <cell r="DP48">
            <v>224</v>
          </cell>
          <cell r="DQ48">
            <v>22</v>
          </cell>
          <cell r="DR48">
            <v>9.8214285714285712E-2</v>
          </cell>
          <cell r="DS48">
            <v>6.5756221573603557E-2</v>
          </cell>
          <cell r="DT48">
            <v>0.14422074692160006</v>
          </cell>
          <cell r="DU48" t="str">
            <v>No Sig diff</v>
          </cell>
          <cell r="DV48">
            <v>279</v>
          </cell>
          <cell r="DW48">
            <v>28</v>
          </cell>
          <cell r="DX48">
            <v>0.1003584229390681</v>
          </cell>
          <cell r="DY48">
            <v>7.0350311392395601E-2</v>
          </cell>
          <cell r="DZ48">
            <v>0.14122213300879916</v>
          </cell>
          <cell r="EA48" t="str">
            <v>No Sig diff</v>
          </cell>
          <cell r="EB48">
            <v>238</v>
          </cell>
          <cell r="EC48">
            <v>44</v>
          </cell>
          <cell r="ED48">
            <v>0.18487394957983194</v>
          </cell>
          <cell r="EE48">
            <v>0.14069884589089099</v>
          </cell>
          <cell r="EF48">
            <v>0.23906010556658902</v>
          </cell>
          <cell r="EG48" t="str">
            <v>No Sig diff</v>
          </cell>
          <cell r="EH48">
            <v>214</v>
          </cell>
          <cell r="EI48">
            <v>46</v>
          </cell>
          <cell r="EJ48">
            <v>0.21495327102803738</v>
          </cell>
          <cell r="EK48">
            <v>0.16519838423066768</v>
          </cell>
          <cell r="EL48">
            <v>0.2747612971795706</v>
          </cell>
          <cell r="EM48" t="str">
            <v>No Sig diff</v>
          </cell>
          <cell r="EN48">
            <v>218</v>
          </cell>
          <cell r="EO48">
            <v>36</v>
          </cell>
          <cell r="EP48">
            <v>0.16513761467889909</v>
          </cell>
          <cell r="EQ48">
            <v>0.12173288009530026</v>
          </cell>
          <cell r="ER48">
            <v>0.22013946073704996</v>
          </cell>
          <cell r="ES48" t="str">
            <v>No Sig diff</v>
          </cell>
          <cell r="ET48">
            <v>215</v>
          </cell>
          <cell r="EU48">
            <v>46</v>
          </cell>
          <cell r="EV48">
            <v>0.21395348837209302</v>
          </cell>
          <cell r="EW48">
            <v>0.16440969363966532</v>
          </cell>
          <cell r="EX48">
            <v>0.27353958405739576</v>
          </cell>
          <cell r="EY48" t="str">
            <v>No Sig diff</v>
          </cell>
          <cell r="EZ48">
            <v>314</v>
          </cell>
          <cell r="FA48">
            <v>156</v>
          </cell>
          <cell r="FB48">
            <v>0.49681528662420382</v>
          </cell>
          <cell r="FC48">
            <v>0.44188651347485403</v>
          </cell>
          <cell r="FD48">
            <v>0.55182104120532927</v>
          </cell>
          <cell r="FE48">
            <v>314</v>
          </cell>
          <cell r="FF48">
            <v>34</v>
          </cell>
          <cell r="FG48">
            <v>62</v>
          </cell>
          <cell r="FH48">
            <v>22.870967741935495</v>
          </cell>
          <cell r="FI48">
            <v>0.32732447817836779</v>
          </cell>
          <cell r="FJ48">
            <v>294</v>
          </cell>
          <cell r="FK48">
            <v>174</v>
          </cell>
          <cell r="FL48">
            <v>0.59183673469387754</v>
          </cell>
          <cell r="FM48">
            <v>0.53482179706187938</v>
          </cell>
          <cell r="FN48">
            <v>0.64648271378027622</v>
          </cell>
          <cell r="FO48">
            <v>294</v>
          </cell>
          <cell r="FP48">
            <v>34</v>
          </cell>
          <cell r="FQ48">
            <v>58</v>
          </cell>
          <cell r="FR48">
            <v>25.379310344827587</v>
          </cell>
          <cell r="FS48">
            <v>0.25354969574036507</v>
          </cell>
          <cell r="FT48">
            <v>4052</v>
          </cell>
          <cell r="FU48">
            <v>3973</v>
          </cell>
          <cell r="FV48">
            <v>79</v>
          </cell>
          <cell r="FW48">
            <v>73</v>
          </cell>
          <cell r="FX48">
            <v>6</v>
          </cell>
          <cell r="FY48">
            <v>0.92405063291139244</v>
          </cell>
          <cell r="FZ48">
            <v>7.5949367088607597E-2</v>
          </cell>
          <cell r="GQ48">
            <v>93</v>
          </cell>
          <cell r="GR48">
            <v>85</v>
          </cell>
          <cell r="GS48">
            <v>86</v>
          </cell>
          <cell r="GT48">
            <v>88</v>
          </cell>
          <cell r="GU48">
            <v>86</v>
          </cell>
          <cell r="GV48">
            <v>66</v>
          </cell>
          <cell r="GW48">
            <v>64</v>
          </cell>
          <cell r="GX48">
            <v>65</v>
          </cell>
          <cell r="GY48">
            <v>62</v>
          </cell>
          <cell r="GZ48">
            <v>65</v>
          </cell>
          <cell r="HA48">
            <v>65</v>
          </cell>
          <cell r="HB48">
            <v>62</v>
          </cell>
          <cell r="HC48">
            <v>65</v>
          </cell>
          <cell r="HD48">
            <v>71</v>
          </cell>
          <cell r="HE48">
            <v>67</v>
          </cell>
          <cell r="HF48">
            <v>67</v>
          </cell>
          <cell r="HG48">
            <v>64</v>
          </cell>
          <cell r="HH48">
            <v>67</v>
          </cell>
          <cell r="HI48">
            <v>68</v>
          </cell>
          <cell r="HJ48">
            <v>63</v>
          </cell>
          <cell r="HK48">
            <v>66</v>
          </cell>
          <cell r="HL48">
            <v>63</v>
          </cell>
          <cell r="HM48">
            <v>68</v>
          </cell>
          <cell r="HN48">
            <v>48</v>
          </cell>
          <cell r="HO48">
            <v>2.8301886792452831E-2</v>
          </cell>
          <cell r="HP48">
            <v>2641</v>
          </cell>
          <cell r="HQ48">
            <v>2287</v>
          </cell>
          <cell r="HR48">
            <v>354</v>
          </cell>
          <cell r="HS48">
            <v>0.13404013631200304</v>
          </cell>
        </row>
        <row r="49">
          <cell r="A49" t="str">
            <v>CFC Group - Adur West</v>
          </cell>
          <cell r="C49" t="str">
            <v>n/a</v>
          </cell>
          <cell r="D49" t="str">
            <v>CFC Group - Adur West</v>
          </cell>
          <cell r="E49" t="str">
            <v>Adur</v>
          </cell>
          <cell r="G49" t="str">
            <v>n/a</v>
          </cell>
          <cell r="H49" t="str">
            <v>n/a</v>
          </cell>
          <cell r="I49" t="str">
            <v>n/a</v>
          </cell>
          <cell r="J49" t="str">
            <v>Coastal West Sussex</v>
          </cell>
          <cell r="K49" t="str">
            <v>East Worthing and Shoreham</v>
          </cell>
          <cell r="L49">
            <v>29760</v>
          </cell>
          <cell r="M49">
            <v>29685</v>
          </cell>
          <cell r="N49">
            <v>29960</v>
          </cell>
          <cell r="O49">
            <v>30165</v>
          </cell>
          <cell r="P49">
            <v>30300</v>
          </cell>
          <cell r="Q49">
            <v>30380</v>
          </cell>
          <cell r="R49">
            <v>30535</v>
          </cell>
          <cell r="S49">
            <v>30635</v>
          </cell>
          <cell r="T49">
            <v>30915</v>
          </cell>
          <cell r="U49">
            <v>31085</v>
          </cell>
          <cell r="V49">
            <v>1465</v>
          </cell>
          <cell r="W49">
            <v>1435</v>
          </cell>
          <cell r="X49">
            <v>1470</v>
          </cell>
          <cell r="Y49">
            <v>1535</v>
          </cell>
          <cell r="Z49">
            <v>1520</v>
          </cell>
          <cell r="AA49">
            <v>1640</v>
          </cell>
          <cell r="AB49">
            <v>1725</v>
          </cell>
          <cell r="AC49">
            <v>1755</v>
          </cell>
          <cell r="AD49">
            <v>1805</v>
          </cell>
          <cell r="AE49">
            <v>1840</v>
          </cell>
          <cell r="AF49">
            <v>0.89565217391304353</v>
          </cell>
          <cell r="AG49">
            <v>3.4782608695652174E-2</v>
          </cell>
          <cell r="AH49">
            <v>4.3478260869565216E-2</v>
          </cell>
          <cell r="AI49">
            <v>1.7391304347826087E-2</v>
          </cell>
          <cell r="AJ49">
            <v>2.8985507246376812E-3</v>
          </cell>
          <cell r="AK49">
            <v>5.7971014492753624E-3</v>
          </cell>
          <cell r="AL49">
            <v>0.10434782608695652</v>
          </cell>
          <cell r="AM49">
            <v>3211</v>
          </cell>
          <cell r="AN49">
            <v>0.62099034568670197</v>
          </cell>
          <cell r="AO49">
            <v>0.16256617876051074</v>
          </cell>
          <cell r="AP49">
            <v>0.21644347555278728</v>
          </cell>
          <cell r="AQ49">
            <v>354</v>
          </cell>
          <cell r="AR49">
            <v>346</v>
          </cell>
          <cell r="AS49">
            <v>345</v>
          </cell>
          <cell r="AT49">
            <v>377</v>
          </cell>
          <cell r="AU49">
            <v>371</v>
          </cell>
          <cell r="AV49">
            <v>22</v>
          </cell>
          <cell r="AW49">
            <v>26</v>
          </cell>
          <cell r="AX49">
            <v>15</v>
          </cell>
          <cell r="AY49">
            <v>21</v>
          </cell>
          <cell r="AZ49">
            <v>11</v>
          </cell>
          <cell r="BA49">
            <v>22</v>
          </cell>
          <cell r="BB49">
            <v>5.9299191374663072E-2</v>
          </cell>
          <cell r="BC49">
            <v>3.9483053394127665E-2</v>
          </cell>
          <cell r="BD49">
            <v>8.8148129589767241E-2</v>
          </cell>
          <cell r="BE49">
            <v>27</v>
          </cell>
          <cell r="BF49">
            <v>589</v>
          </cell>
          <cell r="BG49">
            <v>517</v>
          </cell>
          <cell r="BH49">
            <v>247</v>
          </cell>
          <cell r="BI49">
            <v>7.439759036144579E-2</v>
          </cell>
          <cell r="BJ49">
            <v>3320</v>
          </cell>
          <cell r="BK49">
            <v>5743</v>
          </cell>
          <cell r="BL49">
            <v>3348</v>
          </cell>
          <cell r="BM49">
            <v>1712</v>
          </cell>
          <cell r="BN49">
            <v>2</v>
          </cell>
          <cell r="BO49">
            <v>565</v>
          </cell>
          <cell r="BP49">
            <v>802</v>
          </cell>
          <cell r="BQ49">
            <v>267</v>
          </cell>
          <cell r="BR49">
            <v>265</v>
          </cell>
          <cell r="BS49">
            <v>275</v>
          </cell>
          <cell r="BT49">
            <v>260</v>
          </cell>
          <cell r="BU49">
            <v>802</v>
          </cell>
          <cell r="BV49">
            <v>325</v>
          </cell>
          <cell r="BW49">
            <v>0.40523690773067333</v>
          </cell>
          <cell r="BX49">
            <v>92</v>
          </cell>
          <cell r="BY49" t="str">
            <v>n/a</v>
          </cell>
          <cell r="BZ49">
            <v>644</v>
          </cell>
          <cell r="CA49">
            <v>4.6592388945159893E-2</v>
          </cell>
          <cell r="CB49">
            <v>380</v>
          </cell>
          <cell r="CC49">
            <v>340</v>
          </cell>
          <cell r="CD49">
            <v>355</v>
          </cell>
          <cell r="CE49">
            <v>335</v>
          </cell>
          <cell r="CF49">
            <v>870</v>
          </cell>
          <cell r="CG49">
            <v>0.17352507836990594</v>
          </cell>
          <cell r="CH49">
            <v>855</v>
          </cell>
          <cell r="CI49">
            <v>0.17224313308523834</v>
          </cell>
          <cell r="CJ49">
            <v>985</v>
          </cell>
          <cell r="CK49">
            <v>0.18749792339640056</v>
          </cell>
          <cell r="CL49">
            <v>880</v>
          </cell>
          <cell r="CM49">
            <v>0.16750447658402201</v>
          </cell>
          <cell r="CN49">
            <v>925</v>
          </cell>
          <cell r="CO49">
            <v>0.16530515970515972</v>
          </cell>
          <cell r="CP49">
            <v>785</v>
          </cell>
          <cell r="CQ49">
            <v>0.15287244401168451</v>
          </cell>
          <cell r="CR49">
            <v>379</v>
          </cell>
          <cell r="CS49">
            <v>26</v>
          </cell>
          <cell r="CT49">
            <v>353</v>
          </cell>
          <cell r="CU49">
            <v>0.93139841688654357</v>
          </cell>
          <cell r="CV49">
            <v>131</v>
          </cell>
          <cell r="CW49">
            <v>163</v>
          </cell>
          <cell r="CX49">
            <v>0.37110481586402266</v>
          </cell>
          <cell r="CY49">
            <v>0.46175637393767704</v>
          </cell>
          <cell r="CZ49">
            <v>0.32234894432887634</v>
          </cell>
          <cell r="DA49">
            <v>0.42263584443210189</v>
          </cell>
          <cell r="DB49">
            <v>0.41044073960374611</v>
          </cell>
          <cell r="DC49">
            <v>0.51389540651214849</v>
          </cell>
          <cell r="DD49">
            <v>264</v>
          </cell>
          <cell r="DE49">
            <v>17</v>
          </cell>
          <cell r="DF49">
            <v>6.4393939393939392E-2</v>
          </cell>
          <cell r="DG49">
            <v>4.0589617518918868E-2</v>
          </cell>
          <cell r="DH49">
            <v>0.10069343472889242</v>
          </cell>
          <cell r="DI49" t="str">
            <v>No Sig diff</v>
          </cell>
          <cell r="DJ49">
            <v>287</v>
          </cell>
          <cell r="DK49">
            <v>27</v>
          </cell>
          <cell r="DL49">
            <v>9.4076655052264813E-2</v>
          </cell>
          <cell r="DM49">
            <v>6.5461356844761939E-2</v>
          </cell>
          <cell r="DN49">
            <v>0.13341489365690332</v>
          </cell>
          <cell r="DO49" t="str">
            <v>No Sig diff</v>
          </cell>
          <cell r="DP49">
            <v>272</v>
          </cell>
          <cell r="DQ49">
            <v>29</v>
          </cell>
          <cell r="DR49">
            <v>0.10661764705882353</v>
          </cell>
          <cell r="DS49">
            <v>7.5265326856754355E-2</v>
          </cell>
          <cell r="DT49">
            <v>0.14892671115335882</v>
          </cell>
          <cell r="DU49" t="str">
            <v>No Sig diff</v>
          </cell>
          <cell r="DV49">
            <v>315</v>
          </cell>
          <cell r="DW49">
            <v>22</v>
          </cell>
          <cell r="DX49">
            <v>6.9841269841269843E-2</v>
          </cell>
          <cell r="DY49">
            <v>4.6571287675486066E-2</v>
          </cell>
          <cell r="DZ49">
            <v>0.10347651036698424</v>
          </cell>
          <cell r="EA49" t="str">
            <v>No Sig diff</v>
          </cell>
          <cell r="EB49">
            <v>244</v>
          </cell>
          <cell r="EC49">
            <v>45</v>
          </cell>
          <cell r="ED49">
            <v>0.18442622950819673</v>
          </cell>
          <cell r="EE49">
            <v>0.14078630607299766</v>
          </cell>
          <cell r="EF49">
            <v>0.23784872644827881</v>
          </cell>
          <cell r="EG49" t="str">
            <v>No Sig diff</v>
          </cell>
          <cell r="EH49">
            <v>254</v>
          </cell>
          <cell r="EI49">
            <v>33</v>
          </cell>
          <cell r="EJ49">
            <v>0.12992125984251968</v>
          </cell>
          <cell r="EK49">
            <v>9.4027695335937009E-2</v>
          </cell>
          <cell r="EL49">
            <v>0.17684208309353841</v>
          </cell>
          <cell r="EM49" t="str">
            <v>Sig better than Eng.</v>
          </cell>
          <cell r="EN49">
            <v>222</v>
          </cell>
          <cell r="EO49">
            <v>39</v>
          </cell>
          <cell r="EP49">
            <v>0.17567567567567569</v>
          </cell>
          <cell r="EQ49">
            <v>0.13125584687818342</v>
          </cell>
          <cell r="ER49">
            <v>0.23112871815277405</v>
          </cell>
          <cell r="ES49" t="str">
            <v>No Sig diff</v>
          </cell>
          <cell r="ET49">
            <v>246</v>
          </cell>
          <cell r="EU49">
            <v>32</v>
          </cell>
          <cell r="EV49">
            <v>0.13008130081300814</v>
          </cell>
          <cell r="EW49">
            <v>9.3670872414040679E-2</v>
          </cell>
          <cell r="EX49">
            <v>0.1778671627099957</v>
          </cell>
          <cell r="EY49" t="str">
            <v>Sig better than Eng.</v>
          </cell>
          <cell r="EZ49">
            <v>347</v>
          </cell>
          <cell r="FA49">
            <v>171</v>
          </cell>
          <cell r="FB49">
            <v>0.49279538904899134</v>
          </cell>
          <cell r="FC49">
            <v>0.4405602602109211</v>
          </cell>
          <cell r="FD49">
            <v>0.54518828838762023</v>
          </cell>
          <cell r="FE49">
            <v>347</v>
          </cell>
          <cell r="FF49">
            <v>34</v>
          </cell>
          <cell r="FG49">
            <v>69</v>
          </cell>
          <cell r="FH49">
            <v>21.420289855072468</v>
          </cell>
          <cell r="FI49">
            <v>0.36999147485080974</v>
          </cell>
          <cell r="FJ49">
            <v>335</v>
          </cell>
          <cell r="FK49">
            <v>184</v>
          </cell>
          <cell r="FL49">
            <v>0.54925373134328359</v>
          </cell>
          <cell r="FM49">
            <v>0.49571356302278635</v>
          </cell>
          <cell r="FN49">
            <v>0.60167711672122548</v>
          </cell>
          <cell r="FO49">
            <v>335</v>
          </cell>
          <cell r="FP49">
            <v>34</v>
          </cell>
          <cell r="FQ49">
            <v>66</v>
          </cell>
          <cell r="FR49">
            <v>21.621212121212125</v>
          </cell>
          <cell r="FS49">
            <v>0.36408199643493749</v>
          </cell>
          <cell r="FT49">
            <v>4003</v>
          </cell>
          <cell r="FU49">
            <v>3955</v>
          </cell>
          <cell r="FV49">
            <v>48</v>
          </cell>
          <cell r="FW49">
            <v>39</v>
          </cell>
          <cell r="FX49">
            <v>9</v>
          </cell>
          <cell r="FY49">
            <v>0.8125</v>
          </cell>
          <cell r="FZ49">
            <v>0.1875</v>
          </cell>
          <cell r="GQ49">
            <v>96</v>
          </cell>
          <cell r="GR49">
            <v>94</v>
          </cell>
          <cell r="GS49">
            <v>94</v>
          </cell>
          <cell r="GT49">
            <v>95</v>
          </cell>
          <cell r="GU49">
            <v>94</v>
          </cell>
          <cell r="GV49">
            <v>106</v>
          </cell>
          <cell r="GW49">
            <v>101</v>
          </cell>
          <cell r="GX49">
            <v>104</v>
          </cell>
          <cell r="GY49">
            <v>100</v>
          </cell>
          <cell r="GZ49">
            <v>103</v>
          </cell>
          <cell r="HA49">
            <v>105</v>
          </cell>
          <cell r="HB49">
            <v>102</v>
          </cell>
          <cell r="HC49">
            <v>104</v>
          </cell>
          <cell r="HD49">
            <v>88</v>
          </cell>
          <cell r="HE49">
            <v>84</v>
          </cell>
          <cell r="HF49">
            <v>82</v>
          </cell>
          <cell r="HG49">
            <v>80</v>
          </cell>
          <cell r="HH49">
            <v>82</v>
          </cell>
          <cell r="HI49">
            <v>83</v>
          </cell>
          <cell r="HJ49">
            <v>82</v>
          </cell>
          <cell r="HK49">
            <v>84</v>
          </cell>
          <cell r="HL49">
            <v>83</v>
          </cell>
          <cell r="HM49">
            <v>83</v>
          </cell>
          <cell r="HN49">
            <v>31</v>
          </cell>
          <cell r="HO49">
            <v>1.7971014492753623E-2</v>
          </cell>
          <cell r="HP49">
            <v>2686</v>
          </cell>
          <cell r="HQ49">
            <v>2343</v>
          </cell>
          <cell r="HR49">
            <v>343</v>
          </cell>
          <cell r="HS49">
            <v>0.12769918093819807</v>
          </cell>
        </row>
        <row r="50">
          <cell r="A50" t="str">
            <v>CFC Group - Arun East</v>
          </cell>
          <cell r="C50" t="str">
            <v>n/a</v>
          </cell>
          <cell r="D50" t="str">
            <v>CFC Group - Arun East</v>
          </cell>
          <cell r="E50" t="str">
            <v>Arun</v>
          </cell>
          <cell r="G50" t="str">
            <v>n/a</v>
          </cell>
          <cell r="H50" t="str">
            <v>n/a</v>
          </cell>
          <cell r="I50" t="str">
            <v>n/a</v>
          </cell>
          <cell r="J50" t="str">
            <v>Coastal West Sussex</v>
          </cell>
          <cell r="K50" t="str">
            <v>Worthing W/Bognor and Littlehampton</v>
          </cell>
          <cell r="L50">
            <v>53555</v>
          </cell>
          <cell r="M50">
            <v>53925</v>
          </cell>
          <cell r="N50">
            <v>54555</v>
          </cell>
          <cell r="O50">
            <v>54965</v>
          </cell>
          <cell r="P50">
            <v>55265</v>
          </cell>
          <cell r="Q50">
            <v>55595</v>
          </cell>
          <cell r="R50">
            <v>55840</v>
          </cell>
          <cell r="S50">
            <v>56205</v>
          </cell>
          <cell r="T50">
            <v>56680</v>
          </cell>
          <cell r="U50">
            <v>57130</v>
          </cell>
          <cell r="V50">
            <v>2675</v>
          </cell>
          <cell r="W50">
            <v>2700</v>
          </cell>
          <cell r="X50">
            <v>2735</v>
          </cell>
          <cell r="Y50">
            <v>2740</v>
          </cell>
          <cell r="Z50">
            <v>2760</v>
          </cell>
          <cell r="AA50">
            <v>2835</v>
          </cell>
          <cell r="AB50">
            <v>2865</v>
          </cell>
          <cell r="AC50">
            <v>2935</v>
          </cell>
          <cell r="AD50">
            <v>3070</v>
          </cell>
          <cell r="AE50">
            <v>3090</v>
          </cell>
          <cell r="AF50">
            <v>0.88581314878892736</v>
          </cell>
          <cell r="AG50">
            <v>5.1903114186851208E-2</v>
          </cell>
          <cell r="AH50">
            <v>3.8062283737024222E-2</v>
          </cell>
          <cell r="AI50">
            <v>1.9031141868512111E-2</v>
          </cell>
          <cell r="AJ50">
            <v>3.4602076124567475E-3</v>
          </cell>
          <cell r="AK50">
            <v>1.7301038062283738E-3</v>
          </cell>
          <cell r="AL50">
            <v>0.11418685121107267</v>
          </cell>
          <cell r="AM50">
            <v>5674</v>
          </cell>
          <cell r="AN50">
            <v>0.57737046175537543</v>
          </cell>
          <cell r="AO50">
            <v>0.1473387381036306</v>
          </cell>
          <cell r="AP50">
            <v>0.275290800140994</v>
          </cell>
          <cell r="AQ50">
            <v>561</v>
          </cell>
          <cell r="AR50">
            <v>576</v>
          </cell>
          <cell r="AS50">
            <v>644</v>
          </cell>
          <cell r="AT50">
            <v>630</v>
          </cell>
          <cell r="AU50">
            <v>560</v>
          </cell>
          <cell r="AV50">
            <v>44</v>
          </cell>
          <cell r="AW50">
            <v>30</v>
          </cell>
          <cell r="AX50">
            <v>47</v>
          </cell>
          <cell r="AY50">
            <v>32</v>
          </cell>
          <cell r="AZ50">
            <v>26</v>
          </cell>
          <cell r="BA50">
            <v>38</v>
          </cell>
          <cell r="BB50">
            <v>6.7857142857142852E-2</v>
          </cell>
          <cell r="BC50">
            <v>4.9834490003291265E-2</v>
          </cell>
          <cell r="BD50">
            <v>9.1768184953756049E-2</v>
          </cell>
          <cell r="BE50">
            <v>55</v>
          </cell>
          <cell r="BF50">
            <v>987</v>
          </cell>
          <cell r="BG50">
            <v>889</v>
          </cell>
          <cell r="BH50">
            <v>436</v>
          </cell>
          <cell r="BI50">
            <v>7.2054205916377456E-2</v>
          </cell>
          <cell r="BJ50">
            <v>6051</v>
          </cell>
          <cell r="BK50">
            <v>10574</v>
          </cell>
          <cell r="BL50">
            <v>6079</v>
          </cell>
          <cell r="BM50">
            <v>3197</v>
          </cell>
          <cell r="BN50">
            <v>3</v>
          </cell>
          <cell r="BO50">
            <v>898</v>
          </cell>
          <cell r="BP50">
            <v>1483</v>
          </cell>
          <cell r="BQ50">
            <v>498</v>
          </cell>
          <cell r="BR50">
            <v>480</v>
          </cell>
          <cell r="BS50">
            <v>465</v>
          </cell>
          <cell r="BT50">
            <v>365</v>
          </cell>
          <cell r="BU50">
            <v>1482</v>
          </cell>
          <cell r="BV50">
            <v>508</v>
          </cell>
          <cell r="BW50">
            <v>0.34278002699055332</v>
          </cell>
          <cell r="BX50">
            <v>137</v>
          </cell>
          <cell r="BY50" t="str">
            <v>n/a</v>
          </cell>
          <cell r="BZ50">
            <v>1108</v>
          </cell>
          <cell r="CA50">
            <v>4.3713259951868068E-2</v>
          </cell>
          <cell r="CB50">
            <v>605</v>
          </cell>
          <cell r="CC50">
            <v>655</v>
          </cell>
          <cell r="CD50">
            <v>650</v>
          </cell>
          <cell r="CE50">
            <v>610</v>
          </cell>
          <cell r="CF50">
            <v>1745</v>
          </cell>
          <cell r="CG50">
            <v>0.22530978987583569</v>
          </cell>
          <cell r="CH50">
            <v>1735</v>
          </cell>
          <cell r="CI50">
            <v>0.20418318924111431</v>
          </cell>
          <cell r="CJ50">
            <v>1805</v>
          </cell>
          <cell r="CK50">
            <v>0.22404164358264086</v>
          </cell>
          <cell r="CL50">
            <v>1690</v>
          </cell>
          <cell r="CM50">
            <v>0.20753303747534516</v>
          </cell>
          <cell r="CN50">
            <v>1810</v>
          </cell>
          <cell r="CO50">
            <v>0.20711832412523021</v>
          </cell>
          <cell r="CP50">
            <v>1655</v>
          </cell>
          <cell r="CQ50">
            <v>0.17239583333333333</v>
          </cell>
          <cell r="CR50">
            <v>588</v>
          </cell>
          <cell r="CS50">
            <v>23</v>
          </cell>
          <cell r="CT50">
            <v>565</v>
          </cell>
          <cell r="CU50">
            <v>0.96088435374149661</v>
          </cell>
          <cell r="CV50">
            <v>207</v>
          </cell>
          <cell r="CW50">
            <v>263</v>
          </cell>
          <cell r="CX50">
            <v>0.36637168141592918</v>
          </cell>
          <cell r="CY50">
            <v>0.46548672566371679</v>
          </cell>
          <cell r="CZ50">
            <v>0.32766968695072873</v>
          </cell>
          <cell r="DA50">
            <v>0.40687849399049719</v>
          </cell>
          <cell r="DB50">
            <v>0.42472843243816932</v>
          </cell>
          <cell r="DC50">
            <v>0.50671116396386917</v>
          </cell>
          <cell r="DD50">
            <v>416</v>
          </cell>
          <cell r="DE50">
            <v>22</v>
          </cell>
          <cell r="DF50">
            <v>5.2884615384615384E-2</v>
          </cell>
          <cell r="DG50">
            <v>3.5180459502092254E-2</v>
          </cell>
          <cell r="DH50">
            <v>7.877078998879293E-2</v>
          </cell>
          <cell r="DI50" t="str">
            <v>Sig better than Eng.</v>
          </cell>
          <cell r="DJ50">
            <v>472</v>
          </cell>
          <cell r="DK50">
            <v>40</v>
          </cell>
          <cell r="DL50">
            <v>8.4745762711864403E-2</v>
          </cell>
          <cell r="DM50">
            <v>6.2851118482604509E-2</v>
          </cell>
          <cell r="DN50">
            <v>0.1133450856659019</v>
          </cell>
          <cell r="DO50" t="str">
            <v>No Sig diff</v>
          </cell>
          <cell r="DP50">
            <v>364</v>
          </cell>
          <cell r="DQ50">
            <v>27</v>
          </cell>
          <cell r="DR50">
            <v>7.4175824175824176E-2</v>
          </cell>
          <cell r="DS50">
            <v>5.1475936681714074E-2</v>
          </cell>
          <cell r="DT50">
            <v>0.10576968485897578</v>
          </cell>
          <cell r="DU50" t="str">
            <v>No Sig diff</v>
          </cell>
          <cell r="DV50">
            <v>513</v>
          </cell>
          <cell r="DW50">
            <v>47</v>
          </cell>
          <cell r="DX50">
            <v>9.1617933723196876E-2</v>
          </cell>
          <cell r="DY50">
            <v>6.9597686036753315E-2</v>
          </cell>
          <cell r="DZ50">
            <v>0.11970883562647475</v>
          </cell>
          <cell r="EA50" t="str">
            <v>No Sig diff</v>
          </cell>
          <cell r="EB50">
            <v>486</v>
          </cell>
          <cell r="EC50">
            <v>73</v>
          </cell>
          <cell r="ED50">
            <v>0.15020576131687244</v>
          </cell>
          <cell r="EE50">
            <v>0.12119140050135882</v>
          </cell>
          <cell r="EF50">
            <v>0.18470646935522964</v>
          </cell>
          <cell r="EG50" t="str">
            <v>Sig better than Eng.</v>
          </cell>
          <cell r="EH50">
            <v>495</v>
          </cell>
          <cell r="EI50">
            <v>84</v>
          </cell>
          <cell r="EJ50">
            <v>0.16969696969696971</v>
          </cell>
          <cell r="EK50">
            <v>0.13920260146623115</v>
          </cell>
          <cell r="EL50">
            <v>0.20527850727509667</v>
          </cell>
          <cell r="EM50" t="str">
            <v>No Sig diff</v>
          </cell>
          <cell r="EN50">
            <v>500</v>
          </cell>
          <cell r="EO50">
            <v>103</v>
          </cell>
          <cell r="EP50">
            <v>0.20599999999999999</v>
          </cell>
          <cell r="EQ50">
            <v>0.17285664127336728</v>
          </cell>
          <cell r="ER50">
            <v>0.24362647091802545</v>
          </cell>
          <cell r="ES50" t="str">
            <v>No Sig diff</v>
          </cell>
          <cell r="ET50">
            <v>506</v>
          </cell>
          <cell r="EU50">
            <v>73</v>
          </cell>
          <cell r="EV50">
            <v>0.14426877470355731</v>
          </cell>
          <cell r="EW50">
            <v>0.11633254008067927</v>
          </cell>
          <cell r="EX50">
            <v>0.17756560458431117</v>
          </cell>
          <cell r="EY50" t="str">
            <v>Sig better than Eng.</v>
          </cell>
          <cell r="EZ50">
            <v>573</v>
          </cell>
          <cell r="FA50">
            <v>306</v>
          </cell>
          <cell r="FB50">
            <v>0.53403141361256545</v>
          </cell>
          <cell r="FC50">
            <v>0.49309598153954287</v>
          </cell>
          <cell r="FD50">
            <v>0.57451358327872171</v>
          </cell>
          <cell r="FE50">
            <v>573</v>
          </cell>
          <cell r="FF50">
            <v>34</v>
          </cell>
          <cell r="FG50">
            <v>114</v>
          </cell>
          <cell r="FH50">
            <v>24.087719298245613</v>
          </cell>
          <cell r="FI50">
            <v>0.29153766769865846</v>
          </cell>
          <cell r="FJ50">
            <v>623</v>
          </cell>
          <cell r="FK50">
            <v>370</v>
          </cell>
          <cell r="FL50">
            <v>0.593900481540931</v>
          </cell>
          <cell r="FM50">
            <v>0.55487551037941496</v>
          </cell>
          <cell r="FN50">
            <v>0.6317745561623187</v>
          </cell>
          <cell r="FO50">
            <v>623</v>
          </cell>
          <cell r="FP50">
            <v>34</v>
          </cell>
          <cell r="FQ50">
            <v>123</v>
          </cell>
          <cell r="FR50">
            <v>24.869918699186982</v>
          </cell>
          <cell r="FS50">
            <v>0.26853180296508877</v>
          </cell>
          <cell r="FT50">
            <v>7538</v>
          </cell>
          <cell r="FU50">
            <v>7332</v>
          </cell>
          <cell r="FV50">
            <v>206</v>
          </cell>
          <cell r="FW50">
            <v>166</v>
          </cell>
          <cell r="FX50">
            <v>40</v>
          </cell>
          <cell r="FY50">
            <v>0.80582524271844658</v>
          </cell>
          <cell r="FZ50">
            <v>0.1941747572815534</v>
          </cell>
          <cell r="GQ50">
            <v>184</v>
          </cell>
          <cell r="GR50">
            <v>176</v>
          </cell>
          <cell r="GS50">
            <v>176</v>
          </cell>
          <cell r="GT50">
            <v>182</v>
          </cell>
          <cell r="GU50">
            <v>176</v>
          </cell>
          <cell r="GV50">
            <v>163</v>
          </cell>
          <cell r="GW50">
            <v>150</v>
          </cell>
          <cell r="GX50">
            <v>155</v>
          </cell>
          <cell r="GY50">
            <v>152</v>
          </cell>
          <cell r="GZ50">
            <v>155</v>
          </cell>
          <cell r="HA50">
            <v>160</v>
          </cell>
          <cell r="HB50">
            <v>148</v>
          </cell>
          <cell r="HC50">
            <v>156</v>
          </cell>
          <cell r="HD50">
            <v>143</v>
          </cell>
          <cell r="HE50">
            <v>137</v>
          </cell>
          <cell r="HF50">
            <v>132</v>
          </cell>
          <cell r="HG50">
            <v>130</v>
          </cell>
          <cell r="HH50">
            <v>133</v>
          </cell>
          <cell r="HI50">
            <v>133</v>
          </cell>
          <cell r="HJ50">
            <v>131</v>
          </cell>
          <cell r="HK50">
            <v>137</v>
          </cell>
          <cell r="HL50">
            <v>130</v>
          </cell>
          <cell r="HM50">
            <v>138</v>
          </cell>
          <cell r="HN50">
            <v>53</v>
          </cell>
          <cell r="HO50">
            <v>1.8345448251990307E-2</v>
          </cell>
          <cell r="HP50">
            <v>4618</v>
          </cell>
          <cell r="HQ50">
            <v>4018</v>
          </cell>
          <cell r="HR50">
            <v>600</v>
          </cell>
          <cell r="HS50">
            <v>0.12992637505413598</v>
          </cell>
        </row>
        <row r="51">
          <cell r="A51" t="str">
            <v>CFC Group - Arun West North</v>
          </cell>
          <cell r="C51" t="str">
            <v>n/a</v>
          </cell>
          <cell r="D51" t="str">
            <v>CFC Group - Arun West North</v>
          </cell>
          <cell r="E51" t="str">
            <v>Arun</v>
          </cell>
          <cell r="G51" t="str">
            <v>n/a</v>
          </cell>
          <cell r="H51" t="str">
            <v>n/a</v>
          </cell>
          <cell r="I51" t="str">
            <v>n/a</v>
          </cell>
          <cell r="J51" t="str">
            <v>Coastal West Sussex</v>
          </cell>
          <cell r="K51" t="str">
            <v>Bognor Regis and Littlehampton</v>
          </cell>
          <cell r="L51">
            <v>34600</v>
          </cell>
          <cell r="M51">
            <v>34840</v>
          </cell>
          <cell r="N51">
            <v>34625</v>
          </cell>
          <cell r="O51">
            <v>34775</v>
          </cell>
          <cell r="P51">
            <v>34970</v>
          </cell>
          <cell r="Q51">
            <v>34910</v>
          </cell>
          <cell r="R51">
            <v>35030</v>
          </cell>
          <cell r="S51">
            <v>35155</v>
          </cell>
          <cell r="T51">
            <v>35795</v>
          </cell>
          <cell r="U51">
            <v>36285</v>
          </cell>
          <cell r="V51">
            <v>1835</v>
          </cell>
          <cell r="W51">
            <v>1830</v>
          </cell>
          <cell r="X51">
            <v>1830</v>
          </cell>
          <cell r="Y51">
            <v>1815</v>
          </cell>
          <cell r="Z51">
            <v>1845</v>
          </cell>
          <cell r="AA51">
            <v>1885</v>
          </cell>
          <cell r="AB51">
            <v>1890</v>
          </cell>
          <cell r="AC51">
            <v>1920</v>
          </cell>
          <cell r="AD51">
            <v>1995</v>
          </cell>
          <cell r="AE51">
            <v>2085</v>
          </cell>
          <cell r="AF51">
            <v>0.88157894736842102</v>
          </cell>
          <cell r="AG51">
            <v>6.5789473684210523E-2</v>
          </cell>
          <cell r="AH51">
            <v>2.6315789473684209E-2</v>
          </cell>
          <cell r="AI51">
            <v>2.1052631578947368E-2</v>
          </cell>
          <cell r="AJ51">
            <v>2.631578947368421E-3</v>
          </cell>
          <cell r="AK51">
            <v>2.631578947368421E-3</v>
          </cell>
          <cell r="AL51">
            <v>0.11842105263157894</v>
          </cell>
          <cell r="AM51">
            <v>3777</v>
          </cell>
          <cell r="AN51">
            <v>0.6346306592533757</v>
          </cell>
          <cell r="AO51">
            <v>0.14402965316388669</v>
          </cell>
          <cell r="AP51">
            <v>0.22133968758273762</v>
          </cell>
          <cell r="AQ51">
            <v>366</v>
          </cell>
          <cell r="AR51">
            <v>396</v>
          </cell>
          <cell r="AS51">
            <v>364</v>
          </cell>
          <cell r="AT51">
            <v>420</v>
          </cell>
          <cell r="AU51">
            <v>383</v>
          </cell>
          <cell r="AV51">
            <v>23</v>
          </cell>
          <cell r="AW51">
            <v>15</v>
          </cell>
          <cell r="AX51">
            <v>21</v>
          </cell>
          <cell r="AY51">
            <v>16</v>
          </cell>
          <cell r="AZ51">
            <v>21</v>
          </cell>
          <cell r="BA51">
            <v>20</v>
          </cell>
          <cell r="BB51">
            <v>5.2219321148825062E-2</v>
          </cell>
          <cell r="BC51">
            <v>3.405512727403584E-2</v>
          </cell>
          <cell r="BD51">
            <v>7.9276724369650539E-2</v>
          </cell>
          <cell r="BE51">
            <v>37</v>
          </cell>
          <cell r="BF51">
            <v>547</v>
          </cell>
          <cell r="BG51">
            <v>636</v>
          </cell>
          <cell r="BH51">
            <v>289</v>
          </cell>
          <cell r="BI51">
            <v>7.2613065326633169E-2</v>
          </cell>
          <cell r="BJ51">
            <v>3980</v>
          </cell>
          <cell r="BK51">
            <v>7077</v>
          </cell>
          <cell r="BL51">
            <v>3999</v>
          </cell>
          <cell r="BM51">
            <v>2253</v>
          </cell>
          <cell r="BN51">
            <v>3</v>
          </cell>
          <cell r="BO51">
            <v>569</v>
          </cell>
          <cell r="BP51">
            <v>828</v>
          </cell>
          <cell r="BQ51">
            <v>346</v>
          </cell>
          <cell r="BR51">
            <v>245</v>
          </cell>
          <cell r="BS51">
            <v>215</v>
          </cell>
          <cell r="BT51">
            <v>220</v>
          </cell>
          <cell r="BU51">
            <v>825</v>
          </cell>
          <cell r="BV51">
            <v>288</v>
          </cell>
          <cell r="BW51">
            <v>0.34909090909090912</v>
          </cell>
          <cell r="BX51">
            <v>77</v>
          </cell>
          <cell r="BY51" t="str">
            <v>n/a</v>
          </cell>
          <cell r="BZ51">
            <v>633</v>
          </cell>
          <cell r="CA51">
            <v>4.3061224489795921E-2</v>
          </cell>
          <cell r="CB51">
            <v>295</v>
          </cell>
          <cell r="CC51">
            <v>305</v>
          </cell>
          <cell r="CD51">
            <v>345</v>
          </cell>
          <cell r="CE51">
            <v>360</v>
          </cell>
          <cell r="CF51">
            <v>955</v>
          </cell>
          <cell r="CG51">
            <v>0.17712507271669578</v>
          </cell>
          <cell r="CH51">
            <v>925</v>
          </cell>
          <cell r="CI51">
            <v>0.17057567567567566</v>
          </cell>
          <cell r="CJ51">
            <v>1020</v>
          </cell>
          <cell r="CK51">
            <v>0.17508473389355741</v>
          </cell>
          <cell r="CL51">
            <v>990</v>
          </cell>
          <cell r="CM51">
            <v>0.16054389129389129</v>
          </cell>
          <cell r="CN51">
            <v>1060</v>
          </cell>
          <cell r="CO51">
            <v>0.16157472297094941</v>
          </cell>
          <cell r="CP51">
            <v>880</v>
          </cell>
          <cell r="CQ51">
            <v>0.13750000000000001</v>
          </cell>
          <cell r="CR51">
            <v>407</v>
          </cell>
          <cell r="CS51">
            <v>21</v>
          </cell>
          <cell r="CT51">
            <v>386</v>
          </cell>
          <cell r="CU51">
            <v>0.94840294840294836</v>
          </cell>
          <cell r="CV51">
            <v>164</v>
          </cell>
          <cell r="CW51">
            <v>203</v>
          </cell>
          <cell r="CX51">
            <v>0.42487046632124353</v>
          </cell>
          <cell r="CY51">
            <v>0.52590673575129532</v>
          </cell>
          <cell r="CZ51">
            <v>0.37653529950140968</v>
          </cell>
          <cell r="DA51">
            <v>0.47468627099174598</v>
          </cell>
          <cell r="DB51">
            <v>0.47608405802744896</v>
          </cell>
          <cell r="DC51">
            <v>0.57521884869904905</v>
          </cell>
          <cell r="DD51">
            <v>306</v>
          </cell>
          <cell r="DE51">
            <v>41</v>
          </cell>
          <cell r="DF51">
            <v>0.13398692810457516</v>
          </cell>
          <cell r="DG51">
            <v>0.10032528329781232</v>
          </cell>
          <cell r="DH51">
            <v>0.17672433797437112</v>
          </cell>
          <cell r="DI51" t="str">
            <v>Sig worse than Eng.</v>
          </cell>
          <cell r="DJ51">
            <v>319</v>
          </cell>
          <cell r="DK51">
            <v>27</v>
          </cell>
          <cell r="DL51">
            <v>8.4639498432601878E-2</v>
          </cell>
          <cell r="DM51">
            <v>5.8819812484351107E-2</v>
          </cell>
          <cell r="DN51">
            <v>0.12034385203377765</v>
          </cell>
          <cell r="DO51" t="str">
            <v>No Sig diff</v>
          </cell>
          <cell r="DP51">
            <v>351</v>
          </cell>
          <cell r="DQ51">
            <v>37</v>
          </cell>
          <cell r="DR51">
            <v>0.10541310541310542</v>
          </cell>
          <cell r="DS51">
            <v>7.7449182248717607E-2</v>
          </cell>
          <cell r="DT51">
            <v>0.14192050211510529</v>
          </cell>
          <cell r="DU51" t="str">
            <v>No Sig diff</v>
          </cell>
          <cell r="DV51">
            <v>389</v>
          </cell>
          <cell r="DW51">
            <v>41</v>
          </cell>
          <cell r="DX51">
            <v>0.10539845758354756</v>
          </cell>
          <cell r="DY51">
            <v>7.8648068865521378E-2</v>
          </cell>
          <cell r="DZ51">
            <v>0.13986618642308607</v>
          </cell>
          <cell r="EA51" t="str">
            <v>No Sig diff</v>
          </cell>
          <cell r="EB51">
            <v>335</v>
          </cell>
          <cell r="EC51">
            <v>57</v>
          </cell>
          <cell r="ED51">
            <v>0.17014925373134329</v>
          </cell>
          <cell r="EE51">
            <v>0.13370474763443638</v>
          </cell>
          <cell r="EF51">
            <v>0.21407282135263578</v>
          </cell>
          <cell r="EG51" t="str">
            <v>No Sig diff</v>
          </cell>
          <cell r="EH51">
            <v>305</v>
          </cell>
          <cell r="EI51">
            <v>63</v>
          </cell>
          <cell r="EJ51">
            <v>0.20655737704918034</v>
          </cell>
          <cell r="EK51">
            <v>0.16490994305307338</v>
          </cell>
          <cell r="EL51">
            <v>0.25550465839483955</v>
          </cell>
          <cell r="EM51" t="str">
            <v>No Sig diff</v>
          </cell>
          <cell r="EN51">
            <v>291</v>
          </cell>
          <cell r="EO51">
            <v>51</v>
          </cell>
          <cell r="EP51">
            <v>0.17525773195876287</v>
          </cell>
          <cell r="EQ51">
            <v>0.13588681157015609</v>
          </cell>
          <cell r="ER51">
            <v>0.22309071907983608</v>
          </cell>
          <cell r="ES51" t="str">
            <v>No Sig diff</v>
          </cell>
          <cell r="ET51">
            <v>294</v>
          </cell>
          <cell r="EU51">
            <v>43</v>
          </cell>
          <cell r="EV51">
            <v>0.14625850340136054</v>
          </cell>
          <cell r="EW51">
            <v>0.11043149100924214</v>
          </cell>
          <cell r="EX51">
            <v>0.19121039315430638</v>
          </cell>
          <cell r="EY51" t="str">
            <v>No Sig diff</v>
          </cell>
          <cell r="EZ51">
            <v>415</v>
          </cell>
          <cell r="FA51">
            <v>195</v>
          </cell>
          <cell r="FB51">
            <v>0.46987951807228917</v>
          </cell>
          <cell r="FC51">
            <v>0.4223576247956472</v>
          </cell>
          <cell r="FD51">
            <v>0.51795391917043732</v>
          </cell>
          <cell r="FE51">
            <v>415</v>
          </cell>
          <cell r="FF51">
            <v>33</v>
          </cell>
          <cell r="FG51">
            <v>83</v>
          </cell>
          <cell r="FH51">
            <v>21.674698795180728</v>
          </cell>
          <cell r="FI51">
            <v>0.343190945600584</v>
          </cell>
          <cell r="FJ51">
            <v>408</v>
          </cell>
          <cell r="FK51">
            <v>225</v>
          </cell>
          <cell r="FL51">
            <v>0.55147058823529416</v>
          </cell>
          <cell r="FM51">
            <v>0.50295509749998391</v>
          </cell>
          <cell r="FN51">
            <v>0.59902589324404365</v>
          </cell>
          <cell r="FO51">
            <v>408</v>
          </cell>
          <cell r="FP51">
            <v>34</v>
          </cell>
          <cell r="FQ51">
            <v>80</v>
          </cell>
          <cell r="FR51">
            <v>22.987500000000008</v>
          </cell>
          <cell r="FS51">
            <v>0.3238970588235292</v>
          </cell>
          <cell r="FT51">
            <v>5025</v>
          </cell>
          <cell r="FU51">
            <v>4870</v>
          </cell>
          <cell r="FV51">
            <v>155</v>
          </cell>
          <cell r="FW51">
            <v>137</v>
          </cell>
          <cell r="FX51">
            <v>18</v>
          </cell>
          <cell r="FY51">
            <v>0.88387096774193552</v>
          </cell>
          <cell r="FZ51">
            <v>0.11612903225806452</v>
          </cell>
          <cell r="GQ51">
            <v>116</v>
          </cell>
          <cell r="GR51">
            <v>111</v>
          </cell>
          <cell r="GS51">
            <v>112</v>
          </cell>
          <cell r="GT51">
            <v>113</v>
          </cell>
          <cell r="GU51">
            <v>113</v>
          </cell>
          <cell r="GV51">
            <v>103</v>
          </cell>
          <cell r="GW51">
            <v>98</v>
          </cell>
          <cell r="GX51">
            <v>97</v>
          </cell>
          <cell r="GY51">
            <v>98</v>
          </cell>
          <cell r="GZ51">
            <v>97</v>
          </cell>
          <cell r="HA51">
            <v>98</v>
          </cell>
          <cell r="HB51">
            <v>96</v>
          </cell>
          <cell r="HC51">
            <v>98</v>
          </cell>
          <cell r="HD51">
            <v>116</v>
          </cell>
          <cell r="HE51">
            <v>106</v>
          </cell>
          <cell r="HF51">
            <v>109</v>
          </cell>
          <cell r="HG51">
            <v>100</v>
          </cell>
          <cell r="HH51">
            <v>108</v>
          </cell>
          <cell r="HI51">
            <v>109</v>
          </cell>
          <cell r="HJ51">
            <v>98</v>
          </cell>
          <cell r="HK51">
            <v>106</v>
          </cell>
          <cell r="HL51">
            <v>102</v>
          </cell>
          <cell r="HM51">
            <v>112</v>
          </cell>
          <cell r="HN51">
            <v>36</v>
          </cell>
          <cell r="HO51">
            <v>1.8947368421052633E-2</v>
          </cell>
          <cell r="HP51">
            <v>3028</v>
          </cell>
          <cell r="HQ51">
            <v>2708</v>
          </cell>
          <cell r="HR51">
            <v>320</v>
          </cell>
          <cell r="HS51">
            <v>0.10568031704095113</v>
          </cell>
        </row>
        <row r="52">
          <cell r="A52" t="str">
            <v>CFC Group - Arun West South</v>
          </cell>
          <cell r="C52" t="str">
            <v>n/a</v>
          </cell>
          <cell r="D52" t="str">
            <v>CFC Group - Arun West South</v>
          </cell>
          <cell r="E52" t="str">
            <v>Arun</v>
          </cell>
          <cell r="G52" t="str">
            <v>n/a</v>
          </cell>
          <cell r="H52" t="str">
            <v>n/a</v>
          </cell>
          <cell r="I52" t="str">
            <v>n/a</v>
          </cell>
          <cell r="J52" t="str">
            <v>Coastal West Sussex</v>
          </cell>
          <cell r="K52" t="str">
            <v>Bognor Regis and Littlehampton</v>
          </cell>
          <cell r="L52">
            <v>50060</v>
          </cell>
          <cell r="M52">
            <v>50310</v>
          </cell>
          <cell r="N52">
            <v>50585</v>
          </cell>
          <cell r="O52">
            <v>50940</v>
          </cell>
          <cell r="P52">
            <v>51220</v>
          </cell>
          <cell r="Q52">
            <v>51400</v>
          </cell>
          <cell r="R52">
            <v>51500</v>
          </cell>
          <cell r="S52">
            <v>51425</v>
          </cell>
          <cell r="T52">
            <v>51845</v>
          </cell>
          <cell r="U52">
            <v>52350</v>
          </cell>
          <cell r="V52">
            <v>1985</v>
          </cell>
          <cell r="W52">
            <v>2010</v>
          </cell>
          <cell r="X52">
            <v>2020</v>
          </cell>
          <cell r="Y52">
            <v>2100</v>
          </cell>
          <cell r="Z52">
            <v>2150</v>
          </cell>
          <cell r="AA52">
            <v>2280</v>
          </cell>
          <cell r="AB52">
            <v>2360</v>
          </cell>
          <cell r="AC52">
            <v>2420</v>
          </cell>
          <cell r="AD52">
            <v>2530</v>
          </cell>
          <cell r="AE52">
            <v>2610</v>
          </cell>
          <cell r="AF52">
            <v>0.85232067510548526</v>
          </cell>
          <cell r="AG52">
            <v>9.2827004219409287E-2</v>
          </cell>
          <cell r="AH52">
            <v>3.1645569620253167E-2</v>
          </cell>
          <cell r="AI52">
            <v>2.1097046413502109E-2</v>
          </cell>
          <cell r="AJ52">
            <v>2.1097046413502108E-3</v>
          </cell>
          <cell r="AK52">
            <v>2.1097046413502108E-3</v>
          </cell>
          <cell r="AL52">
            <v>0.14767932489451477</v>
          </cell>
          <cell r="AM52">
            <v>4444</v>
          </cell>
          <cell r="AN52">
            <v>0.59428442844284424</v>
          </cell>
          <cell r="AO52">
            <v>9.045904590459046E-2</v>
          </cell>
          <cell r="AP52">
            <v>0.31525652565256523</v>
          </cell>
          <cell r="AQ52">
            <v>455</v>
          </cell>
          <cell r="AR52">
            <v>487</v>
          </cell>
          <cell r="AS52">
            <v>513</v>
          </cell>
          <cell r="AT52">
            <v>520</v>
          </cell>
          <cell r="AU52">
            <v>493</v>
          </cell>
          <cell r="AV52">
            <v>43</v>
          </cell>
          <cell r="AW52">
            <v>29</v>
          </cell>
          <cell r="AX52">
            <v>31</v>
          </cell>
          <cell r="AY52">
            <v>27</v>
          </cell>
          <cell r="AZ52">
            <v>27</v>
          </cell>
          <cell r="BA52">
            <v>35</v>
          </cell>
          <cell r="BB52">
            <v>7.099391480730223E-2</v>
          </cell>
          <cell r="BC52">
            <v>5.1486753100632228E-2</v>
          </cell>
          <cell r="BD52">
            <v>9.7135020525032298E-2</v>
          </cell>
          <cell r="BE52">
            <v>56</v>
          </cell>
          <cell r="BF52">
            <v>840</v>
          </cell>
          <cell r="BG52">
            <v>724</v>
          </cell>
          <cell r="BH52">
            <v>320</v>
          </cell>
          <cell r="BI52">
            <v>6.6129365571399049E-2</v>
          </cell>
          <cell r="BJ52">
            <v>4839</v>
          </cell>
          <cell r="BK52">
            <v>8245</v>
          </cell>
          <cell r="BL52">
            <v>4875</v>
          </cell>
          <cell r="BM52">
            <v>2596</v>
          </cell>
          <cell r="BN52">
            <v>2</v>
          </cell>
          <cell r="BO52">
            <v>722</v>
          </cell>
          <cell r="BP52">
            <v>1139</v>
          </cell>
          <cell r="BQ52">
            <v>416</v>
          </cell>
          <cell r="BR52">
            <v>330</v>
          </cell>
          <cell r="BS52">
            <v>330</v>
          </cell>
          <cell r="BT52">
            <v>285</v>
          </cell>
          <cell r="BU52">
            <v>1132</v>
          </cell>
          <cell r="BV52">
            <v>388</v>
          </cell>
          <cell r="BW52">
            <v>0.34275618374558303</v>
          </cell>
          <cell r="BX52">
            <v>110</v>
          </cell>
          <cell r="BY52" t="str">
            <v>n/a</v>
          </cell>
          <cell r="BZ52">
            <v>1060</v>
          </cell>
          <cell r="CA52">
            <v>4.5515050023616298E-2</v>
          </cell>
          <cell r="CB52">
            <v>415</v>
          </cell>
          <cell r="CC52">
            <v>415</v>
          </cell>
          <cell r="CD52">
            <v>450</v>
          </cell>
          <cell r="CE52">
            <v>445</v>
          </cell>
          <cell r="CF52">
            <v>1105</v>
          </cell>
          <cell r="CG52">
            <v>0.15507941176470585</v>
          </cell>
          <cell r="CH52">
            <v>1135</v>
          </cell>
          <cell r="CI52">
            <v>0.14448377386196773</v>
          </cell>
          <cell r="CJ52">
            <v>1150</v>
          </cell>
          <cell r="CK52">
            <v>0.15235869565217391</v>
          </cell>
          <cell r="CL52">
            <v>1085</v>
          </cell>
          <cell r="CM52">
            <v>0.14965668202764978</v>
          </cell>
          <cell r="CN52">
            <v>1140</v>
          </cell>
          <cell r="CO52">
            <v>0.14571337719298244</v>
          </cell>
          <cell r="CP52">
            <v>1040</v>
          </cell>
          <cell r="CQ52">
            <v>0.14044564483457123</v>
          </cell>
          <cell r="CR52">
            <v>518</v>
          </cell>
          <cell r="CS52">
            <v>13</v>
          </cell>
          <cell r="CT52">
            <v>505</v>
          </cell>
          <cell r="CU52">
            <v>0.97490347490347495</v>
          </cell>
          <cell r="CV52">
            <v>191</v>
          </cell>
          <cell r="CW52">
            <v>230</v>
          </cell>
          <cell r="CX52">
            <v>0.37821782178217822</v>
          </cell>
          <cell r="CY52">
            <v>0.45544554455445546</v>
          </cell>
          <cell r="CZ52">
            <v>0.33699179169590276</v>
          </cell>
          <cell r="DA52">
            <v>0.42128262193959698</v>
          </cell>
          <cell r="DB52">
            <v>0.41250971705250833</v>
          </cell>
          <cell r="DC52">
            <v>0.49905409281413793</v>
          </cell>
          <cell r="DD52">
            <v>418</v>
          </cell>
          <cell r="DE52">
            <v>43</v>
          </cell>
          <cell r="DF52">
            <v>0.10287081339712918</v>
          </cell>
          <cell r="DG52">
            <v>7.7272611972378502E-2</v>
          </cell>
          <cell r="DH52">
            <v>0.13570185258560061</v>
          </cell>
          <cell r="DI52" t="str">
            <v>No Sig diff</v>
          </cell>
          <cell r="DJ52">
            <v>407</v>
          </cell>
          <cell r="DK52">
            <v>39</v>
          </cell>
          <cell r="DL52">
            <v>9.5823095823095825E-2</v>
          </cell>
          <cell r="DM52">
            <v>7.0889963666718708E-2</v>
          </cell>
          <cell r="DN52">
            <v>0.12831451549080627</v>
          </cell>
          <cell r="DO52" t="str">
            <v>No Sig diff</v>
          </cell>
          <cell r="DP52">
            <v>399</v>
          </cell>
          <cell r="DQ52">
            <v>52</v>
          </cell>
          <cell r="DR52">
            <v>0.13032581453634084</v>
          </cell>
          <cell r="DS52">
            <v>0.10078687188272777</v>
          </cell>
          <cell r="DT52">
            <v>0.16691511474098436</v>
          </cell>
          <cell r="DU52" t="str">
            <v>Sig worse than Eng.</v>
          </cell>
          <cell r="DV52">
            <v>488</v>
          </cell>
          <cell r="DW52">
            <v>46</v>
          </cell>
          <cell r="DX52">
            <v>9.4262295081967207E-2</v>
          </cell>
          <cell r="DY52">
            <v>7.1414590127644742E-2</v>
          </cell>
          <cell r="DZ52">
            <v>0.12344791505948735</v>
          </cell>
          <cell r="EA52" t="str">
            <v>No Sig diff</v>
          </cell>
          <cell r="EB52">
            <v>380</v>
          </cell>
          <cell r="EC52">
            <v>64</v>
          </cell>
          <cell r="ED52">
            <v>0.16842105263157894</v>
          </cell>
          <cell r="EE52">
            <v>0.13415388023217073</v>
          </cell>
          <cell r="EF52">
            <v>0.20932506345921909</v>
          </cell>
          <cell r="EG52" t="str">
            <v>No Sig diff</v>
          </cell>
          <cell r="EH52">
            <v>354</v>
          </cell>
          <cell r="EI52">
            <v>68</v>
          </cell>
          <cell r="EJ52">
            <v>0.19209039548022599</v>
          </cell>
          <cell r="EK52">
            <v>0.15444559487597212</v>
          </cell>
          <cell r="EL52">
            <v>0.23634606822968654</v>
          </cell>
          <cell r="EM52" t="str">
            <v>No Sig diff</v>
          </cell>
          <cell r="EN52">
            <v>355</v>
          </cell>
          <cell r="EO52">
            <v>56</v>
          </cell>
          <cell r="EP52">
            <v>0.15774647887323945</v>
          </cell>
          <cell r="EQ52">
            <v>0.12351920142870179</v>
          </cell>
          <cell r="ER52">
            <v>0.1993015205731497</v>
          </cell>
          <cell r="ES52" t="str">
            <v>No Sig diff</v>
          </cell>
          <cell r="ET52">
            <v>353</v>
          </cell>
          <cell r="EU52">
            <v>59</v>
          </cell>
          <cell r="EV52">
            <v>0.16713881019830029</v>
          </cell>
          <cell r="EW52">
            <v>0.13184553567129084</v>
          </cell>
          <cell r="EX52">
            <v>0.20959869904112546</v>
          </cell>
          <cell r="EY52" t="str">
            <v>No Sig diff</v>
          </cell>
          <cell r="EZ52">
            <v>504</v>
          </cell>
          <cell r="FA52">
            <v>185</v>
          </cell>
          <cell r="FB52">
            <v>0.36706349206349204</v>
          </cell>
          <cell r="FC52">
            <v>0.32613570900553129</v>
          </cell>
          <cell r="FD52">
            <v>0.41000241506339791</v>
          </cell>
          <cell r="FE52">
            <v>504</v>
          </cell>
          <cell r="FF52">
            <v>32</v>
          </cell>
          <cell r="FG52">
            <v>100</v>
          </cell>
          <cell r="FH52">
            <v>21.43</v>
          </cell>
          <cell r="FI52">
            <v>0.33031250000000001</v>
          </cell>
          <cell r="FJ52">
            <v>506</v>
          </cell>
          <cell r="FK52">
            <v>262</v>
          </cell>
          <cell r="FL52">
            <v>0.51778656126482214</v>
          </cell>
          <cell r="FM52">
            <v>0.47427873046250862</v>
          </cell>
          <cell r="FN52">
            <v>0.56102636230424185</v>
          </cell>
          <cell r="FO52">
            <v>506</v>
          </cell>
          <cell r="FP52">
            <v>34</v>
          </cell>
          <cell r="FQ52">
            <v>100</v>
          </cell>
          <cell r="FR52">
            <v>23.280000000000005</v>
          </cell>
          <cell r="FS52">
            <v>0.31529411764705867</v>
          </cell>
          <cell r="FT52">
            <v>5649</v>
          </cell>
          <cell r="FU52">
            <v>5391</v>
          </cell>
          <cell r="FV52">
            <v>258</v>
          </cell>
          <cell r="FW52">
            <v>186</v>
          </cell>
          <cell r="FX52">
            <v>72</v>
          </cell>
          <cell r="FY52">
            <v>0.72093023255813948</v>
          </cell>
          <cell r="FZ52">
            <v>0.27906976744186046</v>
          </cell>
          <cell r="GQ52">
            <v>112</v>
          </cell>
          <cell r="GR52">
            <v>109</v>
          </cell>
          <cell r="GS52">
            <v>109</v>
          </cell>
          <cell r="GT52">
            <v>110</v>
          </cell>
          <cell r="GU52">
            <v>110</v>
          </cell>
          <cell r="GV52">
            <v>134</v>
          </cell>
          <cell r="GW52">
            <v>128</v>
          </cell>
          <cell r="GX52">
            <v>132</v>
          </cell>
          <cell r="GY52">
            <v>128</v>
          </cell>
          <cell r="GZ52">
            <v>131</v>
          </cell>
          <cell r="HA52">
            <v>133</v>
          </cell>
          <cell r="HB52">
            <v>128</v>
          </cell>
          <cell r="HC52">
            <v>132</v>
          </cell>
          <cell r="HD52">
            <v>152</v>
          </cell>
          <cell r="HE52">
            <v>146</v>
          </cell>
          <cell r="HF52">
            <v>140</v>
          </cell>
          <cell r="HG52">
            <v>138</v>
          </cell>
          <cell r="HH52">
            <v>141</v>
          </cell>
          <cell r="HI52">
            <v>141</v>
          </cell>
          <cell r="HJ52">
            <v>138</v>
          </cell>
          <cell r="HK52">
            <v>146</v>
          </cell>
          <cell r="HL52">
            <v>137</v>
          </cell>
          <cell r="HM52">
            <v>144</v>
          </cell>
          <cell r="HN52">
            <v>55</v>
          </cell>
          <cell r="HO52">
            <v>2.3245984784446321E-2</v>
          </cell>
          <cell r="HP52">
            <v>3782</v>
          </cell>
          <cell r="HQ52">
            <v>3333</v>
          </cell>
          <cell r="HR52">
            <v>449</v>
          </cell>
          <cell r="HS52">
            <v>0.1187202538339503</v>
          </cell>
        </row>
        <row r="53">
          <cell r="A53" t="str">
            <v>CFC Group - Chichester Central</v>
          </cell>
          <cell r="C53" t="str">
            <v>n/a</v>
          </cell>
          <cell r="D53" t="str">
            <v>CFC Group - Chichester Central</v>
          </cell>
          <cell r="E53" t="str">
            <v>Chichester</v>
          </cell>
          <cell r="G53" t="str">
            <v>n/a</v>
          </cell>
          <cell r="H53" t="str">
            <v>n/a</v>
          </cell>
          <cell r="I53" t="str">
            <v>n/a</v>
          </cell>
          <cell r="J53" t="str">
            <v>Coastal West Sussex</v>
          </cell>
          <cell r="K53" t="str">
            <v>Chichester</v>
          </cell>
          <cell r="L53">
            <v>41470</v>
          </cell>
          <cell r="M53">
            <v>41665</v>
          </cell>
          <cell r="N53">
            <v>42175</v>
          </cell>
          <cell r="O53">
            <v>42615</v>
          </cell>
          <cell r="P53">
            <v>43230</v>
          </cell>
          <cell r="Q53">
            <v>43680</v>
          </cell>
          <cell r="R53">
            <v>44220</v>
          </cell>
          <cell r="S53">
            <v>44815</v>
          </cell>
          <cell r="T53">
            <v>45235</v>
          </cell>
          <cell r="U53">
            <v>45765</v>
          </cell>
          <cell r="V53">
            <v>2010</v>
          </cell>
          <cell r="W53">
            <v>1985</v>
          </cell>
          <cell r="X53">
            <v>2015</v>
          </cell>
          <cell r="Y53">
            <v>2075</v>
          </cell>
          <cell r="Z53">
            <v>2120</v>
          </cell>
          <cell r="AA53">
            <v>2235</v>
          </cell>
          <cell r="AB53">
            <v>2285</v>
          </cell>
          <cell r="AC53">
            <v>2295</v>
          </cell>
          <cell r="AD53">
            <v>2425</v>
          </cell>
          <cell r="AE53">
            <v>2420</v>
          </cell>
          <cell r="AF53">
            <v>0.87061403508771928</v>
          </cell>
          <cell r="AG53">
            <v>4.6052631578947366E-2</v>
          </cell>
          <cell r="AH53">
            <v>3.0701754385964911E-2</v>
          </cell>
          <cell r="AI53">
            <v>4.1666666666666664E-2</v>
          </cell>
          <cell r="AJ53">
            <v>6.5789473684210523E-3</v>
          </cell>
          <cell r="AK53">
            <v>6.5789473684210523E-3</v>
          </cell>
          <cell r="AL53">
            <v>0.12938596491228072</v>
          </cell>
          <cell r="AM53">
            <v>4345</v>
          </cell>
          <cell r="AN53">
            <v>0.48745684695051783</v>
          </cell>
          <cell r="AO53">
            <v>0.2948216340621404</v>
          </cell>
          <cell r="AP53">
            <v>0.21772151898734177</v>
          </cell>
          <cell r="AQ53">
            <v>499</v>
          </cell>
          <cell r="AR53">
            <v>458</v>
          </cell>
          <cell r="AS53">
            <v>510</v>
          </cell>
          <cell r="AT53">
            <v>480</v>
          </cell>
          <cell r="AU53">
            <v>430</v>
          </cell>
          <cell r="AV53">
            <v>33</v>
          </cell>
          <cell r="AW53">
            <v>26</v>
          </cell>
          <cell r="AX53">
            <v>29</v>
          </cell>
          <cell r="AY53">
            <v>23</v>
          </cell>
          <cell r="AZ53">
            <v>23</v>
          </cell>
          <cell r="BA53">
            <v>24</v>
          </cell>
          <cell r="BB53">
            <v>5.5813953488372092E-2</v>
          </cell>
          <cell r="BC53">
            <v>3.779043272891823E-2</v>
          </cell>
          <cell r="BD53">
            <v>8.1703584651564756E-2</v>
          </cell>
          <cell r="BE53">
            <v>50</v>
          </cell>
          <cell r="BF53">
            <v>731</v>
          </cell>
          <cell r="BG53">
            <v>698</v>
          </cell>
          <cell r="BH53">
            <v>351</v>
          </cell>
          <cell r="BI53">
            <v>7.6387377584330798E-2</v>
          </cell>
          <cell r="BJ53">
            <v>4595</v>
          </cell>
          <cell r="BK53">
            <v>8125</v>
          </cell>
          <cell r="BL53">
            <v>4625</v>
          </cell>
          <cell r="BM53">
            <v>2595</v>
          </cell>
          <cell r="BN53">
            <v>1</v>
          </cell>
          <cell r="BO53">
            <v>630</v>
          </cell>
          <cell r="BP53">
            <v>1053</v>
          </cell>
          <cell r="BQ53">
            <v>346</v>
          </cell>
          <cell r="BR53">
            <v>310</v>
          </cell>
          <cell r="BS53">
            <v>305</v>
          </cell>
          <cell r="BT53">
            <v>280</v>
          </cell>
          <cell r="BU53">
            <v>1052</v>
          </cell>
          <cell r="BV53">
            <v>358</v>
          </cell>
          <cell r="BW53">
            <v>0.34030418250950573</v>
          </cell>
          <cell r="BX53">
            <v>70</v>
          </cell>
          <cell r="BY53" t="str">
            <v>n/a</v>
          </cell>
          <cell r="BZ53">
            <v>715</v>
          </cell>
          <cell r="CA53">
            <v>3.5893574297188757E-2</v>
          </cell>
          <cell r="CB53">
            <v>435</v>
          </cell>
          <cell r="CC53">
            <v>435</v>
          </cell>
          <cell r="CD53">
            <v>465</v>
          </cell>
          <cell r="CE53">
            <v>395</v>
          </cell>
          <cell r="CF53">
            <v>1085</v>
          </cell>
          <cell r="CG53">
            <v>0.15531265508684863</v>
          </cell>
          <cell r="CH53">
            <v>1105</v>
          </cell>
          <cell r="CI53">
            <v>0.16451966585450753</v>
          </cell>
          <cell r="CJ53">
            <v>1175</v>
          </cell>
          <cell r="CK53">
            <v>0.16166481178396069</v>
          </cell>
          <cell r="CL53">
            <v>1140</v>
          </cell>
          <cell r="CM53">
            <v>0.15179082321187584</v>
          </cell>
          <cell r="CN53">
            <v>1070</v>
          </cell>
          <cell r="CO53">
            <v>0.14667864845434939</v>
          </cell>
          <cell r="CP53">
            <v>1050</v>
          </cell>
          <cell r="CQ53">
            <v>0.14553014553014554</v>
          </cell>
          <cell r="CR53">
            <v>452</v>
          </cell>
          <cell r="CS53">
            <v>40</v>
          </cell>
          <cell r="CT53">
            <v>412</v>
          </cell>
          <cell r="CU53">
            <v>0.91150442477876104</v>
          </cell>
          <cell r="CV53">
            <v>190</v>
          </cell>
          <cell r="CW53">
            <v>243</v>
          </cell>
          <cell r="CX53">
            <v>0.46116504854368934</v>
          </cell>
          <cell r="CY53">
            <v>0.58980582524271841</v>
          </cell>
          <cell r="CZ53">
            <v>0.41361089945461155</v>
          </cell>
          <cell r="DA53">
            <v>0.50943669639898514</v>
          </cell>
          <cell r="DB53">
            <v>0.54169372818176698</v>
          </cell>
          <cell r="DC53">
            <v>0.63625870640679072</v>
          </cell>
          <cell r="DD53">
            <v>349</v>
          </cell>
          <cell r="DE53">
            <v>35</v>
          </cell>
          <cell r="DF53">
            <v>0.10028653295128939</v>
          </cell>
          <cell r="DG53">
            <v>7.2995265798449754E-2</v>
          </cell>
          <cell r="DH53">
            <v>0.13628132847563371</v>
          </cell>
          <cell r="DI53" t="str">
            <v>No Sig diff</v>
          </cell>
          <cell r="DJ53">
            <v>373</v>
          </cell>
          <cell r="DK53">
            <v>29</v>
          </cell>
          <cell r="DL53">
            <v>7.7747989276139406E-2</v>
          </cell>
          <cell r="DM53">
            <v>5.4676117732342343E-2</v>
          </cell>
          <cell r="DN53">
            <v>0.10942859360760356</v>
          </cell>
          <cell r="DO53" t="str">
            <v>No Sig diff</v>
          </cell>
          <cell r="DP53">
            <v>388</v>
          </cell>
          <cell r="DQ53">
            <v>26</v>
          </cell>
          <cell r="DR53">
            <v>6.7010309278350513E-2</v>
          </cell>
          <cell r="DS53">
            <v>4.6136659976996015E-2</v>
          </cell>
          <cell r="DT53">
            <v>9.637367823161877E-2</v>
          </cell>
          <cell r="DU53" t="str">
            <v>No Sig diff</v>
          </cell>
          <cell r="DV53">
            <v>383</v>
          </cell>
          <cell r="DW53">
            <v>29</v>
          </cell>
          <cell r="DX53">
            <v>7.5718015665796348E-2</v>
          </cell>
          <cell r="DY53">
            <v>5.3234401388678944E-2</v>
          </cell>
          <cell r="DZ53">
            <v>0.10662814025621341</v>
          </cell>
          <cell r="EA53" t="str">
            <v>No Sig diff</v>
          </cell>
          <cell r="EB53">
            <v>333</v>
          </cell>
          <cell r="EC53">
            <v>54</v>
          </cell>
          <cell r="ED53">
            <v>0.16216216216216217</v>
          </cell>
          <cell r="EE53">
            <v>0.12646370828997461</v>
          </cell>
          <cell r="EF53">
            <v>0.20556625979132698</v>
          </cell>
          <cell r="EG53" t="str">
            <v>No Sig diff</v>
          </cell>
          <cell r="EH53">
            <v>324</v>
          </cell>
          <cell r="EI53">
            <v>51</v>
          </cell>
          <cell r="EJ53">
            <v>0.15740740740740741</v>
          </cell>
          <cell r="EK53">
            <v>0.12179595147916422</v>
          </cell>
          <cell r="EL53">
            <v>0.20104747168465792</v>
          </cell>
          <cell r="EM53" t="str">
            <v>No Sig diff</v>
          </cell>
          <cell r="EN53">
            <v>333</v>
          </cell>
          <cell r="EO53">
            <v>57</v>
          </cell>
          <cell r="EP53">
            <v>0.17117117117117117</v>
          </cell>
          <cell r="EQ53">
            <v>0.13452302236020316</v>
          </cell>
          <cell r="ER53">
            <v>0.21531947990559702</v>
          </cell>
          <cell r="ES53" t="str">
            <v>No Sig diff</v>
          </cell>
          <cell r="ET53">
            <v>320</v>
          </cell>
          <cell r="EU53">
            <v>39</v>
          </cell>
          <cell r="EV53">
            <v>0.121875</v>
          </cell>
          <cell r="EW53">
            <v>9.0449037019305387E-2</v>
          </cell>
          <cell r="EX53">
            <v>0.16227172059687262</v>
          </cell>
          <cell r="EY53" t="str">
            <v>Sig better than Eng.</v>
          </cell>
          <cell r="EZ53">
            <v>457</v>
          </cell>
          <cell r="FA53">
            <v>224</v>
          </cell>
          <cell r="FB53">
            <v>0.49015317286652077</v>
          </cell>
          <cell r="FC53">
            <v>0.44459387098320663</v>
          </cell>
          <cell r="FD53">
            <v>0.53587663611259317</v>
          </cell>
          <cell r="FE53">
            <v>457</v>
          </cell>
          <cell r="FF53">
            <v>34</v>
          </cell>
          <cell r="FG53">
            <v>91</v>
          </cell>
          <cell r="FH53">
            <v>20.461538461538463</v>
          </cell>
          <cell r="FI53">
            <v>0.3981900452488687</v>
          </cell>
          <cell r="FJ53">
            <v>460</v>
          </cell>
          <cell r="FK53">
            <v>240</v>
          </cell>
          <cell r="FL53">
            <v>0.52173913043478259</v>
          </cell>
          <cell r="FM53">
            <v>0.47609946596788244</v>
          </cell>
          <cell r="FN53">
            <v>0.5670187150822753</v>
          </cell>
          <cell r="FO53">
            <v>460</v>
          </cell>
          <cell r="FP53">
            <v>34</v>
          </cell>
          <cell r="FQ53">
            <v>91</v>
          </cell>
          <cell r="FR53">
            <v>21.736263736263741</v>
          </cell>
          <cell r="FS53">
            <v>0.36069812540400764</v>
          </cell>
          <cell r="FT53">
            <v>6478</v>
          </cell>
          <cell r="FU53">
            <v>5978</v>
          </cell>
          <cell r="FV53">
            <v>500</v>
          </cell>
          <cell r="FW53">
            <v>425</v>
          </cell>
          <cell r="FX53">
            <v>75</v>
          </cell>
          <cell r="FY53">
            <v>0.85</v>
          </cell>
          <cell r="FZ53">
            <v>0.15</v>
          </cell>
          <cell r="GQ53">
            <v>117</v>
          </cell>
          <cell r="GR53">
            <v>111</v>
          </cell>
          <cell r="GS53">
            <v>111</v>
          </cell>
          <cell r="GT53">
            <v>116</v>
          </cell>
          <cell r="GU53">
            <v>110</v>
          </cell>
          <cell r="GV53">
            <v>108</v>
          </cell>
          <cell r="GW53">
            <v>104</v>
          </cell>
          <cell r="GX53">
            <v>105</v>
          </cell>
          <cell r="GY53">
            <v>103</v>
          </cell>
          <cell r="GZ53">
            <v>105</v>
          </cell>
          <cell r="HA53">
            <v>107</v>
          </cell>
          <cell r="HB53">
            <v>103</v>
          </cell>
          <cell r="HC53">
            <v>106</v>
          </cell>
          <cell r="HD53">
            <v>134</v>
          </cell>
          <cell r="HE53">
            <v>125</v>
          </cell>
          <cell r="HF53">
            <v>123</v>
          </cell>
          <cell r="HG53">
            <v>120</v>
          </cell>
          <cell r="HH53">
            <v>122</v>
          </cell>
          <cell r="HI53">
            <v>125</v>
          </cell>
          <cell r="HJ53">
            <v>118</v>
          </cell>
          <cell r="HK53">
            <v>124</v>
          </cell>
          <cell r="HL53">
            <v>120</v>
          </cell>
          <cell r="HM53">
            <v>126</v>
          </cell>
          <cell r="HN53">
            <v>44</v>
          </cell>
          <cell r="HO53">
            <v>1.9332161687170474E-2</v>
          </cell>
          <cell r="HP53">
            <v>3520</v>
          </cell>
          <cell r="HQ53">
            <v>3144</v>
          </cell>
          <cell r="HR53">
            <v>376</v>
          </cell>
          <cell r="HS53">
            <v>0.10681818181818181</v>
          </cell>
        </row>
        <row r="54">
          <cell r="A54" t="str">
            <v>CFC Group - Chichester Rural</v>
          </cell>
          <cell r="C54" t="str">
            <v>n/a</v>
          </cell>
          <cell r="D54" t="str">
            <v>CFC Group - Chichester Rural</v>
          </cell>
          <cell r="E54" t="str">
            <v>Chichester</v>
          </cell>
          <cell r="G54" t="str">
            <v>n/a</v>
          </cell>
          <cell r="H54" t="str">
            <v>n/a</v>
          </cell>
          <cell r="I54" t="str">
            <v>n/a</v>
          </cell>
          <cell r="J54" t="str">
            <v>Coastal West Sussex</v>
          </cell>
          <cell r="K54" t="str">
            <v>Chichester</v>
          </cell>
          <cell r="L54">
            <v>61200</v>
          </cell>
          <cell r="M54">
            <v>61645</v>
          </cell>
          <cell r="N54">
            <v>61960</v>
          </cell>
          <cell r="O54">
            <v>62350</v>
          </cell>
          <cell r="P54">
            <v>62935</v>
          </cell>
          <cell r="Q54">
            <v>63140</v>
          </cell>
          <cell r="R54">
            <v>63375</v>
          </cell>
          <cell r="S54">
            <v>63320</v>
          </cell>
          <cell r="T54">
            <v>63385</v>
          </cell>
          <cell r="U54">
            <v>63620</v>
          </cell>
          <cell r="V54">
            <v>2725</v>
          </cell>
          <cell r="W54">
            <v>2765</v>
          </cell>
          <cell r="X54">
            <v>2830</v>
          </cell>
          <cell r="Y54">
            <v>2925</v>
          </cell>
          <cell r="Z54">
            <v>3055</v>
          </cell>
          <cell r="AA54">
            <v>3055</v>
          </cell>
          <cell r="AB54">
            <v>3060</v>
          </cell>
          <cell r="AC54">
            <v>3050</v>
          </cell>
          <cell r="AD54">
            <v>3110</v>
          </cell>
          <cell r="AE54">
            <v>3085</v>
          </cell>
          <cell r="AF54">
            <v>0.93148450244698211</v>
          </cell>
          <cell r="AG54">
            <v>2.6101141924959218E-2</v>
          </cell>
          <cell r="AH54">
            <v>2.4469820554649267E-2</v>
          </cell>
          <cell r="AI54">
            <v>6.5252854812398045E-3</v>
          </cell>
          <cell r="AJ54">
            <v>9.7879282218597055E-3</v>
          </cell>
          <cell r="AK54">
            <v>3.2626427406199023E-3</v>
          </cell>
          <cell r="AL54">
            <v>6.8515497553017946E-2</v>
          </cell>
          <cell r="AM54">
            <v>6199</v>
          </cell>
          <cell r="AN54">
            <v>0.61300209711243747</v>
          </cell>
          <cell r="AO54">
            <v>0.14841103403774802</v>
          </cell>
          <cell r="AP54">
            <v>0.23858686884981448</v>
          </cell>
          <cell r="AQ54">
            <v>546</v>
          </cell>
          <cell r="AR54">
            <v>538</v>
          </cell>
          <cell r="AS54">
            <v>498</v>
          </cell>
          <cell r="AT54">
            <v>484</v>
          </cell>
          <cell r="AU54">
            <v>434</v>
          </cell>
          <cell r="AV54">
            <v>23</v>
          </cell>
          <cell r="AW54">
            <v>28</v>
          </cell>
          <cell r="AX54">
            <v>22</v>
          </cell>
          <cell r="AY54">
            <v>21</v>
          </cell>
          <cell r="AZ54">
            <v>27</v>
          </cell>
          <cell r="BA54">
            <v>40</v>
          </cell>
          <cell r="BB54">
            <v>9.2165898617511524E-2</v>
          </cell>
          <cell r="BC54">
            <v>6.8414524660084824E-2</v>
          </cell>
          <cell r="BD54">
            <v>0.12307364333231419</v>
          </cell>
          <cell r="BE54">
            <v>42</v>
          </cell>
          <cell r="BF54">
            <v>824</v>
          </cell>
          <cell r="BG54">
            <v>1010</v>
          </cell>
          <cell r="BH54">
            <v>497</v>
          </cell>
          <cell r="BI54">
            <v>7.6673866090712736E-2</v>
          </cell>
          <cell r="BJ54">
            <v>6482</v>
          </cell>
          <cell r="BK54">
            <v>11616</v>
          </cell>
          <cell r="BL54">
            <v>6418</v>
          </cell>
          <cell r="BM54">
            <v>4064</v>
          </cell>
          <cell r="BN54">
            <v>4</v>
          </cell>
          <cell r="BO54">
            <v>746</v>
          </cell>
          <cell r="BP54">
            <v>1151</v>
          </cell>
          <cell r="BQ54">
            <v>453</v>
          </cell>
          <cell r="BR54">
            <v>295</v>
          </cell>
          <cell r="BS54">
            <v>255</v>
          </cell>
          <cell r="BT54">
            <v>230</v>
          </cell>
          <cell r="BU54">
            <v>1160</v>
          </cell>
          <cell r="BV54">
            <v>353</v>
          </cell>
          <cell r="BW54">
            <v>0.30431034482758623</v>
          </cell>
          <cell r="BX54">
            <v>110</v>
          </cell>
          <cell r="BY54" t="str">
            <v>n/a</v>
          </cell>
          <cell r="BZ54">
            <v>754</v>
          </cell>
          <cell r="CA54">
            <v>2.7377364656330561E-2</v>
          </cell>
          <cell r="CB54">
            <v>360</v>
          </cell>
          <cell r="CC54">
            <v>350</v>
          </cell>
          <cell r="CD54">
            <v>385</v>
          </cell>
          <cell r="CE54">
            <v>355</v>
          </cell>
          <cell r="CF54">
            <v>1100</v>
          </cell>
          <cell r="CG54">
            <v>0.11094513888888891</v>
          </cell>
          <cell r="CH54">
            <v>1170</v>
          </cell>
          <cell r="CI54">
            <v>0.1074292497625831</v>
          </cell>
          <cell r="CJ54">
            <v>1160</v>
          </cell>
          <cell r="CK54">
            <v>0.11869088669950739</v>
          </cell>
          <cell r="CL54">
            <v>1120</v>
          </cell>
          <cell r="CM54">
            <v>0.11345312500000002</v>
          </cell>
          <cell r="CN54">
            <v>1165</v>
          </cell>
          <cell r="CO54">
            <v>0.10439686797465766</v>
          </cell>
          <cell r="CP54">
            <v>1010</v>
          </cell>
          <cell r="CQ54">
            <v>9.8344693281402148E-2</v>
          </cell>
          <cell r="CR54">
            <v>467</v>
          </cell>
          <cell r="CS54">
            <v>27</v>
          </cell>
          <cell r="CT54">
            <v>440</v>
          </cell>
          <cell r="CU54">
            <v>0.94218415417558887</v>
          </cell>
          <cell r="CV54">
            <v>186</v>
          </cell>
          <cell r="CW54">
            <v>237</v>
          </cell>
          <cell r="CX54">
            <v>0.42272727272727273</v>
          </cell>
          <cell r="CY54">
            <v>0.53863636363636369</v>
          </cell>
          <cell r="CZ54">
            <v>0.37743387164863429</v>
          </cell>
          <cell r="DA54">
            <v>0.46935826854331869</v>
          </cell>
          <cell r="DB54">
            <v>0.49192365034079505</v>
          </cell>
          <cell r="DC54">
            <v>0.58468027956322843</v>
          </cell>
          <cell r="DD54">
            <v>514</v>
          </cell>
          <cell r="DE54">
            <v>53</v>
          </cell>
          <cell r="DF54">
            <v>0.10311284046692606</v>
          </cell>
          <cell r="DG54">
            <v>7.96997006668584E-2</v>
          </cell>
          <cell r="DH54">
            <v>0.13241436812717267</v>
          </cell>
          <cell r="DI54" t="str">
            <v>No Sig diff</v>
          </cell>
          <cell r="DJ54">
            <v>492</v>
          </cell>
          <cell r="DK54">
            <v>42</v>
          </cell>
          <cell r="DL54">
            <v>8.5365853658536592E-2</v>
          </cell>
          <cell r="DM54">
            <v>6.3774524361247434E-2</v>
          </cell>
          <cell r="DN54">
            <v>0.1133818171629479</v>
          </cell>
          <cell r="DO54" t="str">
            <v>No Sig diff</v>
          </cell>
          <cell r="DP54">
            <v>514</v>
          </cell>
          <cell r="DQ54">
            <v>34</v>
          </cell>
          <cell r="DR54">
            <v>6.6147859922178989E-2</v>
          </cell>
          <cell r="DS54">
            <v>4.7719133057398534E-2</v>
          </cell>
          <cell r="DT54">
            <v>9.1013402928233483E-2</v>
          </cell>
          <cell r="DU54" t="str">
            <v>Sig better than Eng.</v>
          </cell>
          <cell r="DV54">
            <v>537</v>
          </cell>
          <cell r="DW54">
            <v>51</v>
          </cell>
          <cell r="DX54">
            <v>9.4972067039106142E-2</v>
          </cell>
          <cell r="DY54">
            <v>7.2973712657176823E-2</v>
          </cell>
          <cell r="DZ54">
            <v>0.12272404145265352</v>
          </cell>
          <cell r="EA54" t="str">
            <v>No Sig diff</v>
          </cell>
          <cell r="EB54">
            <v>429</v>
          </cell>
          <cell r="EC54">
            <v>69</v>
          </cell>
          <cell r="ED54">
            <v>0.16083916083916083</v>
          </cell>
          <cell r="EE54">
            <v>0.12910851511118659</v>
          </cell>
          <cell r="EF54">
            <v>0.19858989716001957</v>
          </cell>
          <cell r="EG54" t="str">
            <v>No Sig diff</v>
          </cell>
          <cell r="EH54">
            <v>415</v>
          </cell>
          <cell r="EI54">
            <v>72</v>
          </cell>
          <cell r="EJ54">
            <v>0.17349397590361446</v>
          </cell>
          <cell r="EK54">
            <v>0.14010007304062752</v>
          </cell>
          <cell r="EL54">
            <v>0.21287706355172928</v>
          </cell>
          <cell r="EM54" t="str">
            <v>No Sig diff</v>
          </cell>
          <cell r="EN54">
            <v>402</v>
          </cell>
          <cell r="EO54">
            <v>56</v>
          </cell>
          <cell r="EP54">
            <v>0.13930348258706468</v>
          </cell>
          <cell r="EQ54">
            <v>0.1088570113409154</v>
          </cell>
          <cell r="ER54">
            <v>0.17657824004347888</v>
          </cell>
          <cell r="ES54" t="str">
            <v>Sig better than Eng.</v>
          </cell>
          <cell r="ET54">
            <v>419</v>
          </cell>
          <cell r="EU54">
            <v>56</v>
          </cell>
          <cell r="EV54">
            <v>0.13365155131264916</v>
          </cell>
          <cell r="EW54">
            <v>0.10437604898695384</v>
          </cell>
          <cell r="EX54">
            <v>0.16958350820447257</v>
          </cell>
          <cell r="EY54" t="str">
            <v>Sig better than Eng.</v>
          </cell>
          <cell r="EZ54">
            <v>623</v>
          </cell>
          <cell r="FA54">
            <v>349</v>
          </cell>
          <cell r="FB54">
            <v>0.56019261637239171</v>
          </cell>
          <cell r="FC54">
            <v>0.5209649959575825</v>
          </cell>
          <cell r="FD54">
            <v>0.59868248259481094</v>
          </cell>
          <cell r="FE54">
            <v>623</v>
          </cell>
          <cell r="FF54">
            <v>34</v>
          </cell>
          <cell r="FG54">
            <v>124</v>
          </cell>
          <cell r="FH54">
            <v>24.91935483870968</v>
          </cell>
          <cell r="FI54">
            <v>0.26707779886148003</v>
          </cell>
          <cell r="FJ54">
            <v>632</v>
          </cell>
          <cell r="FK54">
            <v>377</v>
          </cell>
          <cell r="FL54">
            <v>0.59651898734177211</v>
          </cell>
          <cell r="FM54">
            <v>0.55779872368700945</v>
          </cell>
          <cell r="FN54">
            <v>0.6340730051969099</v>
          </cell>
          <cell r="FO54">
            <v>632</v>
          </cell>
          <cell r="FP54">
            <v>34</v>
          </cell>
          <cell r="FQ54">
            <v>126</v>
          </cell>
          <cell r="FR54">
            <v>24.238095238095237</v>
          </cell>
          <cell r="FS54">
            <v>0.28711484593837538</v>
          </cell>
          <cell r="FT54">
            <v>11169</v>
          </cell>
          <cell r="FU54">
            <v>10239</v>
          </cell>
          <cell r="FV54">
            <v>930</v>
          </cell>
          <cell r="FW54">
            <v>787</v>
          </cell>
          <cell r="FX54">
            <v>143</v>
          </cell>
          <cell r="FY54">
            <v>0.84623655913978491</v>
          </cell>
          <cell r="FZ54">
            <v>0.15376344086021507</v>
          </cell>
          <cell r="GQ54">
            <v>136</v>
          </cell>
          <cell r="GR54">
            <v>127</v>
          </cell>
          <cell r="GS54">
            <v>128</v>
          </cell>
          <cell r="GT54">
            <v>131</v>
          </cell>
          <cell r="GU54">
            <v>128</v>
          </cell>
          <cell r="GV54">
            <v>118</v>
          </cell>
          <cell r="GW54">
            <v>109</v>
          </cell>
          <cell r="GX54">
            <v>114</v>
          </cell>
          <cell r="GY54">
            <v>109</v>
          </cell>
          <cell r="GZ54">
            <v>114</v>
          </cell>
          <cell r="HA54">
            <v>114</v>
          </cell>
          <cell r="HB54">
            <v>107</v>
          </cell>
          <cell r="HC54">
            <v>115</v>
          </cell>
          <cell r="HD54">
            <v>148</v>
          </cell>
          <cell r="HE54">
            <v>127</v>
          </cell>
          <cell r="HF54">
            <v>123</v>
          </cell>
          <cell r="HG54">
            <v>121</v>
          </cell>
          <cell r="HH54">
            <v>122</v>
          </cell>
          <cell r="HI54">
            <v>124</v>
          </cell>
          <cell r="HJ54">
            <v>116</v>
          </cell>
          <cell r="HK54">
            <v>132</v>
          </cell>
          <cell r="HL54">
            <v>122</v>
          </cell>
          <cell r="HM54">
            <v>128</v>
          </cell>
          <cell r="HN54">
            <v>41</v>
          </cell>
          <cell r="HO54">
            <v>1.3385569702905649E-2</v>
          </cell>
          <cell r="HP54">
            <v>4708</v>
          </cell>
          <cell r="HQ54">
            <v>4323</v>
          </cell>
          <cell r="HR54">
            <v>385</v>
          </cell>
          <cell r="HS54">
            <v>8.1775700934579434E-2</v>
          </cell>
        </row>
        <row r="55">
          <cell r="A55" t="str">
            <v>CFC Group - Crawley</v>
          </cell>
          <cell r="C55" t="str">
            <v>n/a</v>
          </cell>
          <cell r="D55" t="str">
            <v>CFC Group - Crawley</v>
          </cell>
          <cell r="E55" t="str">
            <v>Crawley</v>
          </cell>
          <cell r="G55" t="str">
            <v>n/a</v>
          </cell>
          <cell r="H55" t="str">
            <v>n/a</v>
          </cell>
          <cell r="I55" t="str">
            <v>n/a</v>
          </cell>
          <cell r="J55" t="str">
            <v>Crawley</v>
          </cell>
          <cell r="K55" t="str">
            <v>Crawley</v>
          </cell>
          <cell r="L55">
            <v>98885</v>
          </cell>
          <cell r="M55">
            <v>99705</v>
          </cell>
          <cell r="N55">
            <v>100745</v>
          </cell>
          <cell r="O55">
            <v>101610</v>
          </cell>
          <cell r="P55">
            <v>102825</v>
          </cell>
          <cell r="Q55">
            <v>103845</v>
          </cell>
          <cell r="R55">
            <v>105480</v>
          </cell>
          <cell r="S55">
            <v>107055</v>
          </cell>
          <cell r="T55">
            <v>108300</v>
          </cell>
          <cell r="U55">
            <v>108970</v>
          </cell>
          <cell r="V55">
            <v>6305</v>
          </cell>
          <cell r="W55">
            <v>6280</v>
          </cell>
          <cell r="X55">
            <v>6370</v>
          </cell>
          <cell r="Y55">
            <v>6595</v>
          </cell>
          <cell r="Z55">
            <v>6935</v>
          </cell>
          <cell r="AA55">
            <v>7190</v>
          </cell>
          <cell r="AB55">
            <v>7740</v>
          </cell>
          <cell r="AC55">
            <v>8145</v>
          </cell>
          <cell r="AD55">
            <v>8320</v>
          </cell>
          <cell r="AE55">
            <v>8355</v>
          </cell>
          <cell r="AF55">
            <v>0.62205700123915741</v>
          </cell>
          <cell r="AG55">
            <v>6.5675340768277565E-2</v>
          </cell>
          <cell r="AH55">
            <v>7.6827757125154897E-2</v>
          </cell>
          <cell r="AI55">
            <v>0.17348203221809169</v>
          </cell>
          <cell r="AJ55">
            <v>4.8946716232961589E-2</v>
          </cell>
          <cell r="AK55">
            <v>1.3011152416356878E-2</v>
          </cell>
          <cell r="AL55">
            <v>0.37794299876084264</v>
          </cell>
          <cell r="AM55">
            <v>14546</v>
          </cell>
          <cell r="AN55">
            <v>0.49099408772171044</v>
          </cell>
          <cell r="AO55">
            <v>0.31527567716210642</v>
          </cell>
          <cell r="AP55">
            <v>0.19373023511618315</v>
          </cell>
          <cell r="AQ55">
            <v>1545</v>
          </cell>
          <cell r="AR55">
            <v>1666</v>
          </cell>
          <cell r="AS55">
            <v>1694</v>
          </cell>
          <cell r="AT55">
            <v>1617</v>
          </cell>
          <cell r="AU55">
            <v>1621</v>
          </cell>
          <cell r="AV55">
            <v>69</v>
          </cell>
          <cell r="AW55">
            <v>75</v>
          </cell>
          <cell r="AX55">
            <v>79</v>
          </cell>
          <cell r="AY55">
            <v>67</v>
          </cell>
          <cell r="AZ55">
            <v>64</v>
          </cell>
          <cell r="BA55">
            <v>128</v>
          </cell>
          <cell r="BB55">
            <v>7.8963602714373846E-2</v>
          </cell>
          <cell r="BC55">
            <v>6.6808520694543738E-2</v>
          </cell>
          <cell r="BD55">
            <v>9.3109517714746015E-2</v>
          </cell>
          <cell r="BE55">
            <v>144</v>
          </cell>
          <cell r="BF55">
            <v>2712</v>
          </cell>
          <cell r="BG55">
            <v>2241</v>
          </cell>
          <cell r="BH55">
            <v>1333</v>
          </cell>
          <cell r="BI55">
            <v>9.5071678196990222E-2</v>
          </cell>
          <cell r="BJ55">
            <v>14021</v>
          </cell>
          <cell r="BK55">
            <v>24916</v>
          </cell>
          <cell r="BL55">
            <v>14216</v>
          </cell>
          <cell r="BM55">
            <v>7467</v>
          </cell>
          <cell r="BN55">
            <v>9</v>
          </cell>
          <cell r="BO55">
            <v>1897</v>
          </cell>
          <cell r="BP55">
            <v>3347</v>
          </cell>
          <cell r="BQ55">
            <v>1496</v>
          </cell>
          <cell r="BR55">
            <v>1180</v>
          </cell>
          <cell r="BS55">
            <v>1095</v>
          </cell>
          <cell r="BT55">
            <v>925</v>
          </cell>
          <cell r="BU55">
            <v>3293</v>
          </cell>
          <cell r="BV55">
            <v>1363</v>
          </cell>
          <cell r="BW55">
            <v>0.4139082903127847</v>
          </cell>
          <cell r="BX55">
            <v>248</v>
          </cell>
          <cell r="BY55" t="str">
            <v>n/a</v>
          </cell>
          <cell r="BZ55">
            <v>2084</v>
          </cell>
          <cell r="CA55">
            <v>4.8774779413485618E-2</v>
          </cell>
          <cell r="CB55">
            <v>1650</v>
          </cell>
          <cell r="CC55">
            <v>1650</v>
          </cell>
          <cell r="CD55">
            <v>1580</v>
          </cell>
          <cell r="CE55">
            <v>1475</v>
          </cell>
          <cell r="CF55">
            <v>3775</v>
          </cell>
          <cell r="CG55">
            <v>0.19</v>
          </cell>
          <cell r="CH55">
            <v>3775</v>
          </cell>
          <cell r="CI55">
            <v>0.187</v>
          </cell>
          <cell r="CJ55">
            <v>4090</v>
          </cell>
          <cell r="CK55">
            <v>0.19500000000000001</v>
          </cell>
          <cell r="CL55">
            <v>4165</v>
          </cell>
          <cell r="CM55">
            <v>0.19500000000000001</v>
          </cell>
          <cell r="CN55">
            <v>4165</v>
          </cell>
          <cell r="CO55">
            <v>0.19</v>
          </cell>
          <cell r="CP55">
            <v>3895</v>
          </cell>
          <cell r="CQ55">
            <v>0.17399999999999999</v>
          </cell>
          <cell r="CR55">
            <v>1542</v>
          </cell>
          <cell r="CS55">
            <v>48</v>
          </cell>
          <cell r="CT55">
            <v>1494</v>
          </cell>
          <cell r="CU55">
            <v>0.9688715953307393</v>
          </cell>
          <cell r="CV55">
            <v>540</v>
          </cell>
          <cell r="CW55">
            <v>809</v>
          </cell>
          <cell r="CX55">
            <v>0.36144578313253012</v>
          </cell>
          <cell r="CY55">
            <v>0.54149933065595712</v>
          </cell>
          <cell r="CZ55">
            <v>0.3374688957422961</v>
          </cell>
          <cell r="DA55">
            <v>0.38613336031626067</v>
          </cell>
          <cell r="DB55">
            <v>0.51615878957366523</v>
          </cell>
          <cell r="DC55">
            <v>0.56662700812860278</v>
          </cell>
          <cell r="DD55">
            <v>1053</v>
          </cell>
          <cell r="DE55">
            <v>91</v>
          </cell>
          <cell r="DF55">
            <v>8.6419753086419748E-2</v>
          </cell>
          <cell r="DG55">
            <v>7.0916108024578983E-2</v>
          </cell>
          <cell r="DH55">
            <v>0.10493000140802267</v>
          </cell>
          <cell r="DI55" t="str">
            <v>No Sig diff</v>
          </cell>
          <cell r="DJ55">
            <v>1172</v>
          </cell>
          <cell r="DK55">
            <v>114</v>
          </cell>
          <cell r="DL55">
            <v>9.7269624573378843E-2</v>
          </cell>
          <cell r="DM55">
            <v>8.1597122865939342E-2</v>
          </cell>
          <cell r="DN55">
            <v>0.11557355612442274</v>
          </cell>
          <cell r="DO55" t="str">
            <v>No Sig diff</v>
          </cell>
          <cell r="DP55">
            <v>991</v>
          </cell>
          <cell r="DQ55">
            <v>81</v>
          </cell>
          <cell r="DR55">
            <v>8.1735620585267413E-2</v>
          </cell>
          <cell r="DS55">
            <v>6.6250292754922335E-2</v>
          </cell>
          <cell r="DT55">
            <v>0.10045110207565305</v>
          </cell>
          <cell r="DU55" t="str">
            <v>No Sig diff</v>
          </cell>
          <cell r="DV55">
            <v>1189</v>
          </cell>
          <cell r="DW55">
            <v>111</v>
          </cell>
          <cell r="DX55">
            <v>9.3355761143818342E-2</v>
          </cell>
          <cell r="DY55">
            <v>7.8103523781505702E-2</v>
          </cell>
          <cell r="DZ55">
            <v>0.11122713466490082</v>
          </cell>
          <cell r="EA55" t="str">
            <v>No Sig diff</v>
          </cell>
          <cell r="EB55">
            <v>1018</v>
          </cell>
          <cell r="EC55">
            <v>197</v>
          </cell>
          <cell r="ED55">
            <v>0.19351669941060903</v>
          </cell>
          <cell r="EE55">
            <v>0.17041930878054676</v>
          </cell>
          <cell r="EF55">
            <v>0.2189184455124161</v>
          </cell>
          <cell r="EG55" t="str">
            <v>No Sig diff</v>
          </cell>
          <cell r="EH55">
            <v>1114</v>
          </cell>
          <cell r="EI55">
            <v>192</v>
          </cell>
          <cell r="EJ55">
            <v>0.17235188509874327</v>
          </cell>
          <cell r="EK55">
            <v>0.15130866125267942</v>
          </cell>
          <cell r="EL55">
            <v>0.19564703247321</v>
          </cell>
          <cell r="EM55" t="str">
            <v>No Sig diff</v>
          </cell>
          <cell r="EN55">
            <v>1128</v>
          </cell>
          <cell r="EO55">
            <v>213</v>
          </cell>
          <cell r="EP55">
            <v>0.18882978723404256</v>
          </cell>
          <cell r="EQ55">
            <v>0.16706083594111637</v>
          </cell>
          <cell r="ER55">
            <v>0.21271095583311433</v>
          </cell>
          <cell r="ES55" t="str">
            <v>No Sig diff</v>
          </cell>
          <cell r="ET55">
            <v>1075</v>
          </cell>
          <cell r="EU55">
            <v>210</v>
          </cell>
          <cell r="EV55">
            <v>0.19534883720930232</v>
          </cell>
          <cell r="EW55">
            <v>0.17275073315918471</v>
          </cell>
          <cell r="EX55">
            <v>0.22011649988542298</v>
          </cell>
          <cell r="EY55" t="str">
            <v>No Sig diff</v>
          </cell>
          <cell r="EZ55">
            <v>1440</v>
          </cell>
          <cell r="FA55">
            <v>693</v>
          </cell>
          <cell r="FB55">
            <v>0.48125000000000001</v>
          </cell>
          <cell r="FC55">
            <v>0.45552756226071045</v>
          </cell>
          <cell r="FD55">
            <v>0.50707220957012045</v>
          </cell>
          <cell r="FE55">
            <v>1440</v>
          </cell>
          <cell r="FF55">
            <v>34</v>
          </cell>
          <cell r="FG55">
            <v>288</v>
          </cell>
          <cell r="FH55">
            <v>22.378472222222197</v>
          </cell>
          <cell r="FI55">
            <v>0.34180964052287655</v>
          </cell>
          <cell r="FJ55">
            <v>1518</v>
          </cell>
          <cell r="FK55">
            <v>841</v>
          </cell>
          <cell r="FL55">
            <v>0.5540184453227931</v>
          </cell>
          <cell r="FM55">
            <v>0.52890795807318758</v>
          </cell>
          <cell r="FN55">
            <v>0.57885622396393932</v>
          </cell>
          <cell r="FO55">
            <v>1518</v>
          </cell>
          <cell r="FP55">
            <v>34</v>
          </cell>
          <cell r="FQ55">
            <v>301</v>
          </cell>
          <cell r="FR55">
            <v>22.714285714285719</v>
          </cell>
          <cell r="FS55">
            <v>0.33193277310924357</v>
          </cell>
          <cell r="FT55">
            <v>13718</v>
          </cell>
          <cell r="FU55">
            <v>13516</v>
          </cell>
          <cell r="FV55">
            <v>202</v>
          </cell>
          <cell r="FW55">
            <v>173</v>
          </cell>
          <cell r="FX55">
            <v>29</v>
          </cell>
          <cell r="FY55">
            <v>0.85643564356435642</v>
          </cell>
          <cell r="FZ55">
            <v>0.14356435643564355</v>
          </cell>
          <cell r="GQ55">
            <v>436</v>
          </cell>
          <cell r="GR55">
            <v>417</v>
          </cell>
          <cell r="GS55">
            <v>418</v>
          </cell>
          <cell r="GT55">
            <v>430</v>
          </cell>
          <cell r="GU55">
            <v>423</v>
          </cell>
          <cell r="GV55">
            <v>408</v>
          </cell>
          <cell r="GW55">
            <v>396</v>
          </cell>
          <cell r="GX55">
            <v>389</v>
          </cell>
          <cell r="GY55">
            <v>394</v>
          </cell>
          <cell r="GZ55">
            <v>393</v>
          </cell>
          <cell r="HA55">
            <v>396</v>
          </cell>
          <cell r="HB55">
            <v>395</v>
          </cell>
          <cell r="HC55">
            <v>402</v>
          </cell>
          <cell r="HD55">
            <v>420</v>
          </cell>
          <cell r="HE55">
            <v>394</v>
          </cell>
          <cell r="HF55">
            <v>383</v>
          </cell>
          <cell r="HG55">
            <v>376</v>
          </cell>
          <cell r="HH55">
            <v>384</v>
          </cell>
          <cell r="HI55">
            <v>394</v>
          </cell>
          <cell r="HJ55">
            <v>378</v>
          </cell>
          <cell r="HK55">
            <v>399</v>
          </cell>
          <cell r="HL55">
            <v>379</v>
          </cell>
          <cell r="HM55">
            <v>391</v>
          </cell>
          <cell r="HN55">
            <v>158</v>
          </cell>
          <cell r="HO55">
            <v>1.9602977667493797E-2</v>
          </cell>
          <cell r="HP55">
            <v>12900</v>
          </cell>
          <cell r="HQ55">
            <v>11233</v>
          </cell>
          <cell r="HR55">
            <v>1667</v>
          </cell>
          <cell r="HS55">
            <v>0.12922480620155039</v>
          </cell>
        </row>
        <row r="56">
          <cell r="A56" t="str">
            <v>CFC Group - Horsham Rural</v>
          </cell>
          <cell r="C56" t="str">
            <v>n/a</v>
          </cell>
          <cell r="D56" t="str">
            <v>CFC Group - Horsham Rural</v>
          </cell>
          <cell r="E56" t="str">
            <v>Horsham</v>
          </cell>
          <cell r="G56" t="str">
            <v>n/a</v>
          </cell>
          <cell r="H56" t="str">
            <v>n/a</v>
          </cell>
          <cell r="I56" t="str">
            <v>n/a</v>
          </cell>
          <cell r="J56" t="str">
            <v>Coastal/Horsham and Mid Sussex</v>
          </cell>
          <cell r="K56" t="str">
            <v>Arundel and South Downs/Horsham</v>
          </cell>
          <cell r="L56">
            <v>77760</v>
          </cell>
          <cell r="M56">
            <v>78225</v>
          </cell>
          <cell r="N56">
            <v>78800</v>
          </cell>
          <cell r="O56">
            <v>79500</v>
          </cell>
          <cell r="P56">
            <v>79860</v>
          </cell>
          <cell r="Q56">
            <v>80135</v>
          </cell>
          <cell r="R56">
            <v>80945</v>
          </cell>
          <cell r="S56">
            <v>81165</v>
          </cell>
          <cell r="T56">
            <v>81415</v>
          </cell>
          <cell r="U56">
            <v>81900</v>
          </cell>
          <cell r="V56">
            <v>3925</v>
          </cell>
          <cell r="W56">
            <v>3885</v>
          </cell>
          <cell r="X56">
            <v>3805</v>
          </cell>
          <cell r="Y56">
            <v>3970</v>
          </cell>
          <cell r="Z56">
            <v>3935</v>
          </cell>
          <cell r="AA56">
            <v>3890</v>
          </cell>
          <cell r="AB56">
            <v>3940</v>
          </cell>
          <cell r="AC56">
            <v>3945</v>
          </cell>
          <cell r="AD56">
            <v>3960</v>
          </cell>
          <cell r="AE56">
            <v>3985</v>
          </cell>
          <cell r="AF56">
            <v>0.92874999999999996</v>
          </cell>
          <cell r="AG56">
            <v>2.8750000000000001E-2</v>
          </cell>
          <cell r="AH56">
            <v>0.03</v>
          </cell>
          <cell r="AI56">
            <v>1.125E-2</v>
          </cell>
          <cell r="AJ56">
            <v>1.25E-3</v>
          </cell>
          <cell r="AK56">
            <v>1.25E-3</v>
          </cell>
          <cell r="AL56">
            <v>7.1249999999999994E-2</v>
          </cell>
          <cell r="AM56">
            <v>8282</v>
          </cell>
          <cell r="AN56">
            <v>0.70816227964259837</v>
          </cell>
          <cell r="AO56">
            <v>0.1390968365129196</v>
          </cell>
          <cell r="AP56">
            <v>0.15274088384448201</v>
          </cell>
          <cell r="AQ56">
            <v>694</v>
          </cell>
          <cell r="AR56">
            <v>711</v>
          </cell>
          <cell r="AS56">
            <v>686</v>
          </cell>
          <cell r="AT56">
            <v>680</v>
          </cell>
          <cell r="AU56">
            <v>643</v>
          </cell>
          <cell r="AV56">
            <v>31</v>
          </cell>
          <cell r="AW56">
            <v>23</v>
          </cell>
          <cell r="AX56">
            <v>15</v>
          </cell>
          <cell r="AY56">
            <v>26</v>
          </cell>
          <cell r="AZ56">
            <v>21</v>
          </cell>
          <cell r="BA56">
            <v>48</v>
          </cell>
          <cell r="BB56">
            <v>7.4650077760497674E-2</v>
          </cell>
          <cell r="BC56">
            <v>5.6764926583491651E-2</v>
          </cell>
          <cell r="BD56">
            <v>9.7587360919419316E-2</v>
          </cell>
          <cell r="BE56">
            <v>41</v>
          </cell>
          <cell r="BF56">
            <v>1116</v>
          </cell>
          <cell r="BG56">
            <v>1375</v>
          </cell>
          <cell r="BH56">
            <v>609</v>
          </cell>
          <cell r="BI56">
            <v>6.734490766338605E-2</v>
          </cell>
          <cell r="BJ56">
            <v>9043</v>
          </cell>
          <cell r="BK56">
            <v>16084</v>
          </cell>
          <cell r="BL56">
            <v>9447</v>
          </cell>
          <cell r="BM56">
            <v>6288</v>
          </cell>
          <cell r="BN56">
            <v>1</v>
          </cell>
          <cell r="BO56">
            <v>1076</v>
          </cell>
          <cell r="BP56">
            <v>1520</v>
          </cell>
          <cell r="BQ56">
            <v>562</v>
          </cell>
          <cell r="BR56">
            <v>305</v>
          </cell>
          <cell r="BS56">
            <v>275</v>
          </cell>
          <cell r="BT56">
            <v>245</v>
          </cell>
          <cell r="BU56">
            <v>1392</v>
          </cell>
          <cell r="BV56">
            <v>396</v>
          </cell>
          <cell r="BW56">
            <v>0.28448275862068967</v>
          </cell>
          <cell r="BX56">
            <v>150</v>
          </cell>
          <cell r="BY56" t="str">
            <v>n/a</v>
          </cell>
          <cell r="BZ56">
            <v>791</v>
          </cell>
          <cell r="CA56">
            <v>2.3278399058269571E-2</v>
          </cell>
          <cell r="CB56">
            <v>460</v>
          </cell>
          <cell r="CC56">
            <v>430</v>
          </cell>
          <cell r="CD56">
            <v>395</v>
          </cell>
          <cell r="CE56">
            <v>415</v>
          </cell>
          <cell r="CF56">
            <v>1210</v>
          </cell>
          <cell r="CG56">
            <v>8.6488636363636365E-2</v>
          </cell>
          <cell r="CH56">
            <v>1290</v>
          </cell>
          <cell r="CI56">
            <v>8.4399547803617567E-2</v>
          </cell>
          <cell r="CJ56">
            <v>1345</v>
          </cell>
          <cell r="CK56">
            <v>9.603960140437838E-2</v>
          </cell>
          <cell r="CL56">
            <v>1205</v>
          </cell>
          <cell r="CM56">
            <v>9.1512966804979251E-2</v>
          </cell>
          <cell r="CN56">
            <v>1230</v>
          </cell>
          <cell r="CO56">
            <v>8.5441734417344178E-2</v>
          </cell>
          <cell r="CP56">
            <v>1040</v>
          </cell>
          <cell r="CQ56">
            <v>7.6999999999999999E-2</v>
          </cell>
          <cell r="CR56">
            <v>694</v>
          </cell>
          <cell r="CS56">
            <v>20</v>
          </cell>
          <cell r="CT56">
            <v>674</v>
          </cell>
          <cell r="CU56">
            <v>0.97118155619596547</v>
          </cell>
          <cell r="CV56">
            <v>308</v>
          </cell>
          <cell r="CW56">
            <v>404</v>
          </cell>
          <cell r="CX56">
            <v>0.45697329376854601</v>
          </cell>
          <cell r="CY56">
            <v>0.59940652818991103</v>
          </cell>
          <cell r="CZ56">
            <v>0.41971558496913836</v>
          </cell>
          <cell r="DA56">
            <v>0.49471868392183771</v>
          </cell>
          <cell r="DB56">
            <v>0.56194988661152023</v>
          </cell>
          <cell r="DC56">
            <v>0.63573645767484521</v>
          </cell>
          <cell r="DD56">
            <v>690</v>
          </cell>
          <cell r="DE56">
            <v>45</v>
          </cell>
          <cell r="DF56">
            <v>6.5217391304347824E-2</v>
          </cell>
          <cell r="DG56">
            <v>4.9095601119040551E-2</v>
          </cell>
          <cell r="DH56">
            <v>8.6153536313874207E-2</v>
          </cell>
          <cell r="DI56" t="str">
            <v>Sig better than Eng.</v>
          </cell>
          <cell r="DJ56">
            <v>715</v>
          </cell>
          <cell r="DK56">
            <v>60</v>
          </cell>
          <cell r="DL56">
            <v>8.3916083916083919E-2</v>
          </cell>
          <cell r="DM56">
            <v>6.5749511211531414E-2</v>
          </cell>
          <cell r="DN56">
            <v>0.10652972686116412</v>
          </cell>
          <cell r="DO56" t="str">
            <v>No Sig diff</v>
          </cell>
          <cell r="DP56">
            <v>478</v>
          </cell>
          <cell r="DQ56">
            <v>37</v>
          </cell>
          <cell r="DR56">
            <v>7.7405857740585768E-2</v>
          </cell>
          <cell r="DS56">
            <v>5.6677309110696433E-2</v>
          </cell>
          <cell r="DT56">
            <v>0.1048726310111248</v>
          </cell>
          <cell r="DU56" t="str">
            <v>No Sig diff</v>
          </cell>
          <cell r="DV56">
            <v>661</v>
          </cell>
          <cell r="DW56">
            <v>53</v>
          </cell>
          <cell r="DX56">
            <v>8.0181543116490173E-2</v>
          </cell>
          <cell r="DY56">
            <v>6.1822013381150641E-2</v>
          </cell>
          <cell r="DZ56">
            <v>0.10339250109201802</v>
          </cell>
          <cell r="EA56" t="str">
            <v>No Sig diff</v>
          </cell>
          <cell r="EB56">
            <v>715</v>
          </cell>
          <cell r="EC56">
            <v>109</v>
          </cell>
          <cell r="ED56">
            <v>0.15244755244755245</v>
          </cell>
          <cell r="EE56">
            <v>0.12796234517942864</v>
          </cell>
          <cell r="EF56">
            <v>0.18064737132835237</v>
          </cell>
          <cell r="EG56" t="str">
            <v>Sig better than Eng.</v>
          </cell>
          <cell r="EH56">
            <v>683</v>
          </cell>
          <cell r="EI56">
            <v>102</v>
          </cell>
          <cell r="EJ56">
            <v>0.14934114202049781</v>
          </cell>
          <cell r="EK56">
            <v>0.12457477402504541</v>
          </cell>
          <cell r="EL56">
            <v>0.17802993358471017</v>
          </cell>
          <cell r="EM56" t="str">
            <v>Sig better than Eng.</v>
          </cell>
          <cell r="EN56">
            <v>653</v>
          </cell>
          <cell r="EO56">
            <v>89</v>
          </cell>
          <cell r="EP56">
            <v>0.13629402756508421</v>
          </cell>
          <cell r="EQ56">
            <v>0.11209652965952474</v>
          </cell>
          <cell r="ER56">
            <v>0.1647457073502642</v>
          </cell>
          <cell r="ES56" t="str">
            <v>Sig better than Eng.</v>
          </cell>
          <cell r="ET56">
            <v>591</v>
          </cell>
          <cell r="EU56">
            <v>74</v>
          </cell>
          <cell r="EV56">
            <v>0.12521150592216582</v>
          </cell>
          <cell r="EW56">
            <v>0.10092567436312364</v>
          </cell>
          <cell r="EX56">
            <v>0.15433807124352619</v>
          </cell>
          <cell r="EY56" t="str">
            <v>Sig better than Eng.</v>
          </cell>
          <cell r="EZ56">
            <v>782</v>
          </cell>
          <cell r="FA56">
            <v>456</v>
          </cell>
          <cell r="FB56">
            <v>0.58312020460358061</v>
          </cell>
          <cell r="FC56">
            <v>0.54823960073443256</v>
          </cell>
          <cell r="FD56">
            <v>0.61718816913035668</v>
          </cell>
          <cell r="FE56">
            <v>782</v>
          </cell>
          <cell r="FF56">
            <v>34</v>
          </cell>
          <cell r="FG56">
            <v>156</v>
          </cell>
          <cell r="FH56">
            <v>25.679487179487179</v>
          </cell>
          <cell r="FI56">
            <v>0.24472096530920062</v>
          </cell>
          <cell r="FJ56">
            <v>838</v>
          </cell>
          <cell r="FK56">
            <v>521</v>
          </cell>
          <cell r="FL56">
            <v>0.62171837708830546</v>
          </cell>
          <cell r="FM56">
            <v>0.5883987373583377</v>
          </cell>
          <cell r="FN56">
            <v>0.65392717551102397</v>
          </cell>
          <cell r="FO56">
            <v>838</v>
          </cell>
          <cell r="FP56">
            <v>34</v>
          </cell>
          <cell r="FQ56">
            <v>166</v>
          </cell>
          <cell r="FR56">
            <v>26.8132530120482</v>
          </cell>
          <cell r="FS56">
            <v>0.21137491141034706</v>
          </cell>
          <cell r="FT56">
            <v>12075</v>
          </cell>
          <cell r="FU56">
            <v>11826</v>
          </cell>
          <cell r="FV56">
            <v>249</v>
          </cell>
          <cell r="FW56">
            <v>205</v>
          </cell>
          <cell r="FX56">
            <v>44</v>
          </cell>
          <cell r="FY56">
            <v>0.82329317269076308</v>
          </cell>
          <cell r="FZ56">
            <v>0.17670682730923695</v>
          </cell>
          <cell r="GQ56">
            <v>214</v>
          </cell>
          <cell r="GR56">
            <v>209</v>
          </cell>
          <cell r="GS56">
            <v>210</v>
          </cell>
          <cell r="GT56">
            <v>210</v>
          </cell>
          <cell r="GU56">
            <v>210</v>
          </cell>
          <cell r="GV56">
            <v>164</v>
          </cell>
          <cell r="GW56">
            <v>154</v>
          </cell>
          <cell r="GX56">
            <v>157</v>
          </cell>
          <cell r="GY56">
            <v>154</v>
          </cell>
          <cell r="GZ56">
            <v>158</v>
          </cell>
          <cell r="HA56">
            <v>159</v>
          </cell>
          <cell r="HB56">
            <v>154</v>
          </cell>
          <cell r="HC56">
            <v>158</v>
          </cell>
          <cell r="HD56">
            <v>206</v>
          </cell>
          <cell r="HE56">
            <v>197</v>
          </cell>
          <cell r="HF56">
            <v>194</v>
          </cell>
          <cell r="HG56">
            <v>189</v>
          </cell>
          <cell r="HH56">
            <v>193</v>
          </cell>
          <cell r="HI56">
            <v>197</v>
          </cell>
          <cell r="HJ56">
            <v>189</v>
          </cell>
          <cell r="HK56">
            <v>194</v>
          </cell>
          <cell r="HL56">
            <v>191</v>
          </cell>
          <cell r="HM56">
            <v>201</v>
          </cell>
          <cell r="HN56">
            <v>60</v>
          </cell>
          <cell r="HO56">
            <v>1.5018773466833541E-2</v>
          </cell>
          <cell r="HP56">
            <v>6263</v>
          </cell>
          <cell r="HQ56">
            <v>5821</v>
          </cell>
          <cell r="HR56">
            <v>442</v>
          </cell>
          <cell r="HS56">
            <v>7.0573207727925913E-2</v>
          </cell>
        </row>
        <row r="57">
          <cell r="A57" t="str">
            <v>CFC Group - Horsham Town</v>
          </cell>
          <cell r="C57" t="str">
            <v>n/a</v>
          </cell>
          <cell r="D57" t="str">
            <v>CFC Group - Horsham Town</v>
          </cell>
          <cell r="E57" t="str">
            <v>Horsham</v>
          </cell>
          <cell r="G57" t="str">
            <v>n/a</v>
          </cell>
          <cell r="H57" t="str">
            <v>n/a</v>
          </cell>
          <cell r="I57" t="str">
            <v>n/a</v>
          </cell>
          <cell r="J57" t="str">
            <v>Horsham and Mid Sussex</v>
          </cell>
          <cell r="K57" t="str">
            <v>Horsham</v>
          </cell>
          <cell r="L57">
            <v>55555</v>
          </cell>
          <cell r="M57">
            <v>56115</v>
          </cell>
          <cell r="N57">
            <v>56850</v>
          </cell>
          <cell r="O57">
            <v>57335</v>
          </cell>
          <cell r="P57">
            <v>57750</v>
          </cell>
          <cell r="Q57">
            <v>58185</v>
          </cell>
          <cell r="R57">
            <v>58650</v>
          </cell>
          <cell r="S57">
            <v>59080</v>
          </cell>
          <cell r="T57">
            <v>59530</v>
          </cell>
          <cell r="U57">
            <v>59735</v>
          </cell>
          <cell r="V57">
            <v>3470</v>
          </cell>
          <cell r="W57">
            <v>3325</v>
          </cell>
          <cell r="X57">
            <v>3330</v>
          </cell>
          <cell r="Y57">
            <v>3430</v>
          </cell>
          <cell r="Z57">
            <v>3440</v>
          </cell>
          <cell r="AA57">
            <v>3490</v>
          </cell>
          <cell r="AB57">
            <v>3565</v>
          </cell>
          <cell r="AC57">
            <v>3600</v>
          </cell>
          <cell r="AD57">
            <v>3660</v>
          </cell>
          <cell r="AE57">
            <v>3595</v>
          </cell>
          <cell r="AF57">
            <v>0.86153846153846159</v>
          </cell>
          <cell r="AG57">
            <v>3.3566433566433566E-2</v>
          </cell>
          <cell r="AH57">
            <v>5.4545454545454543E-2</v>
          </cell>
          <cell r="AI57">
            <v>3.9160839160839164E-2</v>
          </cell>
          <cell r="AJ57">
            <v>6.993006993006993E-3</v>
          </cell>
          <cell r="AK57">
            <v>2.7972027972027972E-3</v>
          </cell>
          <cell r="AL57">
            <v>0.13706293706293707</v>
          </cell>
          <cell r="AM57">
            <v>6989</v>
          </cell>
          <cell r="AN57">
            <v>0.70553727285734724</v>
          </cell>
          <cell r="AO57">
            <v>0.14179424810416369</v>
          </cell>
          <cell r="AP57">
            <v>0.15266847903848904</v>
          </cell>
          <cell r="AQ57">
            <v>701</v>
          </cell>
          <cell r="AR57">
            <v>648</v>
          </cell>
          <cell r="AS57">
            <v>690</v>
          </cell>
          <cell r="AT57">
            <v>636</v>
          </cell>
          <cell r="AU57">
            <v>632</v>
          </cell>
          <cell r="AV57">
            <v>23</v>
          </cell>
          <cell r="AW57">
            <v>19</v>
          </cell>
          <cell r="AX57">
            <v>9</v>
          </cell>
          <cell r="AY57">
            <v>13</v>
          </cell>
          <cell r="AZ57">
            <v>7</v>
          </cell>
          <cell r="BA57">
            <v>40</v>
          </cell>
          <cell r="BB57">
            <v>6.3291139240506333E-2</v>
          </cell>
          <cell r="BC57">
            <v>4.6821004663438637E-2</v>
          </cell>
          <cell r="BD57">
            <v>8.5038058091286881E-2</v>
          </cell>
          <cell r="BE57">
            <v>21</v>
          </cell>
          <cell r="BF57">
            <v>1043</v>
          </cell>
          <cell r="BG57">
            <v>1201</v>
          </cell>
          <cell r="BH57">
            <v>501</v>
          </cell>
          <cell r="BI57">
            <v>6.8172540481698185E-2</v>
          </cell>
          <cell r="BJ57">
            <v>7349</v>
          </cell>
          <cell r="BK57">
            <v>13050</v>
          </cell>
          <cell r="BL57">
            <v>7079</v>
          </cell>
          <cell r="BM57">
            <v>4683</v>
          </cell>
          <cell r="BN57">
            <v>7</v>
          </cell>
          <cell r="BO57">
            <v>790</v>
          </cell>
          <cell r="BP57">
            <v>1140</v>
          </cell>
          <cell r="BQ57">
            <v>459</v>
          </cell>
          <cell r="BR57">
            <v>270</v>
          </cell>
          <cell r="BS57">
            <v>260</v>
          </cell>
          <cell r="BT57">
            <v>225</v>
          </cell>
          <cell r="BU57">
            <v>1167</v>
          </cell>
          <cell r="BV57">
            <v>322</v>
          </cell>
          <cell r="BW57">
            <v>0.27592116538131961</v>
          </cell>
          <cell r="BX57">
            <v>120</v>
          </cell>
          <cell r="BY57" t="str">
            <v>n/a</v>
          </cell>
          <cell r="BZ57">
            <v>755</v>
          </cell>
          <cell r="CA57">
            <v>3.0908421009538625E-2</v>
          </cell>
          <cell r="CB57">
            <v>375</v>
          </cell>
          <cell r="CC57">
            <v>385</v>
          </cell>
          <cell r="CD57">
            <v>390</v>
          </cell>
          <cell r="CE57">
            <v>375</v>
          </cell>
          <cell r="CF57">
            <v>975</v>
          </cell>
          <cell r="CG57">
            <v>9.1210268250268262E-2</v>
          </cell>
          <cell r="CH57">
            <v>985</v>
          </cell>
          <cell r="CI57">
            <v>8.4665036148284883E-2</v>
          </cell>
          <cell r="CJ57">
            <v>1005</v>
          </cell>
          <cell r="CK57">
            <v>9.1542223945209028E-2</v>
          </cell>
          <cell r="CL57">
            <v>935</v>
          </cell>
          <cell r="CM57">
            <v>8.8974442669629838E-2</v>
          </cell>
          <cell r="CN57">
            <v>1000</v>
          </cell>
          <cell r="CO57">
            <v>8.7870851370851363E-2</v>
          </cell>
          <cell r="CP57">
            <v>920</v>
          </cell>
          <cell r="CQ57">
            <v>8.4000000000000005E-2</v>
          </cell>
          <cell r="CR57">
            <v>617</v>
          </cell>
          <cell r="CS57">
            <v>16</v>
          </cell>
          <cell r="CT57">
            <v>601</v>
          </cell>
          <cell r="CU57">
            <v>0.97406807131280393</v>
          </cell>
          <cell r="CV57">
            <v>283</v>
          </cell>
          <cell r="CW57">
            <v>368</v>
          </cell>
          <cell r="CX57">
            <v>0.47088186356073214</v>
          </cell>
          <cell r="CY57">
            <v>0.61231281198003329</v>
          </cell>
          <cell r="CZ57">
            <v>0.4312868407625195</v>
          </cell>
          <cell r="DA57">
            <v>0.51084675558809745</v>
          </cell>
          <cell r="DB57">
            <v>0.57276407466122725</v>
          </cell>
          <cell r="DC57">
            <v>0.65043491084353611</v>
          </cell>
          <cell r="DD57">
            <v>584</v>
          </cell>
          <cell r="DE57">
            <v>40</v>
          </cell>
          <cell r="DF57">
            <v>6.8493150684931503E-2</v>
          </cell>
          <cell r="DG57">
            <v>5.0700192152736974E-2</v>
          </cell>
          <cell r="DH57">
            <v>9.1925778783191525E-2</v>
          </cell>
          <cell r="DI57" t="str">
            <v>Sig better than Eng.</v>
          </cell>
          <cell r="DJ57">
            <v>606</v>
          </cell>
          <cell r="DK57">
            <v>41</v>
          </cell>
          <cell r="DL57">
            <v>6.7656765676567657E-2</v>
          </cell>
          <cell r="DM57">
            <v>5.0261484259510152E-2</v>
          </cell>
          <cell r="DN57">
            <v>9.0498802826732824E-2</v>
          </cell>
          <cell r="DO57" t="str">
            <v>Sig better than Eng.</v>
          </cell>
          <cell r="DP57">
            <v>390</v>
          </cell>
          <cell r="DQ57">
            <v>35</v>
          </cell>
          <cell r="DR57">
            <v>8.9743589743589744E-2</v>
          </cell>
          <cell r="DS57">
            <v>6.5235527450921732E-2</v>
          </cell>
          <cell r="DT57">
            <v>0.12225478665110948</v>
          </cell>
          <cell r="DU57" t="str">
            <v>No Sig diff</v>
          </cell>
          <cell r="DV57">
            <v>568</v>
          </cell>
          <cell r="DW57">
            <v>39</v>
          </cell>
          <cell r="DX57">
            <v>6.8661971830985921E-2</v>
          </cell>
          <cell r="DY57">
            <v>5.0631690526542664E-2</v>
          </cell>
          <cell r="DZ57">
            <v>9.2487451253550318E-2</v>
          </cell>
          <cell r="EA57" t="str">
            <v>No Sig diff</v>
          </cell>
          <cell r="EB57">
            <v>593</v>
          </cell>
          <cell r="EC57">
            <v>79</v>
          </cell>
          <cell r="ED57">
            <v>0.13322091062394603</v>
          </cell>
          <cell r="EE57">
            <v>0.10821751503531322</v>
          </cell>
          <cell r="EF57">
            <v>0.16294571672220998</v>
          </cell>
          <cell r="EG57" t="str">
            <v>Sig better than Eng.</v>
          </cell>
          <cell r="EH57">
            <v>630</v>
          </cell>
          <cell r="EI57">
            <v>88</v>
          </cell>
          <cell r="EJ57">
            <v>0.13968253968253969</v>
          </cell>
          <cell r="EK57">
            <v>0.11479084888788295</v>
          </cell>
          <cell r="EL57">
            <v>0.16894170965333588</v>
          </cell>
          <cell r="EM57" t="str">
            <v>Sig better than Eng.</v>
          </cell>
          <cell r="EN57">
            <v>603</v>
          </cell>
          <cell r="EO57">
            <v>68</v>
          </cell>
          <cell r="EP57">
            <v>0.11276948590381426</v>
          </cell>
          <cell r="EQ57">
            <v>8.9935057926732356E-2</v>
          </cell>
          <cell r="ER57">
            <v>0.14050644666732612</v>
          </cell>
          <cell r="ES57" t="str">
            <v>Sig better than Eng.</v>
          </cell>
          <cell r="ET57">
            <v>580</v>
          </cell>
          <cell r="EU57">
            <v>72</v>
          </cell>
          <cell r="EV57">
            <v>0.12413793103448276</v>
          </cell>
          <cell r="EW57">
            <v>9.9750144188588658E-2</v>
          </cell>
          <cell r="EX57">
            <v>0.15347178205029172</v>
          </cell>
          <cell r="EY57" t="str">
            <v>Sig better than Eng.</v>
          </cell>
          <cell r="EZ57">
            <v>673</v>
          </cell>
          <cell r="FA57">
            <v>392</v>
          </cell>
          <cell r="FB57">
            <v>0.58246656760772664</v>
          </cell>
          <cell r="FC57">
            <v>0.54484327168467928</v>
          </cell>
          <cell r="FD57">
            <v>0.61915377452670772</v>
          </cell>
          <cell r="FE57">
            <v>673</v>
          </cell>
          <cell r="FF57">
            <v>34</v>
          </cell>
          <cell r="FG57">
            <v>134</v>
          </cell>
          <cell r="FH57">
            <v>25.253731343283587</v>
          </cell>
          <cell r="FI57">
            <v>0.25724319578577687</v>
          </cell>
          <cell r="FJ57">
            <v>751</v>
          </cell>
          <cell r="FK57">
            <v>468</v>
          </cell>
          <cell r="FL57">
            <v>0.62316910785619173</v>
          </cell>
          <cell r="FM57">
            <v>0.58796684159232548</v>
          </cell>
          <cell r="FN57">
            <v>0.65711773588839439</v>
          </cell>
          <cell r="FO57">
            <v>751</v>
          </cell>
          <cell r="FP57">
            <v>34</v>
          </cell>
          <cell r="FQ57">
            <v>150</v>
          </cell>
          <cell r="FR57">
            <v>24.599999999999994</v>
          </cell>
          <cell r="FS57">
            <v>0.2764705882352943</v>
          </cell>
          <cell r="FT57">
            <v>9632</v>
          </cell>
          <cell r="FU57">
            <v>9400</v>
          </cell>
          <cell r="FV57">
            <v>232</v>
          </cell>
          <cell r="FW57">
            <v>203</v>
          </cell>
          <cell r="FX57">
            <v>29</v>
          </cell>
          <cell r="FY57">
            <v>0.875</v>
          </cell>
          <cell r="FZ57">
            <v>0.125</v>
          </cell>
          <cell r="GQ57">
            <v>181</v>
          </cell>
          <cell r="GR57">
            <v>173</v>
          </cell>
          <cell r="GS57">
            <v>173</v>
          </cell>
          <cell r="GT57">
            <v>176</v>
          </cell>
          <cell r="GU57">
            <v>173</v>
          </cell>
          <cell r="GV57">
            <v>189</v>
          </cell>
          <cell r="GW57">
            <v>180</v>
          </cell>
          <cell r="GX57">
            <v>174</v>
          </cell>
          <cell r="GY57">
            <v>180</v>
          </cell>
          <cell r="GZ57">
            <v>175</v>
          </cell>
          <cell r="HA57">
            <v>178</v>
          </cell>
          <cell r="HB57">
            <v>181</v>
          </cell>
          <cell r="HC57">
            <v>181</v>
          </cell>
          <cell r="HD57">
            <v>168</v>
          </cell>
          <cell r="HE57">
            <v>155</v>
          </cell>
          <cell r="HF57">
            <v>152</v>
          </cell>
          <cell r="HG57">
            <v>147</v>
          </cell>
          <cell r="HH57">
            <v>151</v>
          </cell>
          <cell r="HI57">
            <v>158</v>
          </cell>
          <cell r="HJ57">
            <v>145</v>
          </cell>
          <cell r="HK57">
            <v>158</v>
          </cell>
          <cell r="HL57">
            <v>154</v>
          </cell>
          <cell r="HM57">
            <v>156</v>
          </cell>
          <cell r="HN57">
            <v>67</v>
          </cell>
          <cell r="HO57">
            <v>1.8799102132435467E-2</v>
          </cell>
          <cell r="HP57">
            <v>5540</v>
          </cell>
          <cell r="HQ57">
            <v>5172</v>
          </cell>
          <cell r="HR57">
            <v>368</v>
          </cell>
          <cell r="HS57">
            <v>6.6425992779783394E-2</v>
          </cell>
        </row>
        <row r="58">
          <cell r="A58" t="str">
            <v>CFC Group - Mid Sussex</v>
          </cell>
          <cell r="C58" t="str">
            <v>n/a</v>
          </cell>
          <cell r="D58" t="str">
            <v>CFC Group - Mid Sussex</v>
          </cell>
          <cell r="E58" t="str">
            <v>Mid Sussex</v>
          </cell>
          <cell r="G58" t="str">
            <v>n/a</v>
          </cell>
          <cell r="H58" t="str">
            <v>n/a</v>
          </cell>
          <cell r="I58" t="str">
            <v>n/a</v>
          </cell>
          <cell r="J58" t="str">
            <v>Horsham and Mid Sussex</v>
          </cell>
          <cell r="K58" t="str">
            <v>Mid Sussex</v>
          </cell>
          <cell r="L58">
            <v>129460</v>
          </cell>
          <cell r="M58">
            <v>130505</v>
          </cell>
          <cell r="N58">
            <v>132060</v>
          </cell>
          <cell r="O58">
            <v>133975</v>
          </cell>
          <cell r="P58">
            <v>135735</v>
          </cell>
          <cell r="Q58">
            <v>137210</v>
          </cell>
          <cell r="R58">
            <v>138895</v>
          </cell>
          <cell r="S58">
            <v>140190</v>
          </cell>
          <cell r="T58">
            <v>141160</v>
          </cell>
          <cell r="U58">
            <v>142765</v>
          </cell>
          <cell r="V58">
            <v>7400</v>
          </cell>
          <cell r="W58">
            <v>7450</v>
          </cell>
          <cell r="X58">
            <v>7665</v>
          </cell>
          <cell r="Y58">
            <v>7985</v>
          </cell>
          <cell r="Z58">
            <v>8155</v>
          </cell>
          <cell r="AA58">
            <v>8140</v>
          </cell>
          <cell r="AB58">
            <v>8240</v>
          </cell>
          <cell r="AC58">
            <v>8325</v>
          </cell>
          <cell r="AD58">
            <v>8490</v>
          </cell>
          <cell r="AE58">
            <v>8560</v>
          </cell>
          <cell r="AF58">
            <v>0.87477531455961655</v>
          </cell>
          <cell r="AG58">
            <v>3.8945476333133611E-2</v>
          </cell>
          <cell r="AH58">
            <v>4.0143798681845415E-2</v>
          </cell>
          <cell r="AI58">
            <v>3.9544637507489516E-2</v>
          </cell>
          <cell r="AJ58">
            <v>5.3924505692031152E-3</v>
          </cell>
          <cell r="AK58">
            <v>5.9916117435590175E-4</v>
          </cell>
          <cell r="AL58">
            <v>0.12522468544038345</v>
          </cell>
          <cell r="AM58">
            <v>16498</v>
          </cell>
          <cell r="AN58">
            <v>0.71044975148502854</v>
          </cell>
          <cell r="AO58">
            <v>0.12456055279427809</v>
          </cell>
          <cell r="AP58">
            <v>0.16498969572069341</v>
          </cell>
          <cell r="AQ58">
            <v>1463</v>
          </cell>
          <cell r="AR58">
            <v>1513</v>
          </cell>
          <cell r="AS58">
            <v>1518</v>
          </cell>
          <cell r="AT58">
            <v>1502</v>
          </cell>
          <cell r="AU58">
            <v>1486</v>
          </cell>
          <cell r="AV58">
            <v>48</v>
          </cell>
          <cell r="AW58">
            <v>48</v>
          </cell>
          <cell r="AX58">
            <v>43</v>
          </cell>
          <cell r="AY58">
            <v>28</v>
          </cell>
          <cell r="AZ58">
            <v>36</v>
          </cell>
          <cell r="BA58">
            <v>74</v>
          </cell>
          <cell r="BB58">
            <v>4.9798115746971738E-2</v>
          </cell>
          <cell r="BC58">
            <v>3.9852422821900144E-2</v>
          </cell>
          <cell r="BD58">
            <v>6.2065440935822419E-2</v>
          </cell>
          <cell r="BE58">
            <v>70</v>
          </cell>
          <cell r="BF58">
            <v>2421</v>
          </cell>
          <cell r="BG58">
            <v>2796</v>
          </cell>
          <cell r="BH58">
            <v>1278</v>
          </cell>
          <cell r="BI58">
            <v>7.5216290977576358E-2</v>
          </cell>
          <cell r="BJ58">
            <v>16991</v>
          </cell>
          <cell r="BK58">
            <v>30486</v>
          </cell>
          <cell r="BL58">
            <v>17136</v>
          </cell>
          <cell r="BM58">
            <v>11373</v>
          </cell>
          <cell r="BN58">
            <v>9</v>
          </cell>
          <cell r="BO58">
            <v>2041</v>
          </cell>
          <cell r="BP58">
            <v>2699</v>
          </cell>
          <cell r="BQ58">
            <v>1014</v>
          </cell>
          <cell r="BR58">
            <v>530</v>
          </cell>
          <cell r="BS58">
            <v>540</v>
          </cell>
          <cell r="BT58">
            <v>445</v>
          </cell>
          <cell r="BU58">
            <v>2645</v>
          </cell>
          <cell r="BV58">
            <v>656</v>
          </cell>
          <cell r="BW58">
            <v>0.24801512287334593</v>
          </cell>
          <cell r="BX58">
            <v>222</v>
          </cell>
          <cell r="BY58" t="str">
            <v>n/a</v>
          </cell>
          <cell r="BZ58">
            <v>1360</v>
          </cell>
          <cell r="CA58">
            <v>2.3689665383476458E-2</v>
          </cell>
          <cell r="CB58">
            <v>740</v>
          </cell>
          <cell r="CC58">
            <v>770</v>
          </cell>
          <cell r="CD58">
            <v>785</v>
          </cell>
          <cell r="CE58">
            <v>691</v>
          </cell>
          <cell r="CF58">
            <v>2145</v>
          </cell>
          <cell r="CG58">
            <v>8.6999999999999994E-2</v>
          </cell>
          <cell r="CH58">
            <v>2025</v>
          </cell>
          <cell r="CI58">
            <v>8.2000000000000003E-2</v>
          </cell>
          <cell r="CJ58">
            <v>2235</v>
          </cell>
          <cell r="CK58">
            <v>8.8999999999999996E-2</v>
          </cell>
          <cell r="CL58">
            <v>2140</v>
          </cell>
          <cell r="CM58">
            <v>8.5000000000000006E-2</v>
          </cell>
          <cell r="CN58">
            <v>2130</v>
          </cell>
          <cell r="CO58">
            <v>8.4000000000000005E-2</v>
          </cell>
          <cell r="CP58">
            <v>1955</v>
          </cell>
          <cell r="CQ58">
            <v>7.6999999999999999E-2</v>
          </cell>
          <cell r="CR58">
            <v>1479</v>
          </cell>
          <cell r="CS58">
            <v>37</v>
          </cell>
          <cell r="CT58">
            <v>1442</v>
          </cell>
          <cell r="CU58">
            <v>0.9749830966869506</v>
          </cell>
          <cell r="CV58">
            <v>703</v>
          </cell>
          <cell r="CW58">
            <v>902</v>
          </cell>
          <cell r="CX58">
            <v>0.48751733703190014</v>
          </cell>
          <cell r="CY58">
            <v>0.62552011095700422</v>
          </cell>
          <cell r="CZ58">
            <v>0.46178594193552791</v>
          </cell>
          <cell r="DA58">
            <v>0.51331506254848824</v>
          </cell>
          <cell r="DB58">
            <v>0.60023713947888135</v>
          </cell>
          <cell r="DC58">
            <v>0.65013609320962285</v>
          </cell>
          <cell r="DD58">
            <v>1206</v>
          </cell>
          <cell r="DE58">
            <v>69</v>
          </cell>
          <cell r="DF58">
            <v>5.721393034825871E-2</v>
          </cell>
          <cell r="DG58">
            <v>4.5457515173171009E-2</v>
          </cell>
          <cell r="DH58">
            <v>7.1782192382359139E-2</v>
          </cell>
          <cell r="DI58" t="str">
            <v>Sig better than Eng.</v>
          </cell>
          <cell r="DJ58">
            <v>1330</v>
          </cell>
          <cell r="DK58">
            <v>79</v>
          </cell>
          <cell r="DL58">
            <v>5.9398496240601506E-2</v>
          </cell>
          <cell r="DM58">
            <v>4.7919231091123504E-2</v>
          </cell>
          <cell r="DN58">
            <v>7.341562302548571E-2</v>
          </cell>
          <cell r="DO58" t="str">
            <v>Sig better than Eng.</v>
          </cell>
          <cell r="DP58">
            <v>1348</v>
          </cell>
          <cell r="DQ58">
            <v>69</v>
          </cell>
          <cell r="DR58">
            <v>5.118694362017804E-2</v>
          </cell>
          <cell r="DS58">
            <v>4.0645524866629167E-2</v>
          </cell>
          <cell r="DT58">
            <v>6.4279100647099616E-2</v>
          </cell>
          <cell r="DU58" t="str">
            <v>Sig better than Eng.</v>
          </cell>
          <cell r="DV58">
            <v>1303</v>
          </cell>
          <cell r="DW58">
            <v>90</v>
          </cell>
          <cell r="DX58">
            <v>6.9071373752877974E-2</v>
          </cell>
          <cell r="DY58">
            <v>5.653171765493481E-2</v>
          </cell>
          <cell r="DZ58">
            <v>8.4144458158001506E-2</v>
          </cell>
          <cell r="EA58" t="str">
            <v>Sig better than Eng.</v>
          </cell>
          <cell r="EB58">
            <v>1204</v>
          </cell>
          <cell r="EC58">
            <v>172</v>
          </cell>
          <cell r="ED58">
            <v>0.14285714285714285</v>
          </cell>
          <cell r="EE58">
            <v>0.1242260956758479</v>
          </cell>
          <cell r="EF58">
            <v>0.16375992788747454</v>
          </cell>
          <cell r="EG58" t="str">
            <v>Sig better than Eng.</v>
          </cell>
          <cell r="EH58">
            <v>1143</v>
          </cell>
          <cell r="EI58">
            <v>142</v>
          </cell>
          <cell r="EJ58">
            <v>0.1242344706911636</v>
          </cell>
          <cell r="EK58">
            <v>0.10636144655299956</v>
          </cell>
          <cell r="EL58">
            <v>0.14462482239186727</v>
          </cell>
          <cell r="EM58" t="str">
            <v>Sig better than Eng.</v>
          </cell>
          <cell r="EN58">
            <v>1187</v>
          </cell>
          <cell r="EO58">
            <v>158</v>
          </cell>
          <cell r="EP58">
            <v>0.13310867733782644</v>
          </cell>
          <cell r="EQ58">
            <v>0.11496263618686223</v>
          </cell>
          <cell r="ER58">
            <v>0.15362178069885599</v>
          </cell>
          <cell r="ES58" t="str">
            <v>Sig better than Eng.</v>
          </cell>
          <cell r="ET58">
            <v>1154</v>
          </cell>
          <cell r="EU58">
            <v>133</v>
          </cell>
          <cell r="EV58">
            <v>0.11525129982668977</v>
          </cell>
          <cell r="EW58">
            <v>9.8090404106502271E-2</v>
          </cell>
          <cell r="EX58">
            <v>0.13496521569790343</v>
          </cell>
          <cell r="EY58" t="str">
            <v>Sig better than Eng.</v>
          </cell>
          <cell r="EZ58">
            <v>1637</v>
          </cell>
          <cell r="FA58">
            <v>947</v>
          </cell>
          <cell r="FB58">
            <v>0.57849725106902872</v>
          </cell>
          <cell r="FC58">
            <v>0.55442004800520173</v>
          </cell>
          <cell r="FD58">
            <v>0.60220690618250572</v>
          </cell>
          <cell r="FE58">
            <v>1637</v>
          </cell>
          <cell r="FF58">
            <v>34</v>
          </cell>
          <cell r="FG58">
            <v>327</v>
          </cell>
          <cell r="FH58">
            <v>25.431192660550472</v>
          </cell>
          <cell r="FI58">
            <v>0.25202374527792726</v>
          </cell>
          <cell r="FJ58">
            <v>1614</v>
          </cell>
          <cell r="FK58">
            <v>1025</v>
          </cell>
          <cell r="FL58">
            <v>0.63506815365551428</v>
          </cell>
          <cell r="FM58">
            <v>0.61128697123654441</v>
          </cell>
          <cell r="FN58">
            <v>0.65820791506573717</v>
          </cell>
          <cell r="FO58">
            <v>1614</v>
          </cell>
          <cell r="FP58">
            <v>34</v>
          </cell>
          <cell r="FQ58">
            <v>320</v>
          </cell>
          <cell r="FR58">
            <v>26.740624999999991</v>
          </cell>
          <cell r="FS58">
            <v>0.21351102941176497</v>
          </cell>
          <cell r="FT58">
            <v>22188</v>
          </cell>
          <cell r="FU58">
            <v>21777</v>
          </cell>
          <cell r="FV58">
            <v>411</v>
          </cell>
          <cell r="FW58">
            <v>362</v>
          </cell>
          <cell r="FX58">
            <v>49</v>
          </cell>
          <cell r="FY58">
            <v>0.88077858880778592</v>
          </cell>
          <cell r="FZ58">
            <v>0.11922141119221411</v>
          </cell>
          <cell r="GQ58">
            <v>397</v>
          </cell>
          <cell r="GR58">
            <v>380</v>
          </cell>
          <cell r="GS58">
            <v>381</v>
          </cell>
          <cell r="GT58">
            <v>383</v>
          </cell>
          <cell r="GU58">
            <v>381</v>
          </cell>
          <cell r="GV58">
            <v>441</v>
          </cell>
          <cell r="GW58">
            <v>409</v>
          </cell>
          <cell r="GX58">
            <v>410</v>
          </cell>
          <cell r="GY58">
            <v>403</v>
          </cell>
          <cell r="GZ58">
            <v>413</v>
          </cell>
          <cell r="HA58">
            <v>421</v>
          </cell>
          <cell r="HB58">
            <v>411</v>
          </cell>
          <cell r="HC58">
            <v>422</v>
          </cell>
          <cell r="HD58">
            <v>492</v>
          </cell>
          <cell r="HE58">
            <v>456</v>
          </cell>
          <cell r="HF58">
            <v>453</v>
          </cell>
          <cell r="HG58">
            <v>440</v>
          </cell>
          <cell r="HH58">
            <v>455</v>
          </cell>
          <cell r="HI58">
            <v>457</v>
          </cell>
          <cell r="HJ58">
            <v>430</v>
          </cell>
          <cell r="HK58">
            <v>463</v>
          </cell>
          <cell r="HL58">
            <v>453</v>
          </cell>
          <cell r="HM58">
            <v>460</v>
          </cell>
          <cell r="HN58">
            <v>140</v>
          </cell>
          <cell r="HO58">
            <v>1.6794625719769675E-2</v>
          </cell>
          <cell r="HP58">
            <v>13214</v>
          </cell>
          <cell r="HQ58">
            <v>12411</v>
          </cell>
          <cell r="HR58">
            <v>803</v>
          </cell>
          <cell r="HS58">
            <v>6.0768881489329497E-2</v>
          </cell>
        </row>
        <row r="59">
          <cell r="A59" t="str">
            <v>CFC Group - Worthing</v>
          </cell>
          <cell r="C59" t="str">
            <v>n/a</v>
          </cell>
          <cell r="D59" t="str">
            <v>CFC Group - Worthing</v>
          </cell>
          <cell r="E59" t="str">
            <v>Worthing</v>
          </cell>
          <cell r="G59" t="str">
            <v>n/a</v>
          </cell>
          <cell r="H59" t="str">
            <v>n/a</v>
          </cell>
          <cell r="I59" t="str">
            <v>n/a</v>
          </cell>
          <cell r="J59" t="str">
            <v>Coastal West Sussex</v>
          </cell>
          <cell r="K59" t="str">
            <v>East Worthing and Shoreham/Worthing</v>
          </cell>
          <cell r="L59">
            <v>106385</v>
          </cell>
          <cell r="M59">
            <v>106970</v>
          </cell>
          <cell r="N59">
            <v>107615</v>
          </cell>
          <cell r="O59">
            <v>108555</v>
          </cell>
          <cell r="P59">
            <v>109370</v>
          </cell>
          <cell r="Q59">
            <v>109795</v>
          </cell>
          <cell r="R59">
            <v>110865</v>
          </cell>
          <cell r="S59">
            <v>112025</v>
          </cell>
          <cell r="T59">
            <v>112725</v>
          </cell>
          <cell r="U59">
            <v>113170</v>
          </cell>
          <cell r="V59">
            <v>5555</v>
          </cell>
          <cell r="W59">
            <v>5620</v>
          </cell>
          <cell r="X59">
            <v>5730</v>
          </cell>
          <cell r="Y59">
            <v>5915</v>
          </cell>
          <cell r="Z59">
            <v>6175</v>
          </cell>
          <cell r="AA59">
            <v>6205</v>
          </cell>
          <cell r="AB59">
            <v>6365</v>
          </cell>
          <cell r="AC59">
            <v>6570</v>
          </cell>
          <cell r="AD59">
            <v>6540</v>
          </cell>
          <cell r="AE59">
            <v>6395</v>
          </cell>
          <cell r="AF59">
            <v>0.84790874524714832</v>
          </cell>
          <cell r="AG59">
            <v>3.2699619771863121E-2</v>
          </cell>
          <cell r="AH59">
            <v>6.2357414448669199E-2</v>
          </cell>
          <cell r="AI59">
            <v>4.4106463878326993E-2</v>
          </cell>
          <cell r="AJ59">
            <v>7.6045627376425855E-3</v>
          </cell>
          <cell r="AK59">
            <v>3.8022813688212928E-3</v>
          </cell>
          <cell r="AL59">
            <v>0.15133079847908745</v>
          </cell>
          <cell r="AM59">
            <v>12349</v>
          </cell>
          <cell r="AN59">
            <v>0.63632682808324559</v>
          </cell>
          <cell r="AO59">
            <v>0.12438254109644506</v>
          </cell>
          <cell r="AP59">
            <v>0.23929063082030932</v>
          </cell>
          <cell r="AQ59">
            <v>1223</v>
          </cell>
          <cell r="AR59">
            <v>1179</v>
          </cell>
          <cell r="AS59">
            <v>1292</v>
          </cell>
          <cell r="AT59">
            <v>1197</v>
          </cell>
          <cell r="AU59">
            <v>1141</v>
          </cell>
          <cell r="AV59">
            <v>67</v>
          </cell>
          <cell r="AW59">
            <v>65</v>
          </cell>
          <cell r="AX59">
            <v>52</v>
          </cell>
          <cell r="AY59">
            <v>53</v>
          </cell>
          <cell r="AZ59">
            <v>46</v>
          </cell>
          <cell r="BA59">
            <v>70</v>
          </cell>
          <cell r="BB59">
            <v>6.1349693251533742E-2</v>
          </cell>
          <cell r="BC59">
            <v>4.8843255749594285E-2</v>
          </cell>
          <cell r="BD59">
            <v>7.6799869516733704E-2</v>
          </cell>
          <cell r="BE59">
            <v>99</v>
          </cell>
          <cell r="BF59">
            <v>2106</v>
          </cell>
          <cell r="BG59">
            <v>2016</v>
          </cell>
          <cell r="BH59">
            <v>959</v>
          </cell>
          <cell r="BI59">
            <v>7.5954379851100901E-2</v>
          </cell>
          <cell r="BJ59">
            <v>12626</v>
          </cell>
          <cell r="BK59">
            <v>22122</v>
          </cell>
          <cell r="BL59">
            <v>12498</v>
          </cell>
          <cell r="BM59">
            <v>7090</v>
          </cell>
          <cell r="BN59">
            <v>8</v>
          </cell>
          <cell r="BO59">
            <v>1731</v>
          </cell>
          <cell r="BP59">
            <v>2743</v>
          </cell>
          <cell r="BQ59">
            <v>926</v>
          </cell>
          <cell r="BR59">
            <v>850</v>
          </cell>
          <cell r="BS59">
            <v>780</v>
          </cell>
          <cell r="BT59">
            <v>585</v>
          </cell>
          <cell r="BU59">
            <v>2898</v>
          </cell>
          <cell r="BV59">
            <v>1015</v>
          </cell>
          <cell r="BW59">
            <v>0.35024154589371981</v>
          </cell>
          <cell r="BX59">
            <v>295</v>
          </cell>
          <cell r="BY59" t="str">
            <v>n/a</v>
          </cell>
          <cell r="BZ59">
            <v>2423</v>
          </cell>
          <cell r="CA59">
            <v>4.8062046256992105E-2</v>
          </cell>
          <cell r="CB59">
            <v>1110</v>
          </cell>
          <cell r="CC59">
            <v>1095</v>
          </cell>
          <cell r="CD59">
            <v>1100</v>
          </cell>
          <cell r="CE59">
            <v>985</v>
          </cell>
          <cell r="CF59">
            <v>2775</v>
          </cell>
          <cell r="CG59">
            <v>0.157</v>
          </cell>
          <cell r="CH59">
            <v>2635</v>
          </cell>
          <cell r="CI59">
            <v>0.14799999999999999</v>
          </cell>
          <cell r="CJ59">
            <v>2915</v>
          </cell>
          <cell r="CK59">
            <v>0.161</v>
          </cell>
          <cell r="CL59">
            <v>2865</v>
          </cell>
          <cell r="CM59">
            <v>0.157</v>
          </cell>
          <cell r="CN59">
            <v>2740</v>
          </cell>
          <cell r="CO59">
            <v>0.152</v>
          </cell>
          <cell r="CP59">
            <v>2460</v>
          </cell>
          <cell r="CQ59">
            <v>0.13300000000000001</v>
          </cell>
          <cell r="CR59">
            <v>1193</v>
          </cell>
          <cell r="CS59">
            <v>54</v>
          </cell>
          <cell r="CT59">
            <v>1139</v>
          </cell>
          <cell r="CU59">
            <v>0.95473595976529757</v>
          </cell>
          <cell r="CV59">
            <v>471</v>
          </cell>
          <cell r="CW59">
            <v>617</v>
          </cell>
          <cell r="CX59">
            <v>0.41352063213345042</v>
          </cell>
          <cell r="CY59">
            <v>0.54170324846356455</v>
          </cell>
          <cell r="CZ59">
            <v>0.3852582632790188</v>
          </cell>
          <cell r="DA59">
            <v>0.44236437109470655</v>
          </cell>
          <cell r="DB59">
            <v>0.51267528026756404</v>
          </cell>
          <cell r="DC59">
            <v>0.57045086051668015</v>
          </cell>
          <cell r="DD59">
            <v>829</v>
          </cell>
          <cell r="DE59">
            <v>68</v>
          </cell>
          <cell r="DF59">
            <v>8.2026537997587454E-2</v>
          </cell>
          <cell r="DG59">
            <v>6.5218698302625541E-2</v>
          </cell>
          <cell r="DH59">
            <v>0.10269016038785084</v>
          </cell>
          <cell r="DI59" t="str">
            <v>No Sig diff</v>
          </cell>
          <cell r="DJ59">
            <v>1066</v>
          </cell>
          <cell r="DK59">
            <v>86</v>
          </cell>
          <cell r="DL59">
            <v>8.0675422138836772E-2</v>
          </cell>
          <cell r="DM59">
            <v>6.5792774479139837E-2</v>
          </cell>
          <cell r="DN59">
            <v>9.856939093416113E-2</v>
          </cell>
          <cell r="DO59" t="str">
            <v>No Sig diff</v>
          </cell>
          <cell r="DP59">
            <v>1024</v>
          </cell>
          <cell r="DQ59">
            <v>76</v>
          </cell>
          <cell r="DR59">
            <v>7.421875E-2</v>
          </cell>
          <cell r="DS59">
            <v>5.9706323437482188E-2</v>
          </cell>
          <cell r="DT59">
            <v>9.1913809690345377E-2</v>
          </cell>
          <cell r="DU59" t="str">
            <v>Sig better than Eng.</v>
          </cell>
          <cell r="DV59">
            <v>1216</v>
          </cell>
          <cell r="DW59">
            <v>109</v>
          </cell>
          <cell r="DX59">
            <v>8.9638157894736836E-2</v>
          </cell>
          <cell r="DY59">
            <v>7.484783954991038E-2</v>
          </cell>
          <cell r="DZ59">
            <v>0.10701305492662574</v>
          </cell>
          <cell r="EA59" t="str">
            <v>No Sig diff</v>
          </cell>
          <cell r="EB59">
            <v>936</v>
          </cell>
          <cell r="EC59">
            <v>136</v>
          </cell>
          <cell r="ED59">
            <v>0.14529914529914531</v>
          </cell>
          <cell r="EE59">
            <v>0.12417242623970695</v>
          </cell>
          <cell r="EF59">
            <v>0.16932543580057574</v>
          </cell>
          <cell r="EG59" t="str">
            <v>Sig better than Eng.</v>
          </cell>
          <cell r="EH59">
            <v>957</v>
          </cell>
          <cell r="EI59">
            <v>155</v>
          </cell>
          <cell r="EJ59">
            <v>0.16196447230929989</v>
          </cell>
          <cell r="EK59">
            <v>0.13998174091720603</v>
          </cell>
          <cell r="EL59">
            <v>0.18665014610179606</v>
          </cell>
          <cell r="EM59" t="str">
            <v>Sig better than Eng.</v>
          </cell>
          <cell r="EN59">
            <v>920</v>
          </cell>
          <cell r="EO59">
            <v>136</v>
          </cell>
          <cell r="EP59">
            <v>0.14782608695652175</v>
          </cell>
          <cell r="EQ59">
            <v>0.12635666559262351</v>
          </cell>
          <cell r="ER59">
            <v>0.1722242826718248</v>
          </cell>
          <cell r="ES59" t="str">
            <v>Sig better than Eng.</v>
          </cell>
          <cell r="ET59">
            <v>913</v>
          </cell>
          <cell r="EU59">
            <v>142</v>
          </cell>
          <cell r="EV59">
            <v>0.15553121577217963</v>
          </cell>
          <cell r="EW59">
            <v>0.13347157187867184</v>
          </cell>
          <cell r="EX59">
            <v>0.18047742775637524</v>
          </cell>
          <cell r="EY59" t="str">
            <v>Sig better than Eng.</v>
          </cell>
          <cell r="EZ59">
            <v>1347</v>
          </cell>
          <cell r="FA59">
            <v>734</v>
          </cell>
          <cell r="FB59">
            <v>0.54491462509279887</v>
          </cell>
          <cell r="FC59">
            <v>0.51823096411520353</v>
          </cell>
          <cell r="FD59">
            <v>0.57134283391260865</v>
          </cell>
          <cell r="FE59">
            <v>1347</v>
          </cell>
          <cell r="FF59">
            <v>34</v>
          </cell>
          <cell r="FG59">
            <v>269</v>
          </cell>
          <cell r="FH59">
            <v>25.000000000000004</v>
          </cell>
          <cell r="FI59">
            <v>0.26470588235294107</v>
          </cell>
          <cell r="FJ59">
            <v>1275</v>
          </cell>
          <cell r="FK59">
            <v>778</v>
          </cell>
          <cell r="FL59">
            <v>0.61019607843137258</v>
          </cell>
          <cell r="FM59">
            <v>0.58313310248936623</v>
          </cell>
          <cell r="FN59">
            <v>0.63659702751371405</v>
          </cell>
          <cell r="FO59">
            <v>1275</v>
          </cell>
          <cell r="FP59">
            <v>34</v>
          </cell>
          <cell r="FQ59">
            <v>252</v>
          </cell>
          <cell r="FR59">
            <v>25.519841269841287</v>
          </cell>
          <cell r="FS59">
            <v>0.24941643323996215</v>
          </cell>
          <cell r="FT59">
            <v>15545</v>
          </cell>
          <cell r="FU59">
            <v>15138</v>
          </cell>
          <cell r="FV59">
            <v>407</v>
          </cell>
          <cell r="FW59">
            <v>335</v>
          </cell>
          <cell r="FX59">
            <v>72</v>
          </cell>
          <cell r="FY59">
            <v>0.82309582309582308</v>
          </cell>
          <cell r="FZ59">
            <v>0.1769041769041769</v>
          </cell>
          <cell r="GQ59">
            <v>281</v>
          </cell>
          <cell r="GR59">
            <v>273</v>
          </cell>
          <cell r="GS59">
            <v>271</v>
          </cell>
          <cell r="GT59">
            <v>279</v>
          </cell>
          <cell r="GU59">
            <v>275</v>
          </cell>
          <cell r="GV59">
            <v>336</v>
          </cell>
          <cell r="GW59">
            <v>320</v>
          </cell>
          <cell r="GX59">
            <v>323</v>
          </cell>
          <cell r="GY59">
            <v>318</v>
          </cell>
          <cell r="GZ59">
            <v>324</v>
          </cell>
          <cell r="HA59">
            <v>328</v>
          </cell>
          <cell r="HB59">
            <v>317</v>
          </cell>
          <cell r="HC59">
            <v>327</v>
          </cell>
          <cell r="HD59">
            <v>360</v>
          </cell>
          <cell r="HE59">
            <v>337</v>
          </cell>
          <cell r="HF59">
            <v>325</v>
          </cell>
          <cell r="HG59">
            <v>317</v>
          </cell>
          <cell r="HH59">
            <v>330</v>
          </cell>
          <cell r="HI59">
            <v>337</v>
          </cell>
          <cell r="HJ59">
            <v>326</v>
          </cell>
          <cell r="HK59">
            <v>342</v>
          </cell>
          <cell r="HL59">
            <v>331</v>
          </cell>
          <cell r="HM59">
            <v>340</v>
          </cell>
          <cell r="HN59">
            <v>120</v>
          </cell>
          <cell r="HO59">
            <v>1.827875095201828E-2</v>
          </cell>
          <cell r="HP59">
            <v>10048</v>
          </cell>
          <cell r="HQ59">
            <v>8846</v>
          </cell>
          <cell r="HR59">
            <v>1202</v>
          </cell>
          <cell r="HS59">
            <v>0.11962579617834394</v>
          </cell>
        </row>
        <row r="60">
          <cell r="A60" t="str">
            <v>LA - Adur</v>
          </cell>
          <cell r="C60" t="str">
            <v>n/a</v>
          </cell>
          <cell r="D60" t="str">
            <v>n/a</v>
          </cell>
          <cell r="E60" t="str">
            <v>Adur</v>
          </cell>
          <cell r="G60" t="str">
            <v>n/a</v>
          </cell>
          <cell r="H60" t="str">
            <v>n/a</v>
          </cell>
          <cell r="I60" t="str">
            <v>n/a</v>
          </cell>
          <cell r="J60" t="str">
            <v>Coastal West Sussex</v>
          </cell>
          <cell r="K60" t="str">
            <v>n/a</v>
          </cell>
          <cell r="L60">
            <v>60000</v>
          </cell>
          <cell r="M60">
            <v>59800</v>
          </cell>
          <cell r="N60">
            <v>60300</v>
          </cell>
          <cell r="O60">
            <v>60600</v>
          </cell>
          <cell r="P60">
            <v>60700</v>
          </cell>
          <cell r="Q60">
            <v>61000</v>
          </cell>
          <cell r="R60">
            <v>61200</v>
          </cell>
          <cell r="S60">
            <v>61300</v>
          </cell>
          <cell r="T60">
            <v>61900</v>
          </cell>
          <cell r="U60">
            <v>62500</v>
          </cell>
          <cell r="V60">
            <v>3100</v>
          </cell>
          <cell r="W60">
            <v>3000</v>
          </cell>
          <cell r="X60">
            <v>3100</v>
          </cell>
          <cell r="Y60">
            <v>3200</v>
          </cell>
          <cell r="Z60">
            <v>3200</v>
          </cell>
          <cell r="AA60">
            <v>3400</v>
          </cell>
          <cell r="AB60">
            <v>3400</v>
          </cell>
          <cell r="AC60">
            <v>3600</v>
          </cell>
          <cell r="AD60">
            <v>3700</v>
          </cell>
          <cell r="AE60">
            <v>3800</v>
          </cell>
          <cell r="AF60">
            <v>0.89674681753889673</v>
          </cell>
          <cell r="AG60">
            <v>2.8288543140028287E-2</v>
          </cell>
          <cell r="AH60">
            <v>4.2432814710042434E-2</v>
          </cell>
          <cell r="AI60">
            <v>2.2630834512022632E-2</v>
          </cell>
          <cell r="AJ60">
            <v>4.2432814710042432E-3</v>
          </cell>
          <cell r="AK60">
            <v>8.4865629420084864E-3</v>
          </cell>
          <cell r="AL60">
            <v>0.10466760961810467</v>
          </cell>
          <cell r="AM60">
            <v>6645</v>
          </cell>
          <cell r="AN60">
            <v>0.6155003762227238</v>
          </cell>
          <cell r="AO60">
            <v>0.17757712565838976</v>
          </cell>
          <cell r="AP60">
            <v>0.20692249811888638</v>
          </cell>
          <cell r="AQ60">
            <v>682</v>
          </cell>
          <cell r="AR60">
            <v>718</v>
          </cell>
          <cell r="AS60">
            <v>679</v>
          </cell>
          <cell r="AT60">
            <v>775</v>
          </cell>
          <cell r="AU60">
            <v>758</v>
          </cell>
          <cell r="AV60">
            <v>43</v>
          </cell>
          <cell r="AW60">
            <v>42</v>
          </cell>
          <cell r="AX60">
            <v>29</v>
          </cell>
          <cell r="AY60">
            <v>37</v>
          </cell>
          <cell r="AZ60">
            <v>26</v>
          </cell>
          <cell r="BA60" t="str">
            <v>n/a</v>
          </cell>
          <cell r="BB60" t="str">
            <v>n/a</v>
          </cell>
          <cell r="BC60" t="str">
            <v>n/a</v>
          </cell>
          <cell r="BD60" t="str">
            <v>n/a</v>
          </cell>
          <cell r="BE60" t="str">
            <v>n/a</v>
          </cell>
          <cell r="BU60">
            <v>1614</v>
          </cell>
          <cell r="BV60">
            <v>637</v>
          </cell>
          <cell r="BW60">
            <v>0.39467162329615862</v>
          </cell>
          <cell r="BX60">
            <v>158</v>
          </cell>
          <cell r="BY60" t="str">
            <v>n/a</v>
          </cell>
          <cell r="BZ60">
            <v>1300</v>
          </cell>
          <cell r="CA60">
            <v>4.8224950847646254E-2</v>
          </cell>
          <cell r="CB60">
            <v>760</v>
          </cell>
          <cell r="CC60">
            <v>715</v>
          </cell>
          <cell r="CD60">
            <v>735</v>
          </cell>
          <cell r="CE60">
            <v>680</v>
          </cell>
          <cell r="CF60">
            <v>1900</v>
          </cell>
          <cell r="CG60">
            <v>0.182</v>
          </cell>
          <cell r="CH60">
            <v>1820</v>
          </cell>
          <cell r="CI60">
            <v>0.17499999999999999</v>
          </cell>
          <cell r="CJ60">
            <v>1960</v>
          </cell>
          <cell r="CK60">
            <v>0.187</v>
          </cell>
          <cell r="CL60">
            <v>1795</v>
          </cell>
          <cell r="CM60">
            <v>0.17199999999999999</v>
          </cell>
          <cell r="CN60">
            <v>1785</v>
          </cell>
          <cell r="CO60">
            <v>0.17</v>
          </cell>
          <cell r="CP60">
            <v>1720</v>
          </cell>
          <cell r="CQ60">
            <v>0.161</v>
          </cell>
          <cell r="CR60">
            <v>698</v>
          </cell>
          <cell r="CS60">
            <v>46</v>
          </cell>
          <cell r="CT60">
            <v>652</v>
          </cell>
          <cell r="CU60">
            <v>0.93409742120343842</v>
          </cell>
          <cell r="CV60">
            <v>255</v>
          </cell>
          <cell r="CW60">
            <v>329</v>
          </cell>
          <cell r="CX60">
            <v>0.3653295128939828</v>
          </cell>
          <cell r="CY60">
            <v>0.47134670487106017</v>
          </cell>
          <cell r="CZ60">
            <v>0.35438810491980105</v>
          </cell>
          <cell r="DA60">
            <v>0.42909619982695479</v>
          </cell>
          <cell r="DB60">
            <v>0.46630869412118858</v>
          </cell>
          <cell r="DC60">
            <v>0.54283985638246957</v>
          </cell>
          <cell r="DD60">
            <v>499</v>
          </cell>
          <cell r="DE60">
            <v>26.945999999999998</v>
          </cell>
          <cell r="DF60">
            <v>5.3999999999999999E-2</v>
          </cell>
          <cell r="DG60">
            <v>3.4000000000000002E-2</v>
          </cell>
          <cell r="DH60">
            <v>7.3999999999999996E-2</v>
          </cell>
          <cell r="DI60" t="str">
            <v>Sig better than Eng.</v>
          </cell>
          <cell r="DJ60">
            <v>612</v>
          </cell>
          <cell r="DK60">
            <v>612.07799999999997</v>
          </cell>
          <cell r="DL60">
            <v>7.8E-2</v>
          </cell>
          <cell r="DM60">
            <v>5.6999999999999995E-2</v>
          </cell>
          <cell r="DN60">
            <v>9.9000000000000005E-2</v>
          </cell>
          <cell r="DO60" t="str">
            <v>No Sig diff</v>
          </cell>
          <cell r="DP60">
            <v>536</v>
          </cell>
          <cell r="DQ60">
            <v>55.744</v>
          </cell>
          <cell r="DR60">
            <v>0.104</v>
          </cell>
          <cell r="DS60">
            <v>7.8E-2</v>
          </cell>
          <cell r="DT60">
            <v>0.13</v>
          </cell>
          <cell r="DU60" t="str">
            <v>No Sig diff</v>
          </cell>
          <cell r="DV60">
            <v>639</v>
          </cell>
          <cell r="DW60">
            <v>56.870999999999995</v>
          </cell>
          <cell r="DX60">
            <v>8.8999999999999996E-2</v>
          </cell>
          <cell r="DY60">
            <v>6.7000000000000004E-2</v>
          </cell>
          <cell r="DZ60">
            <v>0.11099999999999999</v>
          </cell>
          <cell r="EA60" t="str">
            <v>No Sig diff</v>
          </cell>
          <cell r="EB60">
            <v>517</v>
          </cell>
          <cell r="EC60">
            <v>87.89</v>
          </cell>
          <cell r="ED60">
            <v>0.17</v>
          </cell>
          <cell r="EE60">
            <v>0.13800000000000001</v>
          </cell>
          <cell r="EF60">
            <v>0.20200000000000001</v>
          </cell>
          <cell r="EG60" t="str">
            <v>No Sig diff</v>
          </cell>
          <cell r="EH60">
            <v>523</v>
          </cell>
          <cell r="EI60">
            <v>87.864000000000004</v>
          </cell>
          <cell r="EJ60">
            <v>0.16800000000000001</v>
          </cell>
          <cell r="EK60">
            <v>0.13600000000000001</v>
          </cell>
          <cell r="EL60">
            <v>0.2</v>
          </cell>
          <cell r="EM60" t="str">
            <v>No Sig diff</v>
          </cell>
          <cell r="EN60">
            <v>486</v>
          </cell>
          <cell r="EO60">
            <v>83.106000000000009</v>
          </cell>
          <cell r="EP60">
            <v>0.17100000000000001</v>
          </cell>
          <cell r="EQ60">
            <v>0.13800000000000001</v>
          </cell>
          <cell r="ER60">
            <v>0.20400000000000001</v>
          </cell>
          <cell r="ES60" t="str">
            <v>No Sig diff</v>
          </cell>
          <cell r="ET60">
            <v>518</v>
          </cell>
          <cell r="EU60">
            <v>89.095999999999989</v>
          </cell>
          <cell r="EV60">
            <v>0.17199999999999999</v>
          </cell>
          <cell r="EW60">
            <v>0.16869999999999999</v>
          </cell>
          <cell r="EX60">
            <v>0.20499999999999999</v>
          </cell>
          <cell r="EY60" t="str">
            <v>No Sig diff</v>
          </cell>
          <cell r="EZ60">
            <v>688</v>
          </cell>
          <cell r="FA60">
            <v>340</v>
          </cell>
          <cell r="FB60">
            <v>0.4941860465116279</v>
          </cell>
          <cell r="FC60">
            <v>0.45696323963020558</v>
          </cell>
          <cell r="FD60">
            <v>0.53147341749983013</v>
          </cell>
          <cell r="FE60">
            <v>688</v>
          </cell>
          <cell r="FF60">
            <v>34</v>
          </cell>
          <cell r="FG60">
            <v>137</v>
          </cell>
          <cell r="FH60">
            <v>22.175182481751833</v>
          </cell>
          <cell r="FI60">
            <v>0.34778875053671082</v>
          </cell>
          <cell r="FJ60">
            <v>654</v>
          </cell>
          <cell r="FK60">
            <v>370</v>
          </cell>
          <cell r="FL60">
            <v>0.56574923547400613</v>
          </cell>
          <cell r="FM60">
            <v>0.52748685508392112</v>
          </cell>
          <cell r="FN60">
            <v>0.60324373181793112</v>
          </cell>
          <cell r="FO60">
            <v>654</v>
          </cell>
          <cell r="FP60">
            <v>34</v>
          </cell>
          <cell r="FQ60">
            <v>130</v>
          </cell>
          <cell r="FR60">
            <v>23.223076923076924</v>
          </cell>
          <cell r="FS60">
            <v>0.31696832579185519</v>
          </cell>
          <cell r="FT60">
            <v>8055</v>
          </cell>
          <cell r="FU60">
            <v>7928</v>
          </cell>
          <cell r="FV60">
            <v>127</v>
          </cell>
          <cell r="FW60">
            <v>112</v>
          </cell>
          <cell r="FX60">
            <v>15</v>
          </cell>
          <cell r="FY60">
            <v>0.88188976377952755</v>
          </cell>
          <cell r="FZ60">
            <v>0.11811023622047244</v>
          </cell>
          <cell r="GQ60" t="str">
            <v>n/a</v>
          </cell>
          <cell r="GR60" t="str">
            <v>n/a</v>
          </cell>
          <cell r="GS60" t="str">
            <v>n/a</v>
          </cell>
          <cell r="GT60" t="str">
            <v>n/a</v>
          </cell>
          <cell r="GU60" t="str">
            <v>n/a</v>
          </cell>
          <cell r="GV60" t="str">
            <v>n/a</v>
          </cell>
          <cell r="GW60" t="str">
            <v>n/a</v>
          </cell>
          <cell r="GX60" t="str">
            <v>n/a</v>
          </cell>
          <cell r="GY60" t="str">
            <v>n/a</v>
          </cell>
          <cell r="GZ60" t="str">
            <v>n/a</v>
          </cell>
          <cell r="HA60" t="str">
            <v>n/a</v>
          </cell>
          <cell r="HB60" t="str">
            <v>n/a</v>
          </cell>
          <cell r="HC60" t="str">
            <v>n/a</v>
          </cell>
          <cell r="HD60" t="str">
            <v>n/a</v>
          </cell>
          <cell r="HE60" t="str">
            <v>n/a</v>
          </cell>
          <cell r="HF60" t="str">
            <v>n/a</v>
          </cell>
          <cell r="HG60" t="str">
            <v>n/a</v>
          </cell>
          <cell r="HH60" t="str">
            <v>n/a</v>
          </cell>
          <cell r="HI60" t="str">
            <v>n/a</v>
          </cell>
          <cell r="HJ60" t="str">
            <v>n/a</v>
          </cell>
          <cell r="HK60" t="str">
            <v>n/a</v>
          </cell>
          <cell r="HL60" t="str">
            <v>n/a</v>
          </cell>
          <cell r="HM60" t="str">
            <v>n/a</v>
          </cell>
          <cell r="HN60">
            <v>82</v>
          </cell>
          <cell r="HO60">
            <v>2.3196605374823195E-2</v>
          </cell>
          <cell r="HP60">
            <v>5509</v>
          </cell>
          <cell r="HQ60">
            <v>4805</v>
          </cell>
          <cell r="HR60">
            <v>704</v>
          </cell>
          <cell r="HS60">
            <v>0.12779088763840987</v>
          </cell>
        </row>
        <row r="61">
          <cell r="A61" t="str">
            <v>LA - Arun</v>
          </cell>
          <cell r="C61" t="str">
            <v>n/a</v>
          </cell>
          <cell r="D61" t="str">
            <v>n/a</v>
          </cell>
          <cell r="E61" t="str">
            <v>Arun</v>
          </cell>
          <cell r="G61" t="str">
            <v>n/a</v>
          </cell>
          <cell r="H61" t="str">
            <v>n/a</v>
          </cell>
          <cell r="I61" t="str">
            <v>n/a</v>
          </cell>
          <cell r="J61" t="str">
            <v>Coastal West Sussex</v>
          </cell>
          <cell r="K61" t="str">
            <v>n/a</v>
          </cell>
          <cell r="L61">
            <v>145100</v>
          </cell>
          <cell r="M61">
            <v>146000</v>
          </cell>
          <cell r="N61">
            <v>146800</v>
          </cell>
          <cell r="O61">
            <v>147700</v>
          </cell>
          <cell r="P61">
            <v>148500</v>
          </cell>
          <cell r="Q61">
            <v>148900</v>
          </cell>
          <cell r="R61">
            <v>149500</v>
          </cell>
          <cell r="S61">
            <v>149800</v>
          </cell>
          <cell r="T61">
            <v>151400</v>
          </cell>
          <cell r="U61">
            <v>152800</v>
          </cell>
          <cell r="V61">
            <v>6700</v>
          </cell>
          <cell r="W61">
            <v>6800</v>
          </cell>
          <cell r="X61">
            <v>6800</v>
          </cell>
          <cell r="Y61">
            <v>6900</v>
          </cell>
          <cell r="Z61">
            <v>7000</v>
          </cell>
          <cell r="AA61">
            <v>7300</v>
          </cell>
          <cell r="AB61">
            <v>7300</v>
          </cell>
          <cell r="AC61">
            <v>7500</v>
          </cell>
          <cell r="AD61">
            <v>7800</v>
          </cell>
          <cell r="AE61">
            <v>8000</v>
          </cell>
          <cell r="AF61">
            <v>0.87542315504400814</v>
          </cell>
          <cell r="AG61">
            <v>6.8381855111712936E-2</v>
          </cell>
          <cell r="AH61">
            <v>3.2498307379823968E-2</v>
          </cell>
          <cell r="AI61">
            <v>2.0311442112389978E-2</v>
          </cell>
          <cell r="AJ61">
            <v>2.7081922816519972E-3</v>
          </cell>
          <cell r="AK61">
            <v>2.031144211238998E-3</v>
          </cell>
          <cell r="AL61">
            <v>0.12457684495599188</v>
          </cell>
          <cell r="AM61">
            <v>14349</v>
          </cell>
          <cell r="AN61">
            <v>0.60241131786187185</v>
          </cell>
          <cell r="AO61">
            <v>0.12544428183148651</v>
          </cell>
          <cell r="AP61">
            <v>0.27214440030664155</v>
          </cell>
          <cell r="AQ61">
            <v>1435</v>
          </cell>
          <cell r="AR61">
            <v>1496</v>
          </cell>
          <cell r="AS61">
            <v>1567</v>
          </cell>
          <cell r="AT61">
            <v>1619</v>
          </cell>
          <cell r="AU61">
            <v>1493</v>
          </cell>
          <cell r="AV61">
            <v>109</v>
          </cell>
          <cell r="AW61">
            <v>76</v>
          </cell>
          <cell r="AX61">
            <v>101</v>
          </cell>
          <cell r="AY61">
            <v>76</v>
          </cell>
          <cell r="AZ61">
            <v>77</v>
          </cell>
          <cell r="BA61" t="str">
            <v>n/a</v>
          </cell>
          <cell r="BB61" t="str">
            <v>n/a</v>
          </cell>
          <cell r="BC61" t="str">
            <v>n/a</v>
          </cell>
          <cell r="BD61" t="str">
            <v>n/a</v>
          </cell>
          <cell r="BE61" t="str">
            <v>n/a</v>
          </cell>
          <cell r="BU61">
            <v>3519</v>
          </cell>
          <cell r="BV61">
            <v>1200</v>
          </cell>
          <cell r="BW61">
            <v>0.34100596760443308</v>
          </cell>
          <cell r="BX61">
            <v>332</v>
          </cell>
          <cell r="BY61" t="str">
            <v>n/a</v>
          </cell>
          <cell r="BZ61">
            <v>2878</v>
          </cell>
          <cell r="CA61">
            <v>4.3144544718616014E-2</v>
          </cell>
          <cell r="CB61">
            <v>1315</v>
          </cell>
          <cell r="CC61">
            <v>1375</v>
          </cell>
          <cell r="CD61">
            <v>1465</v>
          </cell>
          <cell r="CE61">
            <v>1430</v>
          </cell>
          <cell r="CF61">
            <v>4085</v>
          </cell>
          <cell r="CG61">
            <v>0.17299999999999999</v>
          </cell>
          <cell r="CH61">
            <v>3835</v>
          </cell>
          <cell r="CI61">
            <v>0.16300000000000001</v>
          </cell>
          <cell r="CJ61">
            <v>4050</v>
          </cell>
          <cell r="CK61">
            <v>0.17100000000000001</v>
          </cell>
          <cell r="CL61">
            <v>3845</v>
          </cell>
          <cell r="CM61">
            <v>0.16200000000000001</v>
          </cell>
          <cell r="CN61">
            <v>3880</v>
          </cell>
          <cell r="CO61">
            <v>0.16300000000000001</v>
          </cell>
          <cell r="CP61">
            <v>3620</v>
          </cell>
          <cell r="CQ61">
            <v>0.15</v>
          </cell>
          <cell r="CR61">
            <v>1513</v>
          </cell>
          <cell r="CS61">
            <v>57</v>
          </cell>
          <cell r="CT61">
            <v>1456</v>
          </cell>
          <cell r="CU61">
            <v>0.96232650363516192</v>
          </cell>
          <cell r="CV61">
            <v>562</v>
          </cell>
          <cell r="CW61">
            <v>696</v>
          </cell>
          <cell r="CX61">
            <v>0.37144745538664903</v>
          </cell>
          <cell r="CY61">
            <v>0.46001321877065432</v>
          </cell>
          <cell r="CZ61">
            <v>0.3613137692115862</v>
          </cell>
          <cell r="DA61">
            <v>0.41126429679228704</v>
          </cell>
          <cell r="DB61">
            <v>0.45245537548645942</v>
          </cell>
          <cell r="DC61">
            <v>0.5037042516950101</v>
          </cell>
          <cell r="DD61">
            <v>1142</v>
          </cell>
          <cell r="DE61">
            <v>102.78</v>
          </cell>
          <cell r="DF61">
            <v>0.09</v>
          </cell>
          <cell r="DG61">
            <v>7.2999999999999995E-2</v>
          </cell>
          <cell r="DH61">
            <v>0.107</v>
          </cell>
          <cell r="DI61" t="str">
            <v>No Sig diff</v>
          </cell>
          <cell r="DJ61">
            <v>1241</v>
          </cell>
          <cell r="DK61">
            <v>1241.085</v>
          </cell>
          <cell r="DL61">
            <v>8.5000000000000006E-2</v>
          </cell>
          <cell r="DM61">
            <v>6.9000000000000006E-2</v>
          </cell>
          <cell r="DN61">
            <v>0.10100000000000001</v>
          </cell>
          <cell r="DO61" t="str">
            <v>No Sig diff</v>
          </cell>
          <cell r="DP61">
            <v>1158</v>
          </cell>
          <cell r="DQ61">
            <v>119.27399999999999</v>
          </cell>
          <cell r="DR61">
            <v>0.10299999999999999</v>
          </cell>
          <cell r="DS61">
            <v>8.5999999999999993E-2</v>
          </cell>
          <cell r="DT61">
            <v>0.12</v>
          </cell>
          <cell r="DU61" t="str">
            <v>No Sig diff</v>
          </cell>
          <cell r="DV61">
            <v>1432</v>
          </cell>
          <cell r="DW61">
            <v>140.33600000000001</v>
          </cell>
          <cell r="DX61">
            <v>9.8000000000000004E-2</v>
          </cell>
          <cell r="DY61">
            <v>8.3000000000000004E-2</v>
          </cell>
          <cell r="DZ61">
            <v>0.113</v>
          </cell>
          <cell r="EA61" t="str">
            <v>No Sig diff</v>
          </cell>
          <cell r="EB61">
            <v>1236</v>
          </cell>
          <cell r="EC61">
            <v>196.524</v>
          </cell>
          <cell r="ED61">
            <v>0.159</v>
          </cell>
          <cell r="EE61">
            <v>0.13900000000000001</v>
          </cell>
          <cell r="EF61">
            <v>0.17899999999999999</v>
          </cell>
          <cell r="EG61" t="str">
            <v>Sig better than Eng.</v>
          </cell>
          <cell r="EH61">
            <v>1196</v>
          </cell>
          <cell r="EI61">
            <v>218.86799999999999</v>
          </cell>
          <cell r="EJ61">
            <v>0.183</v>
          </cell>
          <cell r="EK61">
            <v>0.161</v>
          </cell>
          <cell r="EL61">
            <v>0.20499999999999999</v>
          </cell>
          <cell r="EM61" t="str">
            <v>No Sig diff</v>
          </cell>
          <cell r="EN61">
            <v>1187</v>
          </cell>
          <cell r="EO61">
            <v>214.84699999999998</v>
          </cell>
          <cell r="EP61">
            <v>0.18099999999999999</v>
          </cell>
          <cell r="EQ61">
            <v>0.159</v>
          </cell>
          <cell r="ER61">
            <v>0.20299999999999999</v>
          </cell>
          <cell r="ES61" t="str">
            <v>No Sig diff</v>
          </cell>
          <cell r="ET61">
            <v>1199</v>
          </cell>
          <cell r="EU61">
            <v>183.447</v>
          </cell>
          <cell r="EV61">
            <v>0.153</v>
          </cell>
          <cell r="EW61">
            <v>0.13300000000000001</v>
          </cell>
          <cell r="EX61">
            <v>0.17299999999999999</v>
          </cell>
          <cell r="EY61" t="str">
            <v>Sig better than Eng.</v>
          </cell>
          <cell r="EZ61">
            <v>1542</v>
          </cell>
          <cell r="FA61">
            <v>715</v>
          </cell>
          <cell r="FB61">
            <v>0.46368352788586253</v>
          </cell>
          <cell r="FC61">
            <v>0.43891441899559364</v>
          </cell>
          <cell r="FD61">
            <v>0.48863313165333022</v>
          </cell>
          <cell r="FE61">
            <v>1542</v>
          </cell>
          <cell r="FF61">
            <v>33</v>
          </cell>
          <cell r="FG61">
            <v>308</v>
          </cell>
          <cell r="FH61">
            <v>22.461038961038945</v>
          </cell>
          <cell r="FI61">
            <v>0.31936245572609256</v>
          </cell>
          <cell r="FJ61">
            <v>1589</v>
          </cell>
          <cell r="FK61">
            <v>889</v>
          </cell>
          <cell r="FL61">
            <v>0.55947136563876654</v>
          </cell>
          <cell r="FM61">
            <v>0.53494728540455549</v>
          </cell>
          <cell r="FN61">
            <v>0.58370859145837573</v>
          </cell>
          <cell r="FO61">
            <v>1589</v>
          </cell>
          <cell r="FP61">
            <v>34</v>
          </cell>
          <cell r="FQ61">
            <v>317</v>
          </cell>
          <cell r="FR61">
            <v>23.64984227129338</v>
          </cell>
          <cell r="FS61">
            <v>0.30441640378548884</v>
          </cell>
          <cell r="FT61">
            <v>18212</v>
          </cell>
          <cell r="FU61">
            <v>17593</v>
          </cell>
          <cell r="FV61">
            <v>619</v>
          </cell>
          <cell r="FW61">
            <v>489</v>
          </cell>
          <cell r="FX61">
            <v>130</v>
          </cell>
          <cell r="FY61">
            <v>0.78998384491114704</v>
          </cell>
          <cell r="FZ61">
            <v>0.21001615508885299</v>
          </cell>
          <cell r="GQ61" t="str">
            <v>n/a</v>
          </cell>
          <cell r="GR61" t="str">
            <v>n/a</v>
          </cell>
          <cell r="GS61" t="str">
            <v>n/a</v>
          </cell>
          <cell r="GT61" t="str">
            <v>n/a</v>
          </cell>
          <cell r="GU61" t="str">
            <v>n/a</v>
          </cell>
          <cell r="GV61" t="str">
            <v>n/a</v>
          </cell>
          <cell r="GW61" t="str">
            <v>n/a</v>
          </cell>
          <cell r="GX61" t="str">
            <v>n/a</v>
          </cell>
          <cell r="GY61" t="str">
            <v>n/a</v>
          </cell>
          <cell r="GZ61" t="str">
            <v>n/a</v>
          </cell>
          <cell r="HA61" t="str">
            <v>n/a</v>
          </cell>
          <cell r="HB61" t="str">
            <v>n/a</v>
          </cell>
          <cell r="HC61" t="str">
            <v>n/a</v>
          </cell>
          <cell r="HD61" t="str">
            <v>n/a</v>
          </cell>
          <cell r="HE61" t="str">
            <v>n/a</v>
          </cell>
          <cell r="HF61" t="str">
            <v>n/a</v>
          </cell>
          <cell r="HG61" t="str">
            <v>n/a</v>
          </cell>
          <cell r="HH61" t="str">
            <v>n/a</v>
          </cell>
          <cell r="HI61" t="str">
            <v>n/a</v>
          </cell>
          <cell r="HJ61" t="str">
            <v>n/a</v>
          </cell>
          <cell r="HK61" t="str">
            <v>n/a</v>
          </cell>
          <cell r="HL61" t="str">
            <v>n/a</v>
          </cell>
          <cell r="HM61" t="str">
            <v>n/a</v>
          </cell>
          <cell r="HN61">
            <v>150</v>
          </cell>
          <cell r="HO61">
            <v>2.0319696559198051E-2</v>
          </cell>
          <cell r="HP61">
            <v>11783</v>
          </cell>
          <cell r="HQ61">
            <v>10387</v>
          </cell>
          <cell r="HR61">
            <v>1396</v>
          </cell>
          <cell r="HS61">
            <v>0.11847577017737418</v>
          </cell>
        </row>
        <row r="62">
          <cell r="A62" t="str">
            <v>LA - Chichester</v>
          </cell>
          <cell r="C62" t="str">
            <v>n/a</v>
          </cell>
          <cell r="D62" t="str">
            <v>n/a</v>
          </cell>
          <cell r="E62" t="str">
            <v>Chichester</v>
          </cell>
          <cell r="G62" t="str">
            <v>n/a</v>
          </cell>
          <cell r="H62" t="str">
            <v>n/a</v>
          </cell>
          <cell r="I62" t="str">
            <v>n/a</v>
          </cell>
          <cell r="J62" t="str">
            <v>Coastal West Sussex</v>
          </cell>
          <cell r="K62" t="str">
            <v>n/a</v>
          </cell>
          <cell r="L62">
            <v>108200</v>
          </cell>
          <cell r="M62">
            <v>108800</v>
          </cell>
          <cell r="N62">
            <v>109700</v>
          </cell>
          <cell r="O62">
            <v>110600</v>
          </cell>
          <cell r="P62">
            <v>111800</v>
          </cell>
          <cell r="Q62">
            <v>112500</v>
          </cell>
          <cell r="R62">
            <v>113400</v>
          </cell>
          <cell r="S62">
            <v>114000</v>
          </cell>
          <cell r="T62">
            <v>114500</v>
          </cell>
          <cell r="U62">
            <v>115300</v>
          </cell>
          <cell r="V62">
            <v>5000</v>
          </cell>
          <cell r="W62">
            <v>5000</v>
          </cell>
          <cell r="X62">
            <v>5200</v>
          </cell>
          <cell r="Y62">
            <v>5300</v>
          </cell>
          <cell r="Z62">
            <v>5500</v>
          </cell>
          <cell r="AA62">
            <v>5500</v>
          </cell>
          <cell r="AB62">
            <v>5700</v>
          </cell>
          <cell r="AC62">
            <v>5600</v>
          </cell>
          <cell r="AD62">
            <v>5900</v>
          </cell>
          <cell r="AE62">
            <v>5800</v>
          </cell>
          <cell r="AF62">
            <v>0.90707964601769908</v>
          </cell>
          <cell r="AG62">
            <v>3.1858407079646017E-2</v>
          </cell>
          <cell r="AH62">
            <v>2.743362831858407E-2</v>
          </cell>
          <cell r="AI62">
            <v>2.1238938053097345E-2</v>
          </cell>
          <cell r="AJ62">
            <v>8.8495575221238937E-3</v>
          </cell>
          <cell r="AK62">
            <v>3.5398230088495575E-3</v>
          </cell>
          <cell r="AL62">
            <v>9.1150442477876112E-2</v>
          </cell>
          <cell r="AM62">
            <v>11231</v>
          </cell>
          <cell r="AN62">
            <v>0.5725224824147449</v>
          </cell>
          <cell r="AO62">
            <v>0.20470127326150833</v>
          </cell>
          <cell r="AP62">
            <v>0.22277624432374676</v>
          </cell>
          <cell r="AQ62">
            <v>1131</v>
          </cell>
          <cell r="AR62">
            <v>1067</v>
          </cell>
          <cell r="AS62">
            <v>1134</v>
          </cell>
          <cell r="AT62">
            <v>1136</v>
          </cell>
          <cell r="AU62">
            <v>1046</v>
          </cell>
          <cell r="AV62">
            <v>59</v>
          </cell>
          <cell r="AW62">
            <v>55</v>
          </cell>
          <cell r="AX62">
            <v>48</v>
          </cell>
          <cell r="AY62">
            <v>51</v>
          </cell>
          <cell r="AZ62">
            <v>50</v>
          </cell>
          <cell r="BA62" t="str">
            <v>n/a</v>
          </cell>
          <cell r="BB62" t="str">
            <v>n/a</v>
          </cell>
          <cell r="BC62" t="str">
            <v>n/a</v>
          </cell>
          <cell r="BD62" t="str">
            <v>n/a</v>
          </cell>
          <cell r="BE62" t="str">
            <v>n/a</v>
          </cell>
          <cell r="BU62">
            <v>2288</v>
          </cell>
          <cell r="BV62">
            <v>731</v>
          </cell>
          <cell r="BW62">
            <v>0.31949300699300698</v>
          </cell>
          <cell r="BX62">
            <v>191</v>
          </cell>
          <cell r="BY62" t="str">
            <v>n/a</v>
          </cell>
          <cell r="BZ62">
            <v>1500</v>
          </cell>
          <cell r="CA62">
            <v>3.0091478093403949E-2</v>
          </cell>
          <cell r="CB62">
            <v>795</v>
          </cell>
          <cell r="CC62">
            <v>785</v>
          </cell>
          <cell r="CD62">
            <v>865</v>
          </cell>
          <cell r="CE62">
            <v>770</v>
          </cell>
          <cell r="CF62">
            <v>2305</v>
          </cell>
          <cell r="CG62">
            <v>0.126</v>
          </cell>
          <cell r="CH62">
            <v>2330</v>
          </cell>
          <cell r="CI62">
            <v>0.127</v>
          </cell>
          <cell r="CJ62">
            <v>2425</v>
          </cell>
          <cell r="CK62">
            <v>0.13100000000000001</v>
          </cell>
          <cell r="CL62">
            <v>2340</v>
          </cell>
          <cell r="CM62">
            <v>0.126</v>
          </cell>
          <cell r="CN62">
            <v>2230</v>
          </cell>
          <cell r="CO62">
            <v>0.12</v>
          </cell>
          <cell r="CP62">
            <v>2100</v>
          </cell>
          <cell r="CQ62">
            <v>0.113</v>
          </cell>
          <cell r="CR62">
            <v>919</v>
          </cell>
          <cell r="CS62">
            <v>67</v>
          </cell>
          <cell r="CT62">
            <v>852</v>
          </cell>
          <cell r="CU62">
            <v>0.92709466811751906</v>
          </cell>
          <cell r="CV62">
            <v>376</v>
          </cell>
          <cell r="CW62">
            <v>480</v>
          </cell>
          <cell r="CX62">
            <v>0.40914036996735581</v>
          </cell>
          <cell r="CY62">
            <v>0.52230685527747556</v>
          </cell>
          <cell r="CZ62">
            <v>0.40830966009695818</v>
          </cell>
          <cell r="DA62">
            <v>0.47484628838696685</v>
          </cell>
          <cell r="DB62">
            <v>0.52986598333819934</v>
          </cell>
          <cell r="DC62">
            <v>0.5963255922991616</v>
          </cell>
          <cell r="DD62">
            <v>991</v>
          </cell>
          <cell r="DE62">
            <v>99.100000000000009</v>
          </cell>
          <cell r="DF62">
            <v>0.1</v>
          </cell>
          <cell r="DG62">
            <v>8.1000000000000003E-2</v>
          </cell>
          <cell r="DH62">
            <v>0.11900000000000001</v>
          </cell>
          <cell r="DI62" t="str">
            <v>No Sig diff</v>
          </cell>
          <cell r="DJ62">
            <v>956</v>
          </cell>
          <cell r="DK62">
            <v>956.07899999999995</v>
          </cell>
          <cell r="DL62">
            <v>7.9000000000000001E-2</v>
          </cell>
          <cell r="DM62">
            <v>6.2E-2</v>
          </cell>
          <cell r="DN62">
            <v>9.6000000000000002E-2</v>
          </cell>
          <cell r="DO62" t="str">
            <v>No Sig diff</v>
          </cell>
          <cell r="DP62">
            <v>951</v>
          </cell>
          <cell r="DQ62">
            <v>65.619</v>
          </cell>
          <cell r="DR62">
            <v>6.9000000000000006E-2</v>
          </cell>
          <cell r="DS62">
            <v>5.3000000000000005E-2</v>
          </cell>
          <cell r="DT62">
            <v>8.5000000000000006E-2</v>
          </cell>
          <cell r="DU62" t="str">
            <v>Sig better than Eng.</v>
          </cell>
          <cell r="DV62">
            <v>988</v>
          </cell>
          <cell r="DW62">
            <v>83.98</v>
          </cell>
          <cell r="DX62">
            <v>8.5000000000000006E-2</v>
          </cell>
          <cell r="DY62">
            <v>6.8000000000000005E-2</v>
          </cell>
          <cell r="DZ62">
            <v>0.10200000000000001</v>
          </cell>
          <cell r="EA62" t="str">
            <v>No Sig diff</v>
          </cell>
          <cell r="EB62">
            <v>885</v>
          </cell>
          <cell r="EC62">
            <v>130.97999999999999</v>
          </cell>
          <cell r="ED62">
            <v>0.14799999999999999</v>
          </cell>
          <cell r="EE62">
            <v>0.125</v>
          </cell>
          <cell r="EF62">
            <v>0.17099999999999999</v>
          </cell>
          <cell r="EG62" t="str">
            <v>Sig better than Eng.</v>
          </cell>
          <cell r="EH62">
            <v>801</v>
          </cell>
          <cell r="EI62">
            <v>129.762</v>
          </cell>
          <cell r="EJ62">
            <v>0.16200000000000001</v>
          </cell>
          <cell r="EK62">
            <v>0.13600000000000001</v>
          </cell>
          <cell r="EL62">
            <v>0.188</v>
          </cell>
          <cell r="EM62" t="str">
            <v>Sig better than Eng.</v>
          </cell>
          <cell r="EN62">
            <v>821</v>
          </cell>
          <cell r="EO62">
            <v>127.255</v>
          </cell>
          <cell r="EP62">
            <v>0.155</v>
          </cell>
          <cell r="EQ62">
            <v>0.13</v>
          </cell>
          <cell r="ER62">
            <v>0.18</v>
          </cell>
          <cell r="ES62" t="str">
            <v>Sig better than Eng.</v>
          </cell>
          <cell r="ET62">
            <v>831</v>
          </cell>
          <cell r="EU62">
            <v>108.861</v>
          </cell>
          <cell r="EV62">
            <v>0.13100000000000001</v>
          </cell>
          <cell r="EW62">
            <v>0.10800000000000001</v>
          </cell>
          <cell r="EX62">
            <v>0.154</v>
          </cell>
          <cell r="EY62" t="str">
            <v>Sig better than Eng.</v>
          </cell>
          <cell r="EZ62">
            <v>1138</v>
          </cell>
          <cell r="FA62">
            <v>610</v>
          </cell>
          <cell r="FB62">
            <v>0.53602811950790863</v>
          </cell>
          <cell r="FC62">
            <v>0.50698089567473048</v>
          </cell>
          <cell r="FD62">
            <v>0.5648329269593596</v>
          </cell>
          <cell r="FE62">
            <v>1138</v>
          </cell>
          <cell r="FF62">
            <v>34</v>
          </cell>
          <cell r="FG62">
            <v>227</v>
          </cell>
          <cell r="FH62">
            <v>22.969162995594704</v>
          </cell>
          <cell r="FI62">
            <v>0.32443638248250872</v>
          </cell>
          <cell r="FJ62">
            <v>1158</v>
          </cell>
          <cell r="FK62">
            <v>658</v>
          </cell>
          <cell r="FL62">
            <v>0.56822107081174433</v>
          </cell>
          <cell r="FM62">
            <v>0.53951303675508588</v>
          </cell>
          <cell r="FN62">
            <v>0.59647797888690635</v>
          </cell>
          <cell r="FO62">
            <v>1158</v>
          </cell>
          <cell r="FP62">
            <v>34</v>
          </cell>
          <cell r="FQ62">
            <v>231</v>
          </cell>
          <cell r="FR62">
            <v>23.199134199134214</v>
          </cell>
          <cell r="FS62">
            <v>0.31767252355487607</v>
          </cell>
          <cell r="FT62">
            <v>17647</v>
          </cell>
          <cell r="FU62">
            <v>16217</v>
          </cell>
          <cell r="FV62">
            <v>1430</v>
          </cell>
          <cell r="FW62">
            <v>1212</v>
          </cell>
          <cell r="FX62">
            <v>218</v>
          </cell>
          <cell r="FY62">
            <v>0.84755244755244752</v>
          </cell>
          <cell r="FZ62">
            <v>0.15244755244755245</v>
          </cell>
          <cell r="GQ62" t="str">
            <v>n/a</v>
          </cell>
          <cell r="GR62" t="str">
            <v>n/a</v>
          </cell>
          <cell r="GS62" t="str">
            <v>n/a</v>
          </cell>
          <cell r="GT62" t="str">
            <v>n/a</v>
          </cell>
          <cell r="GU62" t="str">
            <v>n/a</v>
          </cell>
          <cell r="GV62" t="str">
            <v>n/a</v>
          </cell>
          <cell r="GW62" t="str">
            <v>n/a</v>
          </cell>
          <cell r="GX62" t="str">
            <v>n/a</v>
          </cell>
          <cell r="GY62" t="str">
            <v>n/a</v>
          </cell>
          <cell r="GZ62" t="str">
            <v>n/a</v>
          </cell>
          <cell r="HA62" t="str">
            <v>n/a</v>
          </cell>
          <cell r="HB62" t="str">
            <v>n/a</v>
          </cell>
          <cell r="HC62" t="str">
            <v>n/a</v>
          </cell>
          <cell r="HD62" t="str">
            <v>n/a</v>
          </cell>
          <cell r="HE62" t="str">
            <v>n/a</v>
          </cell>
          <cell r="HF62" t="str">
            <v>n/a</v>
          </cell>
          <cell r="HG62" t="str">
            <v>n/a</v>
          </cell>
          <cell r="HH62" t="str">
            <v>n/a</v>
          </cell>
          <cell r="HI62" t="str">
            <v>n/a</v>
          </cell>
          <cell r="HJ62" t="str">
            <v>n/a</v>
          </cell>
          <cell r="HK62" t="str">
            <v>n/a</v>
          </cell>
          <cell r="HL62" t="str">
            <v>n/a</v>
          </cell>
          <cell r="HM62" t="str">
            <v>n/a</v>
          </cell>
          <cell r="HN62">
            <v>89</v>
          </cell>
          <cell r="HO62">
            <v>1.5766164747564215E-2</v>
          </cell>
          <cell r="HP62">
            <v>8704</v>
          </cell>
          <cell r="HQ62">
            <v>7913</v>
          </cell>
          <cell r="HR62">
            <v>791</v>
          </cell>
          <cell r="HS62">
            <v>9.087775735294118E-2</v>
          </cell>
        </row>
        <row r="63">
          <cell r="A63" t="str">
            <v>LA - Crawley</v>
          </cell>
          <cell r="C63" t="str">
            <v>n/a</v>
          </cell>
          <cell r="D63" t="str">
            <v>n/a</v>
          </cell>
          <cell r="E63" t="str">
            <v>Crawley</v>
          </cell>
          <cell r="G63" t="str">
            <v>n/a</v>
          </cell>
          <cell r="H63" t="str">
            <v>n/a</v>
          </cell>
          <cell r="I63" t="str">
            <v>n/a</v>
          </cell>
          <cell r="J63" t="str">
            <v>Crawley</v>
          </cell>
          <cell r="K63" t="str">
            <v>n/a</v>
          </cell>
          <cell r="L63">
            <v>98900</v>
          </cell>
          <cell r="M63">
            <v>99700</v>
          </cell>
          <cell r="N63">
            <v>100700</v>
          </cell>
          <cell r="O63">
            <v>101600</v>
          </cell>
          <cell r="P63">
            <v>102800</v>
          </cell>
          <cell r="Q63">
            <v>103800</v>
          </cell>
          <cell r="R63">
            <v>105500</v>
          </cell>
          <cell r="S63">
            <v>107100</v>
          </cell>
          <cell r="T63">
            <v>108300</v>
          </cell>
          <cell r="U63">
            <v>109000</v>
          </cell>
          <cell r="V63">
            <v>6300</v>
          </cell>
          <cell r="W63">
            <v>6300</v>
          </cell>
          <cell r="X63">
            <v>6400</v>
          </cell>
          <cell r="Y63">
            <v>6600</v>
          </cell>
          <cell r="Z63">
            <v>6900</v>
          </cell>
          <cell r="AA63">
            <v>7200</v>
          </cell>
          <cell r="AB63">
            <v>7700</v>
          </cell>
          <cell r="AC63">
            <v>8200</v>
          </cell>
          <cell r="AD63">
            <v>8300</v>
          </cell>
          <cell r="AE63">
            <v>8400</v>
          </cell>
          <cell r="AF63">
            <v>0.62205700123915741</v>
          </cell>
          <cell r="AG63">
            <v>6.5675340768277565E-2</v>
          </cell>
          <cell r="AH63">
            <v>7.6827757125154897E-2</v>
          </cell>
          <cell r="AI63">
            <v>0.17348203221809169</v>
          </cell>
          <cell r="AJ63">
            <v>4.8946716232961589E-2</v>
          </cell>
          <cell r="AK63">
            <v>1.3011152416356878E-2</v>
          </cell>
          <cell r="AL63">
            <v>0.37608426270136308</v>
          </cell>
          <cell r="AM63">
            <v>14546</v>
          </cell>
          <cell r="AN63">
            <v>0.49099408772171044</v>
          </cell>
          <cell r="AO63">
            <v>0.31527567716210642</v>
          </cell>
          <cell r="AP63">
            <v>0.19373023511618315</v>
          </cell>
          <cell r="AQ63">
            <v>1576</v>
          </cell>
          <cell r="AR63">
            <v>1716</v>
          </cell>
          <cell r="AS63">
            <v>1718</v>
          </cell>
          <cell r="AT63">
            <v>1648</v>
          </cell>
          <cell r="AU63">
            <v>1646</v>
          </cell>
          <cell r="AV63">
            <v>73</v>
          </cell>
          <cell r="AW63">
            <v>80</v>
          </cell>
          <cell r="AX63">
            <v>79</v>
          </cell>
          <cell r="AY63">
            <v>71</v>
          </cell>
          <cell r="AZ63">
            <v>66</v>
          </cell>
          <cell r="BA63" t="str">
            <v>n/a</v>
          </cell>
          <cell r="BB63" t="str">
            <v>n/a</v>
          </cell>
          <cell r="BC63" t="str">
            <v>n/a</v>
          </cell>
          <cell r="BD63" t="str">
            <v>n/a</v>
          </cell>
          <cell r="BE63" t="str">
            <v>n/a</v>
          </cell>
          <cell r="BU63">
            <v>3293</v>
          </cell>
          <cell r="BV63">
            <v>1363</v>
          </cell>
          <cell r="BW63">
            <v>0.4139082903127847</v>
          </cell>
          <cell r="BX63">
            <v>248</v>
          </cell>
          <cell r="BY63" t="str">
            <v>n/a</v>
          </cell>
          <cell r="BZ63">
            <v>2084</v>
          </cell>
          <cell r="CA63">
            <v>4.8774779413485618E-2</v>
          </cell>
          <cell r="CB63">
            <v>1650</v>
          </cell>
          <cell r="CC63">
            <v>1650</v>
          </cell>
          <cell r="CD63">
            <v>1580</v>
          </cell>
          <cell r="CE63">
            <v>1475</v>
          </cell>
          <cell r="CF63">
            <v>3775</v>
          </cell>
          <cell r="CG63">
            <v>0.19</v>
          </cell>
          <cell r="CH63">
            <v>3775</v>
          </cell>
          <cell r="CI63">
            <v>0.187</v>
          </cell>
          <cell r="CJ63">
            <v>4090</v>
          </cell>
          <cell r="CK63">
            <v>0.19500000000000001</v>
          </cell>
          <cell r="CL63">
            <v>4165</v>
          </cell>
          <cell r="CM63">
            <v>0.19500000000000001</v>
          </cell>
          <cell r="CN63">
            <v>4165</v>
          </cell>
          <cell r="CO63">
            <v>0.19</v>
          </cell>
          <cell r="CP63">
            <v>3895</v>
          </cell>
          <cell r="CQ63">
            <v>0.17399999999999999</v>
          </cell>
          <cell r="CR63">
            <v>1542</v>
          </cell>
          <cell r="CS63">
            <v>48</v>
          </cell>
          <cell r="CT63">
            <v>1494</v>
          </cell>
          <cell r="CU63">
            <v>0.9688715953307393</v>
          </cell>
          <cell r="CV63">
            <v>540</v>
          </cell>
          <cell r="CW63">
            <v>809</v>
          </cell>
          <cell r="CX63">
            <v>0.35019455252918286</v>
          </cell>
          <cell r="CY63">
            <v>0.52464332036316474</v>
          </cell>
          <cell r="CZ63">
            <v>0.33746846270118325</v>
          </cell>
          <cell r="DA63">
            <v>0.3861338194092882</v>
          </cell>
          <cell r="DB63">
            <v>0.51615832316198718</v>
          </cell>
          <cell r="DC63">
            <v>0.56662746673729192</v>
          </cell>
          <cell r="DD63">
            <v>1032</v>
          </cell>
          <cell r="DE63">
            <v>86.688000000000002</v>
          </cell>
          <cell r="DF63">
            <v>8.4000000000000005E-2</v>
          </cell>
          <cell r="DG63">
            <v>6.7000000000000004E-2</v>
          </cell>
          <cell r="DH63">
            <v>0.10100000000000001</v>
          </cell>
          <cell r="DI63" t="str">
            <v>No Sig diff</v>
          </cell>
          <cell r="DJ63">
            <v>1178</v>
          </cell>
          <cell r="DK63">
            <v>1178.098</v>
          </cell>
          <cell r="DL63">
            <v>9.8000000000000004E-2</v>
          </cell>
          <cell r="DM63">
            <v>8.1000000000000003E-2</v>
          </cell>
          <cell r="DN63">
            <v>0.115</v>
          </cell>
          <cell r="DO63" t="str">
            <v>No Sig diff</v>
          </cell>
          <cell r="DP63">
            <v>998</v>
          </cell>
          <cell r="DQ63">
            <v>80.838000000000008</v>
          </cell>
          <cell r="DR63">
            <v>8.1000000000000003E-2</v>
          </cell>
          <cell r="DS63">
            <v>6.4000000000000001E-2</v>
          </cell>
          <cell r="DT63">
            <v>9.8000000000000004E-2</v>
          </cell>
          <cell r="DU63" t="str">
            <v>No Sig diff</v>
          </cell>
          <cell r="DV63">
            <v>1197</v>
          </cell>
          <cell r="DW63">
            <v>111.321</v>
          </cell>
          <cell r="DX63">
            <v>9.2999999999999999E-2</v>
          </cell>
          <cell r="DY63">
            <v>7.6999999999999999E-2</v>
          </cell>
          <cell r="DZ63">
            <v>0.109</v>
          </cell>
          <cell r="EA63" t="str">
            <v>No Sig diff</v>
          </cell>
          <cell r="EB63">
            <v>1000</v>
          </cell>
          <cell r="EC63">
            <v>190</v>
          </cell>
          <cell r="ED63">
            <v>0.19</v>
          </cell>
          <cell r="EE63">
            <v>0.16600000000000001</v>
          </cell>
          <cell r="EF63">
            <v>0.214</v>
          </cell>
          <cell r="EG63" t="str">
            <v>No Sig diff</v>
          </cell>
          <cell r="EH63">
            <v>1121</v>
          </cell>
          <cell r="EI63">
            <v>193.93299999999999</v>
          </cell>
          <cell r="EJ63">
            <v>0.17299999999999999</v>
          </cell>
          <cell r="EK63">
            <v>0.151</v>
          </cell>
          <cell r="EL63">
            <v>0.19499999999999998</v>
          </cell>
          <cell r="EM63" t="str">
            <v>No Sig diff</v>
          </cell>
          <cell r="EN63">
            <v>1131</v>
          </cell>
          <cell r="EO63">
            <v>212.62800000000001</v>
          </cell>
          <cell r="EP63">
            <v>0.188</v>
          </cell>
          <cell r="EQ63">
            <v>0.16500000000000001</v>
          </cell>
          <cell r="ER63">
            <v>0.21099999999999999</v>
          </cell>
          <cell r="ES63" t="str">
            <v>No Sig diff</v>
          </cell>
          <cell r="ET63">
            <v>1083</v>
          </cell>
          <cell r="EU63">
            <v>211.185</v>
          </cell>
          <cell r="EV63">
            <v>0.19500000000000001</v>
          </cell>
          <cell r="EW63">
            <v>0.17100000000000001</v>
          </cell>
          <cell r="EX63">
            <v>0.219</v>
          </cell>
          <cell r="EY63" t="str">
            <v>No Sig diff</v>
          </cell>
          <cell r="EZ63">
            <v>1440</v>
          </cell>
          <cell r="FA63">
            <v>693</v>
          </cell>
          <cell r="FB63">
            <v>0.48125000000000001</v>
          </cell>
          <cell r="FC63">
            <v>0.45552756226071045</v>
          </cell>
          <cell r="FD63">
            <v>0.50707220957012045</v>
          </cell>
          <cell r="FE63">
            <v>1440</v>
          </cell>
          <cell r="FF63">
            <v>34</v>
          </cell>
          <cell r="FG63">
            <v>288</v>
          </cell>
          <cell r="FH63">
            <v>22.378472222222197</v>
          </cell>
          <cell r="FI63">
            <v>0.34180964052287655</v>
          </cell>
          <cell r="FJ63">
            <v>1518</v>
          </cell>
          <cell r="FK63">
            <v>841</v>
          </cell>
          <cell r="FL63">
            <v>0.5540184453227931</v>
          </cell>
          <cell r="FM63">
            <v>0.52890795807318758</v>
          </cell>
          <cell r="FN63">
            <v>0.57885622396393932</v>
          </cell>
          <cell r="FO63">
            <v>1518</v>
          </cell>
          <cell r="FP63">
            <v>34</v>
          </cell>
          <cell r="FQ63">
            <v>303</v>
          </cell>
          <cell r="FR63">
            <v>22.61056105610562</v>
          </cell>
          <cell r="FS63">
            <v>0.33498349834983471</v>
          </cell>
          <cell r="FT63">
            <v>13718</v>
          </cell>
          <cell r="FU63">
            <v>13516</v>
          </cell>
          <cell r="FV63">
            <v>202</v>
          </cell>
          <cell r="FW63">
            <v>173</v>
          </cell>
          <cell r="FX63">
            <v>29</v>
          </cell>
          <cell r="FY63">
            <v>0.85643564356435642</v>
          </cell>
          <cell r="FZ63">
            <v>0.14356435643564355</v>
          </cell>
          <cell r="GQ63" t="str">
            <v>n/a</v>
          </cell>
          <cell r="GR63" t="str">
            <v>n/a</v>
          </cell>
          <cell r="GS63" t="str">
            <v>n/a</v>
          </cell>
          <cell r="GT63" t="str">
            <v>n/a</v>
          </cell>
          <cell r="GU63" t="str">
            <v>n/a</v>
          </cell>
          <cell r="GV63" t="str">
            <v>n/a</v>
          </cell>
          <cell r="GW63" t="str">
            <v>n/a</v>
          </cell>
          <cell r="GX63" t="str">
            <v>n/a</v>
          </cell>
          <cell r="GY63" t="str">
            <v>n/a</v>
          </cell>
          <cell r="GZ63" t="str">
            <v>n/a</v>
          </cell>
          <cell r="HA63" t="str">
            <v>n/a</v>
          </cell>
          <cell r="HB63" t="str">
            <v>n/a</v>
          </cell>
          <cell r="HC63" t="str">
            <v>n/a</v>
          </cell>
          <cell r="HD63" t="str">
            <v>n/a</v>
          </cell>
          <cell r="HE63" t="str">
            <v>n/a</v>
          </cell>
          <cell r="HF63" t="str">
            <v>n/a</v>
          </cell>
          <cell r="HG63" t="str">
            <v>n/a</v>
          </cell>
          <cell r="HH63" t="str">
            <v>n/a</v>
          </cell>
          <cell r="HI63" t="str">
            <v>n/a</v>
          </cell>
          <cell r="HJ63" t="str">
            <v>n/a</v>
          </cell>
          <cell r="HK63" t="str">
            <v>n/a</v>
          </cell>
          <cell r="HL63" t="str">
            <v>n/a</v>
          </cell>
          <cell r="HM63" t="str">
            <v>n/a</v>
          </cell>
          <cell r="HN63">
            <v>158</v>
          </cell>
          <cell r="HO63">
            <v>1.9602977667493797E-2</v>
          </cell>
          <cell r="HP63">
            <v>12900</v>
          </cell>
          <cell r="HQ63">
            <v>11233</v>
          </cell>
          <cell r="HR63">
            <v>1667</v>
          </cell>
          <cell r="HS63">
            <v>0.12922480620155039</v>
          </cell>
        </row>
        <row r="64">
          <cell r="A64" t="str">
            <v>LA - Horsham</v>
          </cell>
          <cell r="C64" t="str">
            <v>n/a</v>
          </cell>
          <cell r="D64" t="str">
            <v>n/a</v>
          </cell>
          <cell r="E64" t="str">
            <v>Horsham</v>
          </cell>
          <cell r="G64" t="str">
            <v>n/a</v>
          </cell>
          <cell r="H64" t="str">
            <v>n/a</v>
          </cell>
          <cell r="I64" t="str">
            <v>n/a</v>
          </cell>
          <cell r="J64" t="str">
            <v>Coastal/Horsham and Mid Sussex</v>
          </cell>
          <cell r="K64" t="str">
            <v>n/a</v>
          </cell>
          <cell r="L64">
            <v>124900</v>
          </cell>
          <cell r="M64">
            <v>125900</v>
          </cell>
          <cell r="N64">
            <v>127200</v>
          </cell>
          <cell r="O64">
            <v>128300</v>
          </cell>
          <cell r="P64">
            <v>129100</v>
          </cell>
          <cell r="Q64">
            <v>129800</v>
          </cell>
          <cell r="R64">
            <v>130900</v>
          </cell>
          <cell r="S64">
            <v>131500</v>
          </cell>
          <cell r="T64">
            <v>132200</v>
          </cell>
          <cell r="U64">
            <v>132900</v>
          </cell>
          <cell r="V64">
            <v>7000</v>
          </cell>
          <cell r="W64">
            <v>6800</v>
          </cell>
          <cell r="X64">
            <v>6700</v>
          </cell>
          <cell r="Y64">
            <v>7000</v>
          </cell>
          <cell r="Z64">
            <v>7000</v>
          </cell>
          <cell r="AA64">
            <v>7000</v>
          </cell>
          <cell r="AB64">
            <v>7100</v>
          </cell>
          <cell r="AC64">
            <v>7100</v>
          </cell>
          <cell r="AD64">
            <v>7200</v>
          </cell>
          <cell r="AE64">
            <v>7100</v>
          </cell>
          <cell r="AF64">
            <v>0.89580419580419579</v>
          </cell>
          <cell r="AG64">
            <v>3.2167832167832165E-2</v>
          </cell>
          <cell r="AH64">
            <v>4.1258741258741259E-2</v>
          </cell>
          <cell r="AI64">
            <v>2.5174825174825177E-2</v>
          </cell>
          <cell r="AJ64">
            <v>4.1958041958041958E-3</v>
          </cell>
          <cell r="AK64">
            <v>2.0979020979020979E-3</v>
          </cell>
          <cell r="AL64">
            <v>0.10279720279720279</v>
          </cell>
          <cell r="AM64">
            <v>14358</v>
          </cell>
          <cell r="AN64">
            <v>0.70344059061150577</v>
          </cell>
          <cell r="AO64">
            <v>0.1424293077030227</v>
          </cell>
          <cell r="AP64">
            <v>0.1541301016854715</v>
          </cell>
          <cell r="AQ64">
            <v>1368</v>
          </cell>
          <cell r="AR64">
            <v>1313</v>
          </cell>
          <cell r="AS64">
            <v>1308</v>
          </cell>
          <cell r="AT64">
            <v>1290</v>
          </cell>
          <cell r="AU64">
            <v>1261</v>
          </cell>
          <cell r="AV64">
            <v>49</v>
          </cell>
          <cell r="AW64">
            <v>35</v>
          </cell>
          <cell r="AX64">
            <v>21</v>
          </cell>
          <cell r="AY64">
            <v>34</v>
          </cell>
          <cell r="AZ64">
            <v>31</v>
          </cell>
          <cell r="BA64" t="str">
            <v>n/a</v>
          </cell>
          <cell r="BB64" t="str">
            <v>n/a</v>
          </cell>
          <cell r="BC64" t="str">
            <v>n/a</v>
          </cell>
          <cell r="BD64" t="str">
            <v>n/a</v>
          </cell>
          <cell r="BE64" t="str">
            <v>n/a</v>
          </cell>
          <cell r="BU64">
            <v>2460</v>
          </cell>
          <cell r="BV64">
            <v>693</v>
          </cell>
          <cell r="BW64">
            <v>0.2817073170731707</v>
          </cell>
          <cell r="BX64">
            <v>257</v>
          </cell>
          <cell r="BY64" t="str">
            <v>n/a</v>
          </cell>
          <cell r="BZ64">
            <v>1504</v>
          </cell>
          <cell r="CA64">
            <v>2.7383791854050217E-2</v>
          </cell>
          <cell r="CB64">
            <v>835</v>
          </cell>
          <cell r="CC64">
            <v>815</v>
          </cell>
          <cell r="CD64">
            <v>760</v>
          </cell>
          <cell r="CE64">
            <v>765</v>
          </cell>
          <cell r="CF64">
            <v>2155</v>
          </cell>
          <cell r="CG64">
            <v>9.1999999999999998E-2</v>
          </cell>
          <cell r="CH64">
            <v>2065</v>
          </cell>
          <cell r="CI64">
            <v>8.8999999999999996E-2</v>
          </cell>
          <cell r="CJ64">
            <v>2275</v>
          </cell>
          <cell r="CK64">
            <v>9.8000000000000004E-2</v>
          </cell>
          <cell r="CL64">
            <v>2195</v>
          </cell>
          <cell r="CM64">
            <v>9.5000000000000001E-2</v>
          </cell>
          <cell r="CN64">
            <v>2095</v>
          </cell>
          <cell r="CO64">
            <v>9.0999999999999998E-2</v>
          </cell>
          <cell r="CP64">
            <v>1885</v>
          </cell>
          <cell r="CQ64">
            <v>8.2000000000000003E-2</v>
          </cell>
          <cell r="CR64">
            <v>1311</v>
          </cell>
          <cell r="CS64">
            <v>36</v>
          </cell>
          <cell r="CT64">
            <v>1275</v>
          </cell>
          <cell r="CU64">
            <v>0.97254004576659037</v>
          </cell>
          <cell r="CV64">
            <v>591</v>
          </cell>
          <cell r="CW64">
            <v>772</v>
          </cell>
          <cell r="CX64">
            <v>0.45080091533180777</v>
          </cell>
          <cell r="CY64">
            <v>0.58886346300533943</v>
          </cell>
          <cell r="CZ64">
            <v>0.43630751092380765</v>
          </cell>
          <cell r="DA64">
            <v>0.49097042560875431</v>
          </cell>
          <cell r="DB64">
            <v>0.578384057897111</v>
          </cell>
          <cell r="DC64">
            <v>0.63196255578827432</v>
          </cell>
          <cell r="DD64">
            <v>1215</v>
          </cell>
          <cell r="DE64">
            <v>82.62</v>
          </cell>
          <cell r="DF64">
            <v>6.8000000000000005E-2</v>
          </cell>
          <cell r="DG64">
            <v>5.4000000000000006E-2</v>
          </cell>
          <cell r="DH64">
            <v>8.2000000000000003E-2</v>
          </cell>
          <cell r="DI64" t="str">
            <v>Sig better than Eng.</v>
          </cell>
          <cell r="DJ64">
            <v>1230</v>
          </cell>
          <cell r="DK64">
            <v>1230.078</v>
          </cell>
          <cell r="DL64">
            <v>7.8E-2</v>
          </cell>
          <cell r="DM64">
            <v>6.3E-2</v>
          </cell>
          <cell r="DN64">
            <v>9.2999999999999999E-2</v>
          </cell>
          <cell r="DO64" t="str">
            <v>No Sig diff</v>
          </cell>
          <cell r="DP64">
            <v>838</v>
          </cell>
          <cell r="DQ64">
            <v>70.39200000000001</v>
          </cell>
          <cell r="DR64">
            <v>8.4000000000000005E-2</v>
          </cell>
          <cell r="DS64">
            <v>6.5000000000000002E-2</v>
          </cell>
          <cell r="DT64">
            <v>0.10300000000000001</v>
          </cell>
          <cell r="DU64" t="str">
            <v>No Sig diff</v>
          </cell>
          <cell r="DV64">
            <v>1171</v>
          </cell>
          <cell r="DW64">
            <v>88.995999999999995</v>
          </cell>
          <cell r="DX64">
            <v>7.5999999999999998E-2</v>
          </cell>
          <cell r="DY64">
            <v>6.0999999999999999E-2</v>
          </cell>
          <cell r="DZ64">
            <v>9.0999999999999998E-2</v>
          </cell>
          <cell r="EA64" t="str">
            <v>Sig better than Eng.</v>
          </cell>
          <cell r="EB64">
            <v>1236</v>
          </cell>
          <cell r="EC64">
            <v>187.87199999999999</v>
          </cell>
          <cell r="ED64">
            <v>0.152</v>
          </cell>
          <cell r="EE64">
            <v>0.13200000000000001</v>
          </cell>
          <cell r="EF64">
            <v>0.17199999999999999</v>
          </cell>
          <cell r="EG64" t="str">
            <v>Sig better than Eng.</v>
          </cell>
          <cell r="EH64">
            <v>1267</v>
          </cell>
          <cell r="EI64">
            <v>184.982</v>
          </cell>
          <cell r="EJ64">
            <v>0.14599999999999999</v>
          </cell>
          <cell r="EK64">
            <v>0.127</v>
          </cell>
          <cell r="EL64">
            <v>0.16499999999999998</v>
          </cell>
          <cell r="EM64" t="str">
            <v>Sig better than Eng.</v>
          </cell>
          <cell r="EN64">
            <v>1196</v>
          </cell>
          <cell r="EO64">
            <v>149.5</v>
          </cell>
          <cell r="EP64">
            <v>0.125</v>
          </cell>
          <cell r="EQ64">
            <v>0.106</v>
          </cell>
          <cell r="ER64">
            <v>0.14399999999999999</v>
          </cell>
          <cell r="ES64" t="str">
            <v>Sig better than Eng.</v>
          </cell>
          <cell r="ET64">
            <v>1110</v>
          </cell>
          <cell r="EU64">
            <v>135.41999999999999</v>
          </cell>
          <cell r="EV64">
            <v>0.122</v>
          </cell>
          <cell r="EW64">
            <v>0.10299999999999999</v>
          </cell>
          <cell r="EX64">
            <v>0.14099999999999999</v>
          </cell>
          <cell r="EY64" t="str">
            <v>Sig better than Eng.</v>
          </cell>
          <cell r="EZ64">
            <v>1370</v>
          </cell>
          <cell r="FA64">
            <v>798</v>
          </cell>
          <cell r="FB64">
            <v>0.58248175182481754</v>
          </cell>
          <cell r="FC64">
            <v>0.55617303817911246</v>
          </cell>
          <cell r="FD64">
            <v>0.60832920372731425</v>
          </cell>
          <cell r="FE64">
            <v>1370</v>
          </cell>
          <cell r="FF64">
            <v>34</v>
          </cell>
          <cell r="FG64">
            <v>274</v>
          </cell>
          <cell r="FH64">
            <v>25.514598540145979</v>
          </cell>
          <cell r="FI64">
            <v>0.24957063117217709</v>
          </cell>
          <cell r="FJ64">
            <v>1498</v>
          </cell>
          <cell r="FK64">
            <v>936</v>
          </cell>
          <cell r="FL64">
            <v>0.62483311081441928</v>
          </cell>
          <cell r="FM64">
            <v>0.6000250238085405</v>
          </cell>
          <cell r="FN64">
            <v>0.64900259345652012</v>
          </cell>
          <cell r="FO64">
            <v>1498</v>
          </cell>
          <cell r="FP64">
            <v>34</v>
          </cell>
          <cell r="FQ64">
            <v>299</v>
          </cell>
          <cell r="FR64">
            <v>25.789297658862878</v>
          </cell>
          <cell r="FS64">
            <v>0.24149124532756239</v>
          </cell>
          <cell r="FT64">
            <v>21707</v>
          </cell>
          <cell r="FU64">
            <v>21226</v>
          </cell>
          <cell r="FV64">
            <v>481</v>
          </cell>
          <cell r="FW64">
            <v>408</v>
          </cell>
          <cell r="FX64">
            <v>73</v>
          </cell>
          <cell r="FY64">
            <v>0.84823284823284828</v>
          </cell>
          <cell r="FZ64">
            <v>0.15176715176715178</v>
          </cell>
          <cell r="GQ64" t="str">
            <v>n/a</v>
          </cell>
          <cell r="GR64" t="str">
            <v>n/a</v>
          </cell>
          <cell r="GS64" t="str">
            <v>n/a</v>
          </cell>
          <cell r="GT64" t="str">
            <v>n/a</v>
          </cell>
          <cell r="GU64" t="str">
            <v>n/a</v>
          </cell>
          <cell r="GV64" t="str">
            <v>n/a</v>
          </cell>
          <cell r="GW64" t="str">
            <v>n/a</v>
          </cell>
          <cell r="GX64" t="str">
            <v>n/a</v>
          </cell>
          <cell r="GY64" t="str">
            <v>n/a</v>
          </cell>
          <cell r="GZ64" t="str">
            <v>n/a</v>
          </cell>
          <cell r="HA64" t="str">
            <v>n/a</v>
          </cell>
          <cell r="HB64" t="str">
            <v>n/a</v>
          </cell>
          <cell r="HC64" t="str">
            <v>n/a</v>
          </cell>
          <cell r="HD64" t="str">
            <v>n/a</v>
          </cell>
          <cell r="HE64" t="str">
            <v>n/a</v>
          </cell>
          <cell r="HF64" t="str">
            <v>n/a</v>
          </cell>
          <cell r="HG64" t="str">
            <v>n/a</v>
          </cell>
          <cell r="HH64" t="str">
            <v>n/a</v>
          </cell>
          <cell r="HI64" t="str">
            <v>n/a</v>
          </cell>
          <cell r="HJ64" t="str">
            <v>n/a</v>
          </cell>
          <cell r="HK64" t="str">
            <v>n/a</v>
          </cell>
          <cell r="HL64" t="str">
            <v>n/a</v>
          </cell>
          <cell r="HM64" t="str">
            <v>n/a</v>
          </cell>
          <cell r="HN64">
            <v>120</v>
          </cell>
          <cell r="HO64">
            <v>1.6809076901526825E-2</v>
          </cell>
          <cell r="HP64">
            <v>11145</v>
          </cell>
          <cell r="HQ64">
            <v>10372</v>
          </cell>
          <cell r="HR64">
            <v>773</v>
          </cell>
          <cell r="HS64">
            <v>6.935845670704352E-2</v>
          </cell>
        </row>
        <row r="65">
          <cell r="A65" t="str">
            <v>LA - Mid Sussex</v>
          </cell>
          <cell r="C65" t="str">
            <v>n/a</v>
          </cell>
          <cell r="D65" t="str">
            <v>n/a</v>
          </cell>
          <cell r="E65" t="str">
            <v>Mid Sussex</v>
          </cell>
          <cell r="G65" t="str">
            <v>n/a</v>
          </cell>
          <cell r="H65" t="str">
            <v>n/a</v>
          </cell>
          <cell r="I65" t="str">
            <v>n/a</v>
          </cell>
          <cell r="J65" t="str">
            <v>Horsham and Mid Sussex</v>
          </cell>
          <cell r="K65" t="str">
            <v>n/a</v>
          </cell>
          <cell r="L65">
            <v>129500</v>
          </cell>
          <cell r="M65">
            <v>130500</v>
          </cell>
          <cell r="N65">
            <v>132100</v>
          </cell>
          <cell r="O65">
            <v>134000</v>
          </cell>
          <cell r="P65">
            <v>135700</v>
          </cell>
          <cell r="Q65">
            <v>137200</v>
          </cell>
          <cell r="R65">
            <v>138900</v>
          </cell>
          <cell r="S65">
            <v>140200</v>
          </cell>
          <cell r="T65">
            <v>141200</v>
          </cell>
          <cell r="U65">
            <v>142800</v>
          </cell>
          <cell r="V65">
            <v>7400</v>
          </cell>
          <cell r="W65">
            <v>7500</v>
          </cell>
          <cell r="X65">
            <v>7700</v>
          </cell>
          <cell r="Y65">
            <v>8000</v>
          </cell>
          <cell r="Z65">
            <v>8100</v>
          </cell>
          <cell r="AA65">
            <v>8100</v>
          </cell>
          <cell r="AB65">
            <v>8200</v>
          </cell>
          <cell r="AC65">
            <v>8300</v>
          </cell>
          <cell r="AD65">
            <v>8500</v>
          </cell>
          <cell r="AE65">
            <v>8500</v>
          </cell>
          <cell r="AF65">
            <v>0.87477531455961655</v>
          </cell>
          <cell r="AG65">
            <v>3.8945476333133611E-2</v>
          </cell>
          <cell r="AH65">
            <v>4.0143798681845415E-2</v>
          </cell>
          <cell r="AI65">
            <v>3.9544637507489516E-2</v>
          </cell>
          <cell r="AJ65">
            <v>5.3924505692031152E-3</v>
          </cell>
          <cell r="AK65">
            <v>5.9916117435590175E-4</v>
          </cell>
          <cell r="AL65">
            <v>0.12103055721989216</v>
          </cell>
          <cell r="AM65">
            <v>16498</v>
          </cell>
          <cell r="AN65">
            <v>0.71044975148502854</v>
          </cell>
          <cell r="AO65">
            <v>0.12456055279427809</v>
          </cell>
          <cell r="AP65">
            <v>0.16498969572069341</v>
          </cell>
          <cell r="AQ65">
            <v>1479</v>
          </cell>
          <cell r="AR65">
            <v>1527</v>
          </cell>
          <cell r="AS65">
            <v>1524</v>
          </cell>
          <cell r="AT65">
            <v>1545</v>
          </cell>
          <cell r="AU65">
            <v>1512</v>
          </cell>
          <cell r="AV65">
            <v>46</v>
          </cell>
          <cell r="AW65">
            <v>43</v>
          </cell>
          <cell r="AX65">
            <v>42</v>
          </cell>
          <cell r="AY65">
            <v>28</v>
          </cell>
          <cell r="AZ65">
            <v>39</v>
          </cell>
          <cell r="BA65" t="str">
            <v>n/a</v>
          </cell>
          <cell r="BB65" t="str">
            <v>n/a</v>
          </cell>
          <cell r="BC65" t="str">
            <v>n/a</v>
          </cell>
          <cell r="BD65" t="str">
            <v>n/a</v>
          </cell>
          <cell r="BE65" t="str">
            <v>n/a</v>
          </cell>
          <cell r="BU65">
            <v>2645</v>
          </cell>
          <cell r="BV65">
            <v>656</v>
          </cell>
          <cell r="BW65">
            <v>0.24801512287334593</v>
          </cell>
          <cell r="BX65">
            <v>222</v>
          </cell>
          <cell r="BY65" t="str">
            <v>n/a</v>
          </cell>
          <cell r="BZ65">
            <v>1360</v>
          </cell>
          <cell r="CA65">
            <v>2.3689665383476458E-2</v>
          </cell>
          <cell r="CB65">
            <v>740</v>
          </cell>
          <cell r="CC65">
            <v>770</v>
          </cell>
          <cell r="CD65">
            <v>785</v>
          </cell>
          <cell r="CE65">
            <v>691</v>
          </cell>
          <cell r="CF65">
            <v>2145</v>
          </cell>
          <cell r="CG65">
            <v>8.6999999999999994E-2</v>
          </cell>
          <cell r="CH65">
            <v>2025</v>
          </cell>
          <cell r="CI65">
            <v>8.2000000000000003E-2</v>
          </cell>
          <cell r="CJ65">
            <v>2235</v>
          </cell>
          <cell r="CK65">
            <v>8.8999999999999996E-2</v>
          </cell>
          <cell r="CL65">
            <v>2140</v>
          </cell>
          <cell r="CM65">
            <v>8.5000000000000006E-2</v>
          </cell>
          <cell r="CN65">
            <v>2130</v>
          </cell>
          <cell r="CO65">
            <v>8.4000000000000005E-2</v>
          </cell>
          <cell r="CP65">
            <v>1955</v>
          </cell>
          <cell r="CQ65">
            <v>7.6999999999999999E-2</v>
          </cell>
          <cell r="CR65">
            <v>1479</v>
          </cell>
          <cell r="CS65">
            <v>37</v>
          </cell>
          <cell r="CT65">
            <v>1442</v>
          </cell>
          <cell r="CU65">
            <v>0.9749830966869506</v>
          </cell>
          <cell r="CV65">
            <v>703</v>
          </cell>
          <cell r="CW65">
            <v>902</v>
          </cell>
          <cell r="CX65">
            <v>0.4753211629479378</v>
          </cell>
          <cell r="CY65">
            <v>0.6098715348208249</v>
          </cell>
          <cell r="CZ65">
            <v>0.46178547096975064</v>
          </cell>
          <cell r="DA65">
            <v>0.5133155359455297</v>
          </cell>
          <cell r="DB65">
            <v>0.60023666993052949</v>
          </cell>
          <cell r="DC65">
            <v>0.65013653831026252</v>
          </cell>
          <cell r="DD65">
            <v>1248</v>
          </cell>
          <cell r="DE65">
            <v>74.88</v>
          </cell>
          <cell r="DF65">
            <v>0.06</v>
          </cell>
          <cell r="DG65">
            <v>4.7E-2</v>
          </cell>
          <cell r="DH65">
            <v>7.2999999999999995E-2</v>
          </cell>
          <cell r="DI65" t="str">
            <v>Sig better than Eng.</v>
          </cell>
          <cell r="DJ65">
            <v>1357</v>
          </cell>
          <cell r="DK65">
            <v>1357.069</v>
          </cell>
          <cell r="DL65">
            <v>6.9000000000000006E-2</v>
          </cell>
          <cell r="DM65">
            <v>5.6000000000000008E-2</v>
          </cell>
          <cell r="DN65">
            <v>8.2000000000000003E-2</v>
          </cell>
          <cell r="DO65" t="str">
            <v>Sig better than Eng.</v>
          </cell>
          <cell r="DP65">
            <v>1386</v>
          </cell>
          <cell r="DQ65">
            <v>73.457999999999998</v>
          </cell>
          <cell r="DR65">
            <v>5.2999999999999999E-2</v>
          </cell>
          <cell r="DS65">
            <v>4.0999999999999995E-2</v>
          </cell>
          <cell r="DT65">
            <v>6.5000000000000002E-2</v>
          </cell>
          <cell r="DU65" t="str">
            <v>Sig better than Eng.</v>
          </cell>
          <cell r="DV65">
            <v>1334</v>
          </cell>
          <cell r="DW65">
            <v>92.046000000000006</v>
          </cell>
          <cell r="DX65">
            <v>6.9000000000000006E-2</v>
          </cell>
          <cell r="DY65">
            <v>5.5000000000000007E-2</v>
          </cell>
          <cell r="DZ65">
            <v>8.3000000000000004E-2</v>
          </cell>
          <cell r="EA65" t="str">
            <v>Sig better than Eng.</v>
          </cell>
          <cell r="EB65">
            <v>1270</v>
          </cell>
          <cell r="EC65">
            <v>180.33999999999997</v>
          </cell>
          <cell r="ED65">
            <v>0.14199999999999999</v>
          </cell>
          <cell r="EE65">
            <v>0.12299999999999998</v>
          </cell>
          <cell r="EF65">
            <v>0.16099999999999998</v>
          </cell>
          <cell r="EG65" t="str">
            <v>Sig better than Eng.</v>
          </cell>
          <cell r="EH65">
            <v>1176</v>
          </cell>
          <cell r="EI65">
            <v>145.82400000000001</v>
          </cell>
          <cell r="EJ65">
            <v>0.124</v>
          </cell>
          <cell r="EK65">
            <v>0.105</v>
          </cell>
          <cell r="EL65">
            <v>0.14299999999999999</v>
          </cell>
          <cell r="EM65" t="str">
            <v>Sig better than Eng.</v>
          </cell>
          <cell r="EN65">
            <v>1223</v>
          </cell>
          <cell r="EO65">
            <v>160.21299999999999</v>
          </cell>
          <cell r="EP65">
            <v>0.13100000000000001</v>
          </cell>
          <cell r="EQ65">
            <v>0.112</v>
          </cell>
          <cell r="ER65">
            <v>0.15</v>
          </cell>
          <cell r="ES65" t="str">
            <v>Sig better than Eng.</v>
          </cell>
          <cell r="ET65">
            <v>1192</v>
          </cell>
          <cell r="EU65">
            <v>135.88800000000001</v>
          </cell>
          <cell r="EV65">
            <v>0.114</v>
          </cell>
          <cell r="EW65">
            <v>9.6000000000000002E-2</v>
          </cell>
          <cell r="EX65">
            <v>0.13200000000000001</v>
          </cell>
          <cell r="EY65" t="str">
            <v>Sig better than Eng.</v>
          </cell>
          <cell r="EZ65">
            <v>1637</v>
          </cell>
          <cell r="FA65">
            <v>947</v>
          </cell>
          <cell r="FB65">
            <v>0.57849725106902872</v>
          </cell>
          <cell r="FC65">
            <v>0.55442004800520173</v>
          </cell>
          <cell r="FD65">
            <v>0.60220690618250572</v>
          </cell>
          <cell r="FE65">
            <v>1637</v>
          </cell>
          <cell r="FF65">
            <v>34</v>
          </cell>
          <cell r="FG65">
            <v>327</v>
          </cell>
          <cell r="FH65">
            <v>25.431192660550472</v>
          </cell>
          <cell r="FI65">
            <v>0.25202374527792726</v>
          </cell>
          <cell r="FJ65">
            <v>1614</v>
          </cell>
          <cell r="FK65">
            <v>1025</v>
          </cell>
          <cell r="FL65">
            <v>0.63506815365551428</v>
          </cell>
          <cell r="FM65">
            <v>0.61128697123654441</v>
          </cell>
          <cell r="FN65">
            <v>0.65820791506573717</v>
          </cell>
          <cell r="FO65">
            <v>1614</v>
          </cell>
          <cell r="FP65">
            <v>34</v>
          </cell>
          <cell r="FQ65">
            <v>322</v>
          </cell>
          <cell r="FR65">
            <v>26.602484472049689</v>
          </cell>
          <cell r="FS65">
            <v>0.21757398611618561</v>
          </cell>
          <cell r="FT65">
            <v>22188</v>
          </cell>
          <cell r="FU65">
            <v>21777</v>
          </cell>
          <cell r="FV65">
            <v>411</v>
          </cell>
          <cell r="FW65">
            <v>362</v>
          </cell>
          <cell r="FX65">
            <v>49</v>
          </cell>
          <cell r="FY65">
            <v>0.88077858880778592</v>
          </cell>
          <cell r="FZ65">
            <v>0.11922141119221411</v>
          </cell>
          <cell r="GQ65" t="str">
            <v>n/a</v>
          </cell>
          <cell r="GR65" t="str">
            <v>n/a</v>
          </cell>
          <cell r="GS65" t="str">
            <v>n/a</v>
          </cell>
          <cell r="GT65" t="str">
            <v>n/a</v>
          </cell>
          <cell r="GU65" t="str">
            <v>n/a</v>
          </cell>
          <cell r="GV65" t="str">
            <v>n/a</v>
          </cell>
          <cell r="GW65" t="str">
            <v>n/a</v>
          </cell>
          <cell r="GX65" t="str">
            <v>n/a</v>
          </cell>
          <cell r="GY65" t="str">
            <v>n/a</v>
          </cell>
          <cell r="GZ65" t="str">
            <v>n/a</v>
          </cell>
          <cell r="HA65" t="str">
            <v>n/a</v>
          </cell>
          <cell r="HB65" t="str">
            <v>n/a</v>
          </cell>
          <cell r="HC65" t="str">
            <v>n/a</v>
          </cell>
          <cell r="HD65" t="str">
            <v>n/a</v>
          </cell>
          <cell r="HE65" t="str">
            <v>n/a</v>
          </cell>
          <cell r="HF65" t="str">
            <v>n/a</v>
          </cell>
          <cell r="HG65" t="str">
            <v>n/a</v>
          </cell>
          <cell r="HH65" t="str">
            <v>n/a</v>
          </cell>
          <cell r="HI65" t="str">
            <v>n/a</v>
          </cell>
          <cell r="HJ65" t="str">
            <v>n/a</v>
          </cell>
          <cell r="HK65" t="str">
            <v>n/a</v>
          </cell>
          <cell r="HL65" t="str">
            <v>n/a</v>
          </cell>
          <cell r="HM65" t="str">
            <v>n/a</v>
          </cell>
          <cell r="HN65">
            <v>140</v>
          </cell>
          <cell r="HO65">
            <v>1.6794625719769675E-2</v>
          </cell>
          <cell r="HP65">
            <v>13214</v>
          </cell>
          <cell r="HQ65">
            <v>12411</v>
          </cell>
          <cell r="HR65">
            <v>803</v>
          </cell>
          <cell r="HS65">
            <v>6.0768881489329497E-2</v>
          </cell>
        </row>
        <row r="66">
          <cell r="A66" t="str">
            <v>LA - Worthing</v>
          </cell>
          <cell r="C66" t="str">
            <v>n/a</v>
          </cell>
          <cell r="D66" t="str">
            <v>n/a</v>
          </cell>
          <cell r="E66" t="str">
            <v>Worthing</v>
          </cell>
          <cell r="G66" t="str">
            <v>n/a</v>
          </cell>
          <cell r="H66" t="str">
            <v>n/a</v>
          </cell>
          <cell r="I66" t="str">
            <v>n/a</v>
          </cell>
          <cell r="J66" t="str">
            <v>Coastal West Sussex</v>
          </cell>
          <cell r="K66" t="str">
            <v>n/a</v>
          </cell>
          <cell r="L66">
            <v>99500</v>
          </cell>
          <cell r="M66">
            <v>100100</v>
          </cell>
          <cell r="N66">
            <v>100600</v>
          </cell>
          <cell r="O66">
            <v>101500</v>
          </cell>
          <cell r="P66">
            <v>102400</v>
          </cell>
          <cell r="Q66">
            <v>102800</v>
          </cell>
          <cell r="R66">
            <v>103800</v>
          </cell>
          <cell r="S66">
            <v>105000</v>
          </cell>
          <cell r="T66">
            <v>105700</v>
          </cell>
          <cell r="U66">
            <v>106100</v>
          </cell>
          <cell r="V66">
            <v>5400</v>
          </cell>
          <cell r="W66">
            <v>5400</v>
          </cell>
          <cell r="X66">
            <v>5500</v>
          </cell>
          <cell r="Y66">
            <v>5700</v>
          </cell>
          <cell r="Z66">
            <v>6000</v>
          </cell>
          <cell r="AA66">
            <v>6000</v>
          </cell>
          <cell r="AB66">
            <v>6100</v>
          </cell>
          <cell r="AC66">
            <v>6400</v>
          </cell>
          <cell r="AD66">
            <v>6300</v>
          </cell>
          <cell r="AE66">
            <v>6200</v>
          </cell>
          <cell r="AF66">
            <v>0.84554767533490938</v>
          </cell>
          <cell r="AG66">
            <v>3.2308904649330179E-2</v>
          </cell>
          <cell r="AH66">
            <v>6.3829787234042548E-2</v>
          </cell>
          <cell r="AI66">
            <v>4.5705279747832936E-2</v>
          </cell>
          <cell r="AJ66">
            <v>7.8802206461780922E-3</v>
          </cell>
          <cell r="AK66">
            <v>3.9401103230890461E-3</v>
          </cell>
          <cell r="AL66">
            <v>0.152876280535855</v>
          </cell>
          <cell r="AM66">
            <v>11895</v>
          </cell>
          <cell r="AN66">
            <v>0.63287095418242956</v>
          </cell>
          <cell r="AO66">
            <v>0.12761664564943254</v>
          </cell>
          <cell r="AP66">
            <v>0.23951240016813788</v>
          </cell>
          <cell r="AQ66">
            <v>1256</v>
          </cell>
          <cell r="AR66">
            <v>1187</v>
          </cell>
          <cell r="AS66">
            <v>1268</v>
          </cell>
          <cell r="AT66">
            <v>1194</v>
          </cell>
          <cell r="AU66">
            <v>1119</v>
          </cell>
          <cell r="AV66">
            <v>77</v>
          </cell>
          <cell r="AW66">
            <v>68</v>
          </cell>
          <cell r="AX66">
            <v>47</v>
          </cell>
          <cell r="AY66">
            <v>48</v>
          </cell>
          <cell r="AZ66">
            <v>42</v>
          </cell>
          <cell r="BA66" t="str">
            <v>n/a</v>
          </cell>
          <cell r="BB66" t="str">
            <v>n/a</v>
          </cell>
          <cell r="BC66" t="str">
            <v>n/a</v>
          </cell>
          <cell r="BD66" t="str">
            <v>n/a</v>
          </cell>
          <cell r="BE66" t="str">
            <v>n/a</v>
          </cell>
          <cell r="BU66">
            <v>2818</v>
          </cell>
          <cell r="BV66">
            <v>999</v>
          </cell>
          <cell r="BW66">
            <v>0.35450674237047552</v>
          </cell>
          <cell r="BX66">
            <v>287</v>
          </cell>
          <cell r="BY66" t="str">
            <v>n/a</v>
          </cell>
          <cell r="BZ66">
            <v>2346</v>
          </cell>
          <cell r="CA66">
            <v>4.9868208485672985E-2</v>
          </cell>
          <cell r="CB66">
            <v>1110</v>
          </cell>
          <cell r="CC66">
            <v>1095</v>
          </cell>
          <cell r="CD66">
            <v>1080</v>
          </cell>
          <cell r="CE66">
            <v>970</v>
          </cell>
          <cell r="CF66">
            <v>2775</v>
          </cell>
          <cell r="CG66">
            <v>0.157</v>
          </cell>
          <cell r="CH66">
            <v>2635</v>
          </cell>
          <cell r="CI66">
            <v>0.14799999999999999</v>
          </cell>
          <cell r="CJ66">
            <v>2915</v>
          </cell>
          <cell r="CK66">
            <v>0.161</v>
          </cell>
          <cell r="CL66">
            <v>2865</v>
          </cell>
          <cell r="CM66">
            <v>0.157</v>
          </cell>
          <cell r="CN66">
            <v>2740</v>
          </cell>
          <cell r="CO66">
            <v>0.152</v>
          </cell>
          <cell r="CP66">
            <v>2460</v>
          </cell>
          <cell r="CQ66">
            <v>0.13300000000000001</v>
          </cell>
          <cell r="CR66">
            <v>1193</v>
          </cell>
          <cell r="CS66">
            <v>54</v>
          </cell>
          <cell r="CT66">
            <v>1139</v>
          </cell>
          <cell r="CU66">
            <v>0.95473595976529757</v>
          </cell>
          <cell r="CV66">
            <v>471</v>
          </cell>
          <cell r="CW66">
            <v>617</v>
          </cell>
          <cell r="CX66">
            <v>0.39480301760268233</v>
          </cell>
          <cell r="CY66">
            <v>0.51718357082984079</v>
          </cell>
          <cell r="CZ66">
            <v>0.3852577509569724</v>
          </cell>
          <cell r="DA66">
            <v>0.4423649047111447</v>
          </cell>
          <cell r="DB66">
            <v>0.51267474607533392</v>
          </cell>
          <cell r="DC66">
            <v>0.57045138444004106</v>
          </cell>
          <cell r="DD66">
            <v>808</v>
          </cell>
          <cell r="DE66">
            <v>66.256</v>
          </cell>
          <cell r="DF66">
            <v>8.2000000000000003E-2</v>
          </cell>
          <cell r="DG66">
            <v>6.3E-2</v>
          </cell>
          <cell r="DH66">
            <v>0.10100000000000001</v>
          </cell>
          <cell r="DI66" t="str">
            <v>No Sig diff</v>
          </cell>
          <cell r="DJ66">
            <v>1027</v>
          </cell>
          <cell r="DK66">
            <v>1027.0840000000001</v>
          </cell>
          <cell r="DL66">
            <v>8.4000000000000005E-2</v>
          </cell>
          <cell r="DM66">
            <v>6.7000000000000004E-2</v>
          </cell>
          <cell r="DN66">
            <v>0.10100000000000001</v>
          </cell>
          <cell r="DO66" t="str">
            <v>No Sig diff</v>
          </cell>
          <cell r="DP66">
            <v>991</v>
          </cell>
          <cell r="DQ66">
            <v>74.325000000000003</v>
          </cell>
          <cell r="DR66">
            <v>7.4999999999999997E-2</v>
          </cell>
          <cell r="DS66">
            <v>5.8999999999999997E-2</v>
          </cell>
          <cell r="DT66">
            <v>9.0999999999999998E-2</v>
          </cell>
          <cell r="DU66" t="str">
            <v>Sig better than Eng.</v>
          </cell>
          <cell r="DV66">
            <v>1178</v>
          </cell>
          <cell r="DW66">
            <v>104.842</v>
          </cell>
          <cell r="DX66">
            <v>8.8999999999999996E-2</v>
          </cell>
          <cell r="DY66">
            <v>7.2999999999999995E-2</v>
          </cell>
          <cell r="DZ66">
            <v>0.105</v>
          </cell>
          <cell r="EA66" t="str">
            <v>No Sig diff</v>
          </cell>
          <cell r="EB66">
            <v>890</v>
          </cell>
          <cell r="EC66">
            <v>132.60999999999999</v>
          </cell>
          <cell r="ED66">
            <v>0.14899999999999999</v>
          </cell>
          <cell r="EE66">
            <v>0.126</v>
          </cell>
          <cell r="EF66">
            <v>0.17199999999999999</v>
          </cell>
          <cell r="EG66" t="str">
            <v>Sig better than Eng.</v>
          </cell>
          <cell r="EH66">
            <v>920</v>
          </cell>
          <cell r="EI66">
            <v>150.88</v>
          </cell>
          <cell r="EJ66">
            <v>0.16400000000000001</v>
          </cell>
          <cell r="EK66">
            <v>0.14000000000000001</v>
          </cell>
          <cell r="EL66">
            <v>0.188</v>
          </cell>
          <cell r="EM66" t="str">
            <v>Sig better than Eng.</v>
          </cell>
          <cell r="EN66">
            <v>884</v>
          </cell>
          <cell r="EO66">
            <v>130.83199999999999</v>
          </cell>
          <cell r="EP66">
            <v>0.14799999999999999</v>
          </cell>
          <cell r="EQ66">
            <v>0.125</v>
          </cell>
          <cell r="ER66">
            <v>0.17099999999999999</v>
          </cell>
          <cell r="ES66" t="str">
            <v>Sig better than Eng.</v>
          </cell>
          <cell r="ET66">
            <v>871</v>
          </cell>
          <cell r="EU66">
            <v>133.26300000000001</v>
          </cell>
          <cell r="EV66">
            <v>0.153</v>
          </cell>
          <cell r="EW66">
            <v>0.129</v>
          </cell>
          <cell r="EX66">
            <v>0.17699999999999999</v>
          </cell>
          <cell r="EY66" t="str">
            <v>Sig better than Eng.</v>
          </cell>
          <cell r="EZ66">
            <v>1297</v>
          </cell>
          <cell r="FA66">
            <v>705</v>
          </cell>
          <cell r="FB66">
            <v>0.54356206630686199</v>
          </cell>
          <cell r="FC66">
            <v>0.51636542013974696</v>
          </cell>
          <cell r="FD66">
            <v>0.57050142995468545</v>
          </cell>
          <cell r="FE66">
            <v>1297</v>
          </cell>
          <cell r="FF66">
            <v>34</v>
          </cell>
          <cell r="FG66">
            <v>259</v>
          </cell>
          <cell r="FH66">
            <v>24.980694980694977</v>
          </cell>
          <cell r="FI66">
            <v>0.265273677038383</v>
          </cell>
          <cell r="FJ66">
            <v>1223</v>
          </cell>
          <cell r="FK66">
            <v>746</v>
          </cell>
          <cell r="FL66">
            <v>0.60997547015535569</v>
          </cell>
          <cell r="FM66">
            <v>0.58233564728209375</v>
          </cell>
          <cell r="FN66">
            <v>0.63692658751275677</v>
          </cell>
          <cell r="FO66">
            <v>1223</v>
          </cell>
          <cell r="FP66">
            <v>34</v>
          </cell>
          <cell r="FQ66">
            <v>244</v>
          </cell>
          <cell r="FR66">
            <v>25.426229508196734</v>
          </cell>
          <cell r="FS66">
            <v>0.2521697203471549</v>
          </cell>
          <cell r="FT66">
            <v>15545</v>
          </cell>
          <cell r="FU66">
            <v>15138</v>
          </cell>
          <cell r="FV66">
            <v>407</v>
          </cell>
          <cell r="FW66">
            <v>335</v>
          </cell>
          <cell r="FX66">
            <v>72</v>
          </cell>
          <cell r="FY66">
            <v>0.82309582309582308</v>
          </cell>
          <cell r="FZ66">
            <v>0.1769041769041769</v>
          </cell>
          <cell r="GQ66" t="str">
            <v>n/a</v>
          </cell>
          <cell r="GR66" t="str">
            <v>n/a</v>
          </cell>
          <cell r="GS66" t="str">
            <v>n/a</v>
          </cell>
          <cell r="GT66" t="str">
            <v>n/a</v>
          </cell>
          <cell r="GU66" t="str">
            <v>n/a</v>
          </cell>
          <cell r="GV66" t="str">
            <v>n/a</v>
          </cell>
          <cell r="GW66" t="str">
            <v>n/a</v>
          </cell>
          <cell r="GX66" t="str">
            <v>n/a</v>
          </cell>
          <cell r="GY66" t="str">
            <v>n/a</v>
          </cell>
          <cell r="GZ66" t="str">
            <v>n/a</v>
          </cell>
          <cell r="HA66" t="str">
            <v>n/a</v>
          </cell>
          <cell r="HB66" t="str">
            <v>n/a</v>
          </cell>
          <cell r="HC66" t="str">
            <v>n/a</v>
          </cell>
          <cell r="HD66" t="str">
            <v>n/a</v>
          </cell>
          <cell r="HE66" t="str">
            <v>n/a</v>
          </cell>
          <cell r="HF66" t="str">
            <v>n/a</v>
          </cell>
          <cell r="HG66" t="str">
            <v>n/a</v>
          </cell>
          <cell r="HH66" t="str">
            <v>n/a</v>
          </cell>
          <cell r="HI66" t="str">
            <v>n/a</v>
          </cell>
          <cell r="HJ66" t="str">
            <v>n/a</v>
          </cell>
          <cell r="HK66" t="str">
            <v>n/a</v>
          </cell>
          <cell r="HL66" t="str">
            <v>n/a</v>
          </cell>
          <cell r="HM66" t="str">
            <v>n/a</v>
          </cell>
          <cell r="HN66">
            <v>114</v>
          </cell>
          <cell r="HO66">
            <v>1.7986746607762703E-2</v>
          </cell>
          <cell r="HP66">
            <v>9693</v>
          </cell>
          <cell r="HQ66">
            <v>8518</v>
          </cell>
          <cell r="HR66">
            <v>1175</v>
          </cell>
          <cell r="HS66">
            <v>0.12122150005158362</v>
          </cell>
        </row>
        <row r="67">
          <cell r="A67" t="str">
            <v>CCG - Coastal West Sussex</v>
          </cell>
          <cell r="C67" t="str">
            <v>n/a</v>
          </cell>
          <cell r="D67" t="str">
            <v>n/a</v>
          </cell>
          <cell r="E67" t="str">
            <v>n/a</v>
          </cell>
          <cell r="G67" t="str">
            <v>n/a</v>
          </cell>
          <cell r="H67" t="str">
            <v>n/a</v>
          </cell>
          <cell r="I67" t="str">
            <v>n/a</v>
          </cell>
          <cell r="J67" t="str">
            <v>Coastal West Sussex</v>
          </cell>
          <cell r="K67" t="str">
            <v>n/a</v>
          </cell>
          <cell r="L67">
            <v>460050</v>
          </cell>
          <cell r="M67">
            <v>462250</v>
          </cell>
          <cell r="N67">
            <v>465500</v>
          </cell>
          <cell r="O67">
            <v>468900</v>
          </cell>
          <cell r="P67">
            <v>472100</v>
          </cell>
          <cell r="Q67">
            <v>474150</v>
          </cell>
          <cell r="R67">
            <v>477450</v>
          </cell>
          <cell r="S67">
            <v>480050</v>
          </cell>
          <cell r="T67">
            <v>483500</v>
          </cell>
          <cell r="U67">
            <v>487050</v>
          </cell>
          <cell r="V67">
            <v>22500</v>
          </cell>
          <cell r="W67">
            <v>22550</v>
          </cell>
          <cell r="X67">
            <v>22850</v>
          </cell>
          <cell r="Y67">
            <v>23450</v>
          </cell>
          <cell r="Z67">
            <v>24000</v>
          </cell>
          <cell r="AA67">
            <v>24500</v>
          </cell>
          <cell r="AB67">
            <v>25050</v>
          </cell>
          <cell r="AC67">
            <v>25500</v>
          </cell>
          <cell r="AD67">
            <v>26150</v>
          </cell>
          <cell r="AE67">
            <v>26300</v>
          </cell>
          <cell r="AF67">
            <v>0.88260783927516251</v>
          </cell>
          <cell r="AG67">
            <v>4.1559976363994486E-2</v>
          </cell>
          <cell r="AH67">
            <v>4.0575142800866652E-2</v>
          </cell>
          <cell r="AI67">
            <v>2.6196572779200317E-2</v>
          </cell>
          <cell r="AJ67">
            <v>5.5150679535158559E-3</v>
          </cell>
          <cell r="AK67">
            <v>3.7423675398857593E-3</v>
          </cell>
          <cell r="AL67">
            <v>0.1173921607248375</v>
          </cell>
          <cell r="AM67">
            <v>49115</v>
          </cell>
          <cell r="AN67">
            <v>0.61329532729308767</v>
          </cell>
          <cell r="AO67">
            <v>0.15492212155146085</v>
          </cell>
          <cell r="AP67">
            <v>0.23178255115545149</v>
          </cell>
          <cell r="AQ67" t="str">
            <v>n/a</v>
          </cell>
          <cell r="AR67" t="str">
            <v>n/a</v>
          </cell>
          <cell r="AS67" t="str">
            <v>n/a</v>
          </cell>
          <cell r="AT67" t="str">
            <v>n/a</v>
          </cell>
          <cell r="AU67" t="str">
            <v>n/a</v>
          </cell>
          <cell r="AV67" t="str">
            <v>n/a</v>
          </cell>
          <cell r="AW67" t="str">
            <v>n/a</v>
          </cell>
          <cell r="AX67" t="str">
            <v>n/a</v>
          </cell>
          <cell r="AY67" t="str">
            <v>n/a</v>
          </cell>
          <cell r="AZ67" t="str">
            <v>n/a</v>
          </cell>
          <cell r="BA67">
            <v>309</v>
          </cell>
          <cell r="BB67">
            <v>6.7100977198697065E-2</v>
          </cell>
          <cell r="BC67">
            <v>6.0229519571288234E-2</v>
          </cell>
          <cell r="BD67">
            <v>7.469407551801005E-2</v>
          </cell>
          <cell r="BE67" t="str">
            <v>n/a</v>
          </cell>
          <cell r="BU67">
            <v>11170</v>
          </cell>
          <cell r="BV67">
            <v>3826</v>
          </cell>
          <cell r="BW67">
            <v>0.34252461951656221</v>
          </cell>
          <cell r="BX67">
            <v>1065</v>
          </cell>
          <cell r="BY67" t="str">
            <v>n/a</v>
          </cell>
          <cell r="BZ67">
            <v>8575</v>
          </cell>
          <cell r="CA67">
            <v>4.0440101489327585E-2</v>
          </cell>
          <cell r="CB67">
            <v>4350</v>
          </cell>
          <cell r="CC67">
            <v>4315</v>
          </cell>
          <cell r="CD67">
            <v>4420</v>
          </cell>
          <cell r="CE67">
            <v>4155</v>
          </cell>
          <cell r="CF67">
            <v>11415</v>
          </cell>
          <cell r="CG67">
            <v>0.14360585879634916</v>
          </cell>
          <cell r="CH67">
            <v>11590</v>
          </cell>
          <cell r="CI67">
            <v>0.13800628423473185</v>
          </cell>
          <cell r="CJ67">
            <v>12195</v>
          </cell>
          <cell r="CK67">
            <v>0.14769797347046273</v>
          </cell>
          <cell r="CL67">
            <v>11375</v>
          </cell>
          <cell r="CM67">
            <v>0.1396245559285412</v>
          </cell>
          <cell r="CN67">
            <v>11845</v>
          </cell>
          <cell r="CO67">
            <v>0.13588628557226645</v>
          </cell>
          <cell r="CP67">
            <v>10605</v>
          </cell>
          <cell r="CQ67">
            <v>0.13300000000000001</v>
          </cell>
          <cell r="DE67">
            <v>0</v>
          </cell>
          <cell r="DG67">
            <v>-1.7000000000000001E-2</v>
          </cell>
          <cell r="DH67">
            <v>1.7000000000000001E-2</v>
          </cell>
          <cell r="DI67" t="str">
            <v>Sig better than Eng.</v>
          </cell>
          <cell r="DK67">
            <v>0</v>
          </cell>
          <cell r="DO67" t="str">
            <v>Sig better than Eng.</v>
          </cell>
          <cell r="DQ67">
            <v>0</v>
          </cell>
          <cell r="DS67">
            <v>-2.5999999999999999E-2</v>
          </cell>
          <cell r="DT67">
            <v>2.5999999999999999E-2</v>
          </cell>
          <cell r="DU67" t="str">
            <v>Sig better than Eng.</v>
          </cell>
          <cell r="DW67">
            <v>0</v>
          </cell>
          <cell r="DY67">
            <v>-2.1999999999999999E-2</v>
          </cell>
          <cell r="DZ67">
            <v>2.1999999999999999E-2</v>
          </cell>
          <cell r="EA67" t="str">
            <v>Sig better than Eng.</v>
          </cell>
          <cell r="EC67">
            <v>0</v>
          </cell>
          <cell r="EE67">
            <v>-3.2000000000000001E-2</v>
          </cell>
          <cell r="EF67">
            <v>3.2000000000000001E-2</v>
          </cell>
          <cell r="EG67" t="str">
            <v>Sig better than Eng.</v>
          </cell>
          <cell r="EI67">
            <v>0</v>
          </cell>
          <cell r="EK67">
            <v>-3.2000000000000001E-2</v>
          </cell>
          <cell r="EL67">
            <v>3.2000000000000001E-2</v>
          </cell>
          <cell r="EM67" t="str">
            <v>Sig better than Eng.</v>
          </cell>
          <cell r="EN67">
            <v>0</v>
          </cell>
          <cell r="EO67" t="e">
            <v>#DIV/0!</v>
          </cell>
          <cell r="EP67" t="e">
            <v>#DIV/0!</v>
          </cell>
          <cell r="EQ67" t="e">
            <v>#DIV/0!</v>
          </cell>
          <cell r="ER67" t="e">
            <v>#DIV/0!</v>
          </cell>
          <cell r="ES67" t="e">
            <v>#DIV/0!</v>
          </cell>
          <cell r="ET67">
            <v>3697</v>
          </cell>
          <cell r="EU67">
            <v>541</v>
          </cell>
          <cell r="EV67">
            <v>0.14633486610765487</v>
          </cell>
          <cell r="EW67">
            <v>0.11333486610765486</v>
          </cell>
          <cell r="EX67">
            <v>0.17933486610765487</v>
          </cell>
          <cell r="EY67" t="str">
            <v>Sig better than Eng.</v>
          </cell>
          <cell r="EZ67">
            <v>5155</v>
          </cell>
          <cell r="FA67">
            <v>2669</v>
          </cell>
          <cell r="FB67">
            <v>0.51774975751697383</v>
          </cell>
          <cell r="FC67">
            <v>0.50410112467583079</v>
          </cell>
          <cell r="FD67">
            <v>0.53137195614294552</v>
          </cell>
          <cell r="FE67">
            <v>5155</v>
          </cell>
          <cell r="FF67">
            <v>34</v>
          </cell>
          <cell r="FG67">
            <v>1031</v>
          </cell>
          <cell r="FH67">
            <v>23.428709990300685</v>
          </cell>
          <cell r="FI67">
            <v>0.31092029440292102</v>
          </cell>
          <cell r="FJ67">
            <v>5159</v>
          </cell>
          <cell r="FK67">
            <v>2997</v>
          </cell>
          <cell r="FL67">
            <v>0.58092653615041678</v>
          </cell>
          <cell r="FM67">
            <v>0.56740729295358927</v>
          </cell>
          <cell r="FN67">
            <v>0.59432535110686424</v>
          </cell>
          <cell r="FO67">
            <v>5159</v>
          </cell>
          <cell r="FP67">
            <v>34</v>
          </cell>
          <cell r="FQ67">
            <v>1031</v>
          </cell>
          <cell r="FR67">
            <v>24.20368574199804</v>
          </cell>
          <cell r="FS67">
            <v>0.28812688994123414</v>
          </cell>
          <cell r="GQ67" t="str">
            <v>n/a</v>
          </cell>
          <cell r="GR67" t="str">
            <v>n/a</v>
          </cell>
          <cell r="GS67" t="str">
            <v>n/a</v>
          </cell>
          <cell r="GT67" t="str">
            <v>n/a</v>
          </cell>
          <cell r="GU67" t="str">
            <v>n/a</v>
          </cell>
          <cell r="GV67" t="str">
            <v>n/a</v>
          </cell>
          <cell r="GW67" t="str">
            <v>n/a</v>
          </cell>
          <cell r="GX67" t="str">
            <v>n/a</v>
          </cell>
          <cell r="GY67" t="str">
            <v>n/a</v>
          </cell>
          <cell r="GZ67" t="str">
            <v>n/a</v>
          </cell>
          <cell r="HA67" t="str">
            <v>n/a</v>
          </cell>
          <cell r="HB67" t="str">
            <v>n/a</v>
          </cell>
          <cell r="HC67" t="str">
            <v>n/a</v>
          </cell>
          <cell r="HD67" t="str">
            <v>n/a</v>
          </cell>
          <cell r="HE67" t="str">
            <v>n/a</v>
          </cell>
          <cell r="HF67" t="str">
            <v>n/a</v>
          </cell>
          <cell r="HG67" t="str">
            <v>n/a</v>
          </cell>
          <cell r="HH67" t="str">
            <v>n/a</v>
          </cell>
          <cell r="HI67" t="str">
            <v>n/a</v>
          </cell>
          <cell r="HJ67" t="str">
            <v>n/a</v>
          </cell>
          <cell r="HK67" t="str">
            <v>n/a</v>
          </cell>
          <cell r="HL67" t="str">
            <v>n/a</v>
          </cell>
          <cell r="HM67" t="str">
            <v>n/a</v>
          </cell>
          <cell r="HN67">
            <v>470</v>
          </cell>
          <cell r="HO67">
            <v>1.8530200283866899E-2</v>
          </cell>
          <cell r="HP67">
            <v>39541</v>
          </cell>
          <cell r="HQ67">
            <v>35196</v>
          </cell>
          <cell r="HR67">
            <v>4345</v>
          </cell>
          <cell r="HS67">
            <v>0.10988594117498293</v>
          </cell>
        </row>
        <row r="68">
          <cell r="A68" t="str">
            <v>CCG - Crawley</v>
          </cell>
          <cell r="C68" t="str">
            <v>n/a</v>
          </cell>
          <cell r="D68" t="str">
            <v>n/a</v>
          </cell>
          <cell r="E68" t="str">
            <v>n/a</v>
          </cell>
          <cell r="G68" t="str">
            <v>n/a</v>
          </cell>
          <cell r="H68" t="str">
            <v>n/a</v>
          </cell>
          <cell r="I68" t="str">
            <v>n/a</v>
          </cell>
          <cell r="J68" t="str">
            <v>Crawley</v>
          </cell>
          <cell r="K68" t="str">
            <v>n/a</v>
          </cell>
          <cell r="L68">
            <v>98900</v>
          </cell>
          <cell r="M68">
            <v>99700</v>
          </cell>
          <cell r="N68">
            <v>100750</v>
          </cell>
          <cell r="O68">
            <v>101600</v>
          </cell>
          <cell r="P68">
            <v>102850</v>
          </cell>
          <cell r="Q68">
            <v>103850</v>
          </cell>
          <cell r="R68">
            <v>105500</v>
          </cell>
          <cell r="S68">
            <v>107050</v>
          </cell>
          <cell r="T68">
            <v>108300</v>
          </cell>
          <cell r="U68">
            <v>108950</v>
          </cell>
          <cell r="V68">
            <v>6300</v>
          </cell>
          <cell r="W68">
            <v>6300</v>
          </cell>
          <cell r="X68">
            <v>6350</v>
          </cell>
          <cell r="Y68">
            <v>6600</v>
          </cell>
          <cell r="Z68">
            <v>6950</v>
          </cell>
          <cell r="AA68">
            <v>7200</v>
          </cell>
          <cell r="AB68">
            <v>7750</v>
          </cell>
          <cell r="AC68">
            <v>8150</v>
          </cell>
          <cell r="AD68">
            <v>8300</v>
          </cell>
          <cell r="AE68">
            <v>8350</v>
          </cell>
          <cell r="AF68">
            <v>0.62205700123915741</v>
          </cell>
          <cell r="AG68">
            <v>6.5675340768277565E-2</v>
          </cell>
          <cell r="AH68">
            <v>7.6827757125154897E-2</v>
          </cell>
          <cell r="AI68">
            <v>0.17348203221809169</v>
          </cell>
          <cell r="AJ68">
            <v>4.8946716232961589E-2</v>
          </cell>
          <cell r="AK68">
            <v>1.3011152416356878E-2</v>
          </cell>
          <cell r="AL68">
            <v>0.37794299876084264</v>
          </cell>
          <cell r="AM68">
            <v>14546</v>
          </cell>
          <cell r="AN68">
            <v>0.49099408772171044</v>
          </cell>
          <cell r="AO68">
            <v>0.31527567716210642</v>
          </cell>
          <cell r="AP68">
            <v>0.19373023511618315</v>
          </cell>
          <cell r="AQ68" t="str">
            <v>n/a</v>
          </cell>
          <cell r="AR68" t="str">
            <v>n/a</v>
          </cell>
          <cell r="AS68" t="str">
            <v>n/a</v>
          </cell>
          <cell r="AT68" t="str">
            <v>n/a</v>
          </cell>
          <cell r="AU68" t="str">
            <v>n/a</v>
          </cell>
          <cell r="AV68" t="str">
            <v>n/a</v>
          </cell>
          <cell r="AW68" t="str">
            <v>n/a</v>
          </cell>
          <cell r="AX68" t="str">
            <v>n/a</v>
          </cell>
          <cell r="AY68" t="str">
            <v>n/a</v>
          </cell>
          <cell r="AZ68" t="str">
            <v>n/a</v>
          </cell>
          <cell r="BA68">
            <v>128</v>
          </cell>
          <cell r="BB68">
            <v>7.8963602714373846E-2</v>
          </cell>
          <cell r="BC68">
            <v>6.6808520694543738E-2</v>
          </cell>
          <cell r="BD68">
            <v>9.3109517714746015E-2</v>
          </cell>
          <cell r="BE68" t="str">
            <v>n/a</v>
          </cell>
          <cell r="BU68">
            <v>3293</v>
          </cell>
          <cell r="BV68">
            <v>1363</v>
          </cell>
          <cell r="BW68">
            <v>0.4139082903127847</v>
          </cell>
          <cell r="BX68">
            <v>248</v>
          </cell>
          <cell r="BY68" t="str">
            <v>n/a</v>
          </cell>
          <cell r="BZ68">
            <v>2084</v>
          </cell>
          <cell r="CA68">
            <v>4.8774779413485618E-2</v>
          </cell>
          <cell r="CB68">
            <v>1650</v>
          </cell>
          <cell r="CC68">
            <v>1650</v>
          </cell>
          <cell r="CD68">
            <v>1580</v>
          </cell>
          <cell r="CE68">
            <v>1475</v>
          </cell>
          <cell r="CF68">
            <v>3775</v>
          </cell>
          <cell r="CG68">
            <v>0.19</v>
          </cell>
          <cell r="CH68">
            <v>3775</v>
          </cell>
          <cell r="CI68">
            <v>0.187</v>
          </cell>
          <cell r="CJ68">
            <v>4090</v>
          </cell>
          <cell r="CK68">
            <v>0.19500000000000001</v>
          </cell>
          <cell r="CL68">
            <v>4165</v>
          </cell>
          <cell r="CM68">
            <v>0.19500000000000001</v>
          </cell>
          <cell r="CN68">
            <v>4165</v>
          </cell>
          <cell r="CO68">
            <v>0.19</v>
          </cell>
          <cell r="CP68">
            <v>3895</v>
          </cell>
          <cell r="CQ68">
            <v>0.17399999999999999</v>
          </cell>
          <cell r="DE68">
            <v>0</v>
          </cell>
          <cell r="DG68">
            <v>-1.7000000000000001E-2</v>
          </cell>
          <cell r="DH68">
            <v>1.7000000000000001E-2</v>
          </cell>
          <cell r="DI68" t="str">
            <v>Sig better than Eng.</v>
          </cell>
          <cell r="DK68">
            <v>0</v>
          </cell>
          <cell r="DO68" t="str">
            <v>Sig better than Eng.</v>
          </cell>
          <cell r="DQ68">
            <v>0</v>
          </cell>
          <cell r="DS68">
            <v>-2.5999999999999999E-2</v>
          </cell>
          <cell r="DT68">
            <v>2.5999999999999999E-2</v>
          </cell>
          <cell r="DU68" t="str">
            <v>Sig better than Eng.</v>
          </cell>
          <cell r="DW68">
            <v>0</v>
          </cell>
          <cell r="DY68">
            <v>-2.1999999999999999E-2</v>
          </cell>
          <cell r="DZ68">
            <v>2.1999999999999999E-2</v>
          </cell>
          <cell r="EA68" t="str">
            <v>Sig better than Eng.</v>
          </cell>
          <cell r="EC68">
            <v>0</v>
          </cell>
          <cell r="EE68">
            <v>-3.2000000000000001E-2</v>
          </cell>
          <cell r="EF68">
            <v>3.2000000000000001E-2</v>
          </cell>
          <cell r="EG68" t="str">
            <v>Sig better than Eng.</v>
          </cell>
          <cell r="EI68">
            <v>0</v>
          </cell>
          <cell r="EK68">
            <v>-3.2000000000000001E-2</v>
          </cell>
          <cell r="EL68">
            <v>3.2000000000000001E-2</v>
          </cell>
          <cell r="EM68" t="str">
            <v>Sig better than Eng.</v>
          </cell>
          <cell r="EN68">
            <v>0</v>
          </cell>
          <cell r="EO68" t="e">
            <v>#DIV/0!</v>
          </cell>
          <cell r="EP68" t="e">
            <v>#DIV/0!</v>
          </cell>
          <cell r="EQ68" t="e">
            <v>#DIV/0!</v>
          </cell>
          <cell r="ER68" t="e">
            <v>#DIV/0!</v>
          </cell>
          <cell r="ES68" t="e">
            <v>#DIV/0!</v>
          </cell>
          <cell r="ET68">
            <v>1075</v>
          </cell>
          <cell r="EU68">
            <v>210</v>
          </cell>
          <cell r="EV68">
            <v>0.19534883720930232</v>
          </cell>
          <cell r="EW68">
            <v>0.16234883720930232</v>
          </cell>
          <cell r="EX68">
            <v>0.22834883720930232</v>
          </cell>
          <cell r="EY68" t="str">
            <v>No Sig diff</v>
          </cell>
          <cell r="EZ68">
            <v>1440</v>
          </cell>
          <cell r="FA68">
            <v>693</v>
          </cell>
          <cell r="FB68">
            <v>0.48125000000000001</v>
          </cell>
          <cell r="FC68">
            <v>0.45552756226071045</v>
          </cell>
          <cell r="FD68">
            <v>0.50707220957012045</v>
          </cell>
          <cell r="FE68">
            <v>1440</v>
          </cell>
          <cell r="FF68">
            <v>34</v>
          </cell>
          <cell r="FG68">
            <v>288</v>
          </cell>
          <cell r="FH68">
            <v>22.378472222222197</v>
          </cell>
          <cell r="FI68">
            <v>0.34180964052287655</v>
          </cell>
          <cell r="FJ68">
            <v>1518</v>
          </cell>
          <cell r="FK68">
            <v>841</v>
          </cell>
          <cell r="FL68">
            <v>0.5540184453227931</v>
          </cell>
          <cell r="FM68">
            <v>0.52890795807318758</v>
          </cell>
          <cell r="FN68">
            <v>0.57885622396393932</v>
          </cell>
          <cell r="FO68">
            <v>1518</v>
          </cell>
          <cell r="FP68">
            <v>34</v>
          </cell>
          <cell r="FQ68">
            <v>303</v>
          </cell>
          <cell r="FR68">
            <v>22.61056105610562</v>
          </cell>
          <cell r="FS68">
            <v>0.33498349834983471</v>
          </cell>
          <cell r="GQ68" t="str">
            <v>n/a</v>
          </cell>
          <cell r="GR68" t="str">
            <v>n/a</v>
          </cell>
          <cell r="GS68" t="str">
            <v>n/a</v>
          </cell>
          <cell r="GT68" t="str">
            <v>n/a</v>
          </cell>
          <cell r="GU68" t="str">
            <v>n/a</v>
          </cell>
          <cell r="GV68" t="str">
            <v>n/a</v>
          </cell>
          <cell r="GW68" t="str">
            <v>n/a</v>
          </cell>
          <cell r="GX68" t="str">
            <v>n/a</v>
          </cell>
          <cell r="GY68" t="str">
            <v>n/a</v>
          </cell>
          <cell r="GZ68" t="str">
            <v>n/a</v>
          </cell>
          <cell r="HA68" t="str">
            <v>n/a</v>
          </cell>
          <cell r="HB68" t="str">
            <v>n/a</v>
          </cell>
          <cell r="HC68" t="str">
            <v>n/a</v>
          </cell>
          <cell r="HD68" t="str">
            <v>n/a</v>
          </cell>
          <cell r="HE68" t="str">
            <v>n/a</v>
          </cell>
          <cell r="HF68" t="str">
            <v>n/a</v>
          </cell>
          <cell r="HG68" t="str">
            <v>n/a</v>
          </cell>
          <cell r="HH68" t="str">
            <v>n/a</v>
          </cell>
          <cell r="HI68" t="str">
            <v>n/a</v>
          </cell>
          <cell r="HJ68" t="str">
            <v>n/a</v>
          </cell>
          <cell r="HK68" t="str">
            <v>n/a</v>
          </cell>
          <cell r="HL68" t="str">
            <v>n/a</v>
          </cell>
          <cell r="HM68" t="str">
            <v>n/a</v>
          </cell>
          <cell r="HN68">
            <v>158</v>
          </cell>
          <cell r="HO68">
            <v>1.9602977667493797E-2</v>
          </cell>
          <cell r="HP68">
            <v>12900</v>
          </cell>
          <cell r="HQ68">
            <v>11233</v>
          </cell>
          <cell r="HR68">
            <v>1667</v>
          </cell>
          <cell r="HS68">
            <v>0.12922480620155039</v>
          </cell>
        </row>
        <row r="69">
          <cell r="A69" t="str">
            <v>CCG - Horsham and Mid Sussex</v>
          </cell>
          <cell r="C69" t="str">
            <v>n/a</v>
          </cell>
          <cell r="D69" t="str">
            <v>n/a</v>
          </cell>
          <cell r="E69" t="str">
            <v>n/a</v>
          </cell>
          <cell r="G69" t="str">
            <v>n/a</v>
          </cell>
          <cell r="H69" t="str">
            <v>n/a</v>
          </cell>
          <cell r="I69" t="str">
            <v>n/a</v>
          </cell>
          <cell r="J69" t="str">
            <v>Horsham and Mid Sussex</v>
          </cell>
          <cell r="K69" t="str">
            <v>n/a</v>
          </cell>
          <cell r="L69">
            <v>207050</v>
          </cell>
          <cell r="M69">
            <v>208850</v>
          </cell>
          <cell r="N69">
            <v>211150</v>
          </cell>
          <cell r="O69">
            <v>213800</v>
          </cell>
          <cell r="P69">
            <v>216050</v>
          </cell>
          <cell r="Q69">
            <v>218050</v>
          </cell>
          <cell r="R69">
            <v>220250</v>
          </cell>
          <cell r="S69">
            <v>221850</v>
          </cell>
          <cell r="T69">
            <v>223350</v>
          </cell>
          <cell r="U69">
            <v>225300</v>
          </cell>
          <cell r="V69">
            <v>12000</v>
          </cell>
          <cell r="W69">
            <v>11900</v>
          </cell>
          <cell r="X69">
            <v>12100</v>
          </cell>
          <cell r="Y69">
            <v>12550</v>
          </cell>
          <cell r="Z69">
            <v>12700</v>
          </cell>
          <cell r="AA69">
            <v>12750</v>
          </cell>
          <cell r="AB69">
            <v>12900</v>
          </cell>
          <cell r="AC69">
            <v>13050</v>
          </cell>
          <cell r="AD69">
            <v>13200</v>
          </cell>
          <cell r="AE69">
            <v>13200</v>
          </cell>
          <cell r="AF69">
            <v>0.87605525709900234</v>
          </cell>
          <cell r="AG69">
            <v>3.760552570990023E-2</v>
          </cell>
          <cell r="AH69">
            <v>4.2210283960092097E-2</v>
          </cell>
          <cell r="AI69">
            <v>3.7221795855717575E-2</v>
          </cell>
          <cell r="AJ69">
            <v>5.3722179585571758E-3</v>
          </cell>
          <cell r="AK69">
            <v>1.5349194167306216E-3</v>
          </cell>
          <cell r="AL69">
            <v>0.1239447429009977</v>
          </cell>
          <cell r="AM69">
            <v>25861</v>
          </cell>
          <cell r="AN69">
            <v>0.71114806078651249</v>
          </cell>
          <cell r="AO69">
            <v>0.12714125517188044</v>
          </cell>
          <cell r="AP69">
            <v>0.16171068404160704</v>
          </cell>
          <cell r="AQ69" t="str">
            <v>n/a</v>
          </cell>
          <cell r="AR69" t="str">
            <v>n/a</v>
          </cell>
          <cell r="AS69" t="str">
            <v>n/a</v>
          </cell>
          <cell r="AT69" t="str">
            <v>n/a</v>
          </cell>
          <cell r="AU69" t="str">
            <v>n/a</v>
          </cell>
          <cell r="AV69" t="str">
            <v>n/a</v>
          </cell>
          <cell r="AW69" t="str">
            <v>n/a</v>
          </cell>
          <cell r="AX69" t="str">
            <v>n/a</v>
          </cell>
          <cell r="AY69" t="str">
            <v>n/a</v>
          </cell>
          <cell r="AZ69" t="str">
            <v>n/a</v>
          </cell>
          <cell r="BA69">
            <v>123</v>
          </cell>
          <cell r="BB69">
            <v>5.3829321663019694E-2</v>
          </cell>
          <cell r="BC69">
            <v>4.5302287629886681E-2</v>
          </cell>
          <cell r="BD69">
            <v>6.3854009700301834E-2</v>
          </cell>
          <cell r="BE69" t="str">
            <v>n/a</v>
          </cell>
          <cell r="BU69">
            <v>4174</v>
          </cell>
          <cell r="BV69">
            <v>1090</v>
          </cell>
          <cell r="BW69">
            <v>0.26114039290848107</v>
          </cell>
          <cell r="BX69">
            <v>382</v>
          </cell>
          <cell r="BY69" t="str">
            <v>n/a</v>
          </cell>
          <cell r="BZ69">
            <v>2313</v>
          </cell>
          <cell r="CA69">
            <v>2.5460949969728659E-2</v>
          </cell>
          <cell r="CB69">
            <v>1205</v>
          </cell>
          <cell r="CC69">
            <v>1240</v>
          </cell>
          <cell r="CD69">
            <v>1270</v>
          </cell>
          <cell r="CE69">
            <v>1151</v>
          </cell>
          <cell r="CF69">
            <v>3485</v>
          </cell>
          <cell r="CG69">
            <v>8.3856315349003868E-2</v>
          </cell>
          <cell r="CH69">
            <v>3545</v>
          </cell>
          <cell r="CI69">
            <v>7.7140536236946833E-2</v>
          </cell>
          <cell r="CJ69">
            <v>3655</v>
          </cell>
          <cell r="CK69">
            <v>8.6298797649483214E-2</v>
          </cell>
          <cell r="CL69">
            <v>3290</v>
          </cell>
          <cell r="CM69">
            <v>8.3734355128317436E-2</v>
          </cell>
          <cell r="CN69">
            <v>3450</v>
          </cell>
          <cell r="CO69">
            <v>8.1674341600085673E-2</v>
          </cell>
          <cell r="CP69">
            <v>3180</v>
          </cell>
          <cell r="CQ69">
            <v>7.8E-2</v>
          </cell>
          <cell r="DE69">
            <v>0</v>
          </cell>
          <cell r="DG69">
            <v>-1.7000000000000001E-2</v>
          </cell>
          <cell r="DH69">
            <v>1.7000000000000001E-2</v>
          </cell>
          <cell r="DI69" t="str">
            <v>Sig better than Eng.</v>
          </cell>
          <cell r="DK69">
            <v>0</v>
          </cell>
          <cell r="DO69" t="str">
            <v>Sig better than Eng.</v>
          </cell>
          <cell r="DQ69">
            <v>0</v>
          </cell>
          <cell r="DS69">
            <v>-2.5999999999999999E-2</v>
          </cell>
          <cell r="DT69">
            <v>2.5999999999999999E-2</v>
          </cell>
          <cell r="DU69" t="str">
            <v>Sig better than Eng.</v>
          </cell>
          <cell r="DW69">
            <v>0</v>
          </cell>
          <cell r="DY69">
            <v>-2.1999999999999999E-2</v>
          </cell>
          <cell r="DZ69">
            <v>2.1999999999999999E-2</v>
          </cell>
          <cell r="EA69" t="str">
            <v>Sig better than Eng.</v>
          </cell>
          <cell r="EC69">
            <v>0</v>
          </cell>
          <cell r="EE69">
            <v>-3.2000000000000001E-2</v>
          </cell>
          <cell r="EF69">
            <v>3.2000000000000001E-2</v>
          </cell>
          <cell r="EG69" t="str">
            <v>Sig better than Eng.</v>
          </cell>
          <cell r="EI69">
            <v>0</v>
          </cell>
          <cell r="EK69">
            <v>-3.2000000000000001E-2</v>
          </cell>
          <cell r="EL69">
            <v>3.2000000000000001E-2</v>
          </cell>
          <cell r="EM69" t="str">
            <v>Sig better than Eng.</v>
          </cell>
          <cell r="EN69">
            <v>0</v>
          </cell>
          <cell r="EO69" t="e">
            <v>#DIV/0!</v>
          </cell>
          <cell r="EP69" t="e">
            <v>#DIV/0!</v>
          </cell>
          <cell r="EQ69" t="e">
            <v>#DIV/0!</v>
          </cell>
          <cell r="ER69" t="e">
            <v>#DIV/0!</v>
          </cell>
          <cell r="ES69" t="e">
            <v>#DIV/0!</v>
          </cell>
          <cell r="ET69">
            <v>1894</v>
          </cell>
          <cell r="EU69">
            <v>228</v>
          </cell>
          <cell r="EV69">
            <v>0.12038014783526928</v>
          </cell>
          <cell r="EW69">
            <v>8.7380147835269276E-2</v>
          </cell>
          <cell r="EX69">
            <v>0.15338014783526926</v>
          </cell>
          <cell r="EY69" t="str">
            <v>Sig better than Eng.</v>
          </cell>
          <cell r="EZ69">
            <v>2517</v>
          </cell>
          <cell r="FA69">
            <v>1446</v>
          </cell>
          <cell r="FB69">
            <v>0.57449344457687723</v>
          </cell>
          <cell r="FC69">
            <v>0.55507898366826613</v>
          </cell>
          <cell r="FD69">
            <v>0.59368086740758585</v>
          </cell>
          <cell r="FE69">
            <v>2517</v>
          </cell>
          <cell r="FF69">
            <v>34</v>
          </cell>
          <cell r="FG69">
            <v>503</v>
          </cell>
          <cell r="FH69">
            <v>25.262425447316105</v>
          </cell>
          <cell r="FI69">
            <v>0.25698748684364398</v>
          </cell>
          <cell r="FJ69">
            <v>2577</v>
          </cell>
          <cell r="FK69">
            <v>1627</v>
          </cell>
          <cell r="FL69">
            <v>0.63135428793170356</v>
          </cell>
          <cell r="FM69">
            <v>0.61254508033958732</v>
          </cell>
          <cell r="FN69">
            <v>0.64977246639935593</v>
          </cell>
          <cell r="FO69">
            <v>2577</v>
          </cell>
          <cell r="FP69">
            <v>34</v>
          </cell>
          <cell r="FQ69">
            <v>515</v>
          </cell>
          <cell r="FR69">
            <v>26.021359223300998</v>
          </cell>
          <cell r="FS69">
            <v>0.23466590519702948</v>
          </cell>
          <cell r="GQ69" t="str">
            <v>n/a</v>
          </cell>
          <cell r="GR69" t="str">
            <v>n/a</v>
          </cell>
          <cell r="GS69" t="str">
            <v>n/a</v>
          </cell>
          <cell r="GT69" t="str">
            <v>n/a</v>
          </cell>
          <cell r="GU69" t="str">
            <v>n/a</v>
          </cell>
          <cell r="GV69" t="str">
            <v>n/a</v>
          </cell>
          <cell r="GW69" t="str">
            <v>n/a</v>
          </cell>
          <cell r="GX69" t="str">
            <v>n/a</v>
          </cell>
          <cell r="GY69" t="str">
            <v>n/a</v>
          </cell>
          <cell r="GZ69" t="str">
            <v>n/a</v>
          </cell>
          <cell r="HA69" t="str">
            <v>n/a</v>
          </cell>
          <cell r="HB69" t="str">
            <v>n/a</v>
          </cell>
          <cell r="HC69" t="str">
            <v>n/a</v>
          </cell>
          <cell r="HD69" t="str">
            <v>n/a</v>
          </cell>
          <cell r="HE69" t="str">
            <v>n/a</v>
          </cell>
          <cell r="HF69" t="str">
            <v>n/a</v>
          </cell>
          <cell r="HG69" t="str">
            <v>n/a</v>
          </cell>
          <cell r="HH69" t="str">
            <v>n/a</v>
          </cell>
          <cell r="HI69" t="str">
            <v>n/a</v>
          </cell>
          <cell r="HJ69" t="str">
            <v>n/a</v>
          </cell>
          <cell r="HK69" t="str">
            <v>n/a</v>
          </cell>
          <cell r="HL69" t="str">
            <v>n/a</v>
          </cell>
          <cell r="HM69" t="str">
            <v>n/a</v>
          </cell>
          <cell r="HN69">
            <v>225</v>
          </cell>
          <cell r="HO69">
            <v>1.7293059718699561E-2</v>
          </cell>
          <cell r="HP69">
            <v>20507</v>
          </cell>
          <cell r="HQ69">
            <v>19210</v>
          </cell>
          <cell r="HR69">
            <v>1297</v>
          </cell>
          <cell r="HS69">
            <v>6.3246696250060949E-2</v>
          </cell>
        </row>
        <row r="70">
          <cell r="A70" t="str">
            <v>Education Partnership Area - A</v>
          </cell>
          <cell r="C70" t="str">
            <v>n/a</v>
          </cell>
          <cell r="D70" t="str">
            <v>n/a</v>
          </cell>
          <cell r="E70" t="str">
            <v>n/a</v>
          </cell>
          <cell r="G70" t="str">
            <v>n/a</v>
          </cell>
          <cell r="H70" t="str">
            <v>n/a</v>
          </cell>
          <cell r="I70" t="str">
            <v>Education Partnership Area - A</v>
          </cell>
          <cell r="J70" t="str">
            <v>Coastal West Sussex</v>
          </cell>
          <cell r="K70" t="str">
            <v>n/a</v>
          </cell>
          <cell r="L70">
            <v>182350</v>
          </cell>
          <cell r="M70">
            <v>183400</v>
          </cell>
          <cell r="N70">
            <v>184450</v>
          </cell>
          <cell r="O70">
            <v>185750</v>
          </cell>
          <cell r="P70">
            <v>187300</v>
          </cell>
          <cell r="Q70">
            <v>188050</v>
          </cell>
          <cell r="R70">
            <v>189050</v>
          </cell>
          <cell r="S70">
            <v>189700</v>
          </cell>
          <cell r="T70">
            <v>191200</v>
          </cell>
          <cell r="U70">
            <v>192950</v>
          </cell>
          <cell r="V70">
            <v>8300</v>
          </cell>
          <cell r="W70">
            <v>8350</v>
          </cell>
          <cell r="X70">
            <v>8450</v>
          </cell>
          <cell r="Y70">
            <v>8700</v>
          </cell>
          <cell r="Z70">
            <v>8950</v>
          </cell>
          <cell r="AA70">
            <v>9250</v>
          </cell>
          <cell r="AB70">
            <v>9350</v>
          </cell>
          <cell r="AC70">
            <v>9450</v>
          </cell>
          <cell r="AD70">
            <v>9800</v>
          </cell>
          <cell r="AE70">
            <v>9950</v>
          </cell>
          <cell r="AF70">
            <v>0.88604898828541001</v>
          </cell>
          <cell r="AG70">
            <v>5.4845580404685838E-2</v>
          </cell>
          <cell r="AH70">
            <v>2.8221512247071354E-2</v>
          </cell>
          <cell r="AI70">
            <v>2.2364217252396165E-2</v>
          </cell>
          <cell r="AJ70">
            <v>6.3897763578274758E-3</v>
          </cell>
          <cell r="AK70">
            <v>3.1948881789137379E-3</v>
          </cell>
          <cell r="AL70">
            <v>0.11395101171458999</v>
          </cell>
          <cell r="AM70">
            <v>18292</v>
          </cell>
          <cell r="AN70">
            <v>0.58233107369341786</v>
          </cell>
          <cell r="AO70">
            <v>0.16909031270500766</v>
          </cell>
          <cell r="AP70">
            <v>0.24857861360157446</v>
          </cell>
          <cell r="AQ70" t="str">
            <v>n/a</v>
          </cell>
          <cell r="AR70" t="str">
            <v>n/a</v>
          </cell>
          <cell r="AS70" t="str">
            <v>n/a</v>
          </cell>
          <cell r="AT70" t="str">
            <v>n/a</v>
          </cell>
          <cell r="AU70" t="str">
            <v>n/a</v>
          </cell>
          <cell r="AV70" t="str">
            <v>n/a</v>
          </cell>
          <cell r="AW70" t="str">
            <v>n/a</v>
          </cell>
          <cell r="AX70" t="str">
            <v>n/a</v>
          </cell>
          <cell r="AY70" t="str">
            <v>n/a</v>
          </cell>
          <cell r="AZ70">
            <v>98</v>
          </cell>
          <cell r="BA70">
            <v>119</v>
          </cell>
          <cell r="BB70">
            <v>6.97538100820633E-2</v>
          </cell>
          <cell r="BC70">
            <v>5.8607749256263934E-2</v>
          </cell>
          <cell r="BD70">
            <v>8.2833118008409951E-2</v>
          </cell>
          <cell r="BE70" t="str">
            <v>n/a</v>
          </cell>
          <cell r="BU70">
            <v>4045</v>
          </cell>
          <cell r="BV70">
            <v>1341</v>
          </cell>
          <cell r="BW70">
            <v>0.3315203955500618</v>
          </cell>
          <cell r="BX70">
            <v>359</v>
          </cell>
          <cell r="BY70" t="str">
            <v>n/a</v>
          </cell>
          <cell r="BZ70">
            <v>3092</v>
          </cell>
          <cell r="CA70">
            <v>3.7113055585562875E-2</v>
          </cell>
          <cell r="CB70">
            <v>1485</v>
          </cell>
          <cell r="CC70">
            <v>1480</v>
          </cell>
          <cell r="CD70">
            <v>1620</v>
          </cell>
          <cell r="CE70">
            <v>1535</v>
          </cell>
          <cell r="CF70" t="str">
            <v>n/a</v>
          </cell>
          <cell r="CG70" t="str">
            <v>n/a</v>
          </cell>
          <cell r="CH70" t="str">
            <v>n/a</v>
          </cell>
          <cell r="CI70" t="str">
            <v>n/a</v>
          </cell>
          <cell r="CJ70" t="str">
            <v>n/a</v>
          </cell>
          <cell r="CK70" t="str">
            <v>n/a</v>
          </cell>
          <cell r="CL70" t="str">
            <v>n/a</v>
          </cell>
          <cell r="CM70" t="str">
            <v>n/a</v>
          </cell>
          <cell r="CN70">
            <v>4165</v>
          </cell>
          <cell r="CO70">
            <v>0.13771466314398942</v>
          </cell>
          <cell r="CP70">
            <v>3895</v>
          </cell>
          <cell r="CQ70">
            <v>0.12849893599607137</v>
          </cell>
          <cell r="DE70">
            <v>0</v>
          </cell>
          <cell r="DG70">
            <v>-1.7000000000000001E-2</v>
          </cell>
          <cell r="DH70">
            <v>1.7000000000000001E-2</v>
          </cell>
          <cell r="DI70" t="str">
            <v>Sig better than Eng.</v>
          </cell>
          <cell r="DK70">
            <v>0</v>
          </cell>
          <cell r="DO70" t="str">
            <v>Sig better than Eng.</v>
          </cell>
          <cell r="DQ70">
            <v>0</v>
          </cell>
          <cell r="DS70">
            <v>-2.5999999999999999E-2</v>
          </cell>
          <cell r="DT70">
            <v>2.5999999999999999E-2</v>
          </cell>
          <cell r="DU70" t="str">
            <v>Sig better than Eng.</v>
          </cell>
          <cell r="DV70">
            <v>1764</v>
          </cell>
          <cell r="DW70">
            <v>166</v>
          </cell>
          <cell r="DX70">
            <v>9.4104308390022678E-2</v>
          </cell>
          <cell r="DY70">
            <v>7.2104308390022687E-2</v>
          </cell>
          <cell r="DZ70">
            <v>0.11610430839002267</v>
          </cell>
          <cell r="EA70" t="str">
            <v>No Sig diff</v>
          </cell>
          <cell r="EC70">
            <v>0</v>
          </cell>
          <cell r="EE70">
            <v>-3.2000000000000001E-2</v>
          </cell>
          <cell r="EF70">
            <v>3.2000000000000001E-2</v>
          </cell>
          <cell r="EG70" t="str">
            <v>Sig better than Eng.</v>
          </cell>
          <cell r="EI70">
            <v>0</v>
          </cell>
          <cell r="EK70">
            <v>-3.2000000000000001E-2</v>
          </cell>
          <cell r="EL70">
            <v>3.2000000000000001E-2</v>
          </cell>
          <cell r="EM70" t="str">
            <v>Sig better than Eng.</v>
          </cell>
          <cell r="EO70">
            <v>0</v>
          </cell>
          <cell r="EQ70">
            <v>-3.3000000000000002E-2</v>
          </cell>
          <cell r="ER70">
            <v>3.3000000000000002E-2</v>
          </cell>
          <cell r="ES70" t="str">
            <v>Sig better than Eng.</v>
          </cell>
          <cell r="ET70">
            <v>1346</v>
          </cell>
          <cell r="EU70">
            <v>195.00000000000003</v>
          </cell>
          <cell r="EV70">
            <v>0.1448736998514116</v>
          </cell>
          <cell r="EW70">
            <v>0.1118736998514116</v>
          </cell>
          <cell r="EX70">
            <v>0.1778736998514116</v>
          </cell>
          <cell r="EY70" t="str">
            <v>Sig better than Eng.</v>
          </cell>
          <cell r="EZ70">
            <v>1955</v>
          </cell>
          <cell r="FA70">
            <v>929</v>
          </cell>
          <cell r="FB70">
            <v>0.4751918158567775</v>
          </cell>
          <cell r="FC70">
            <v>0.45312560281556069</v>
          </cell>
          <cell r="FD70">
            <v>0.49735533092044565</v>
          </cell>
          <cell r="FE70">
            <v>1955</v>
          </cell>
          <cell r="FF70">
            <v>33</v>
          </cell>
          <cell r="FG70">
            <v>391</v>
          </cell>
          <cell r="FH70">
            <v>22.069053708439903</v>
          </cell>
          <cell r="FI70">
            <v>0.33124079671394235</v>
          </cell>
          <cell r="FJ70">
            <v>1961</v>
          </cell>
          <cell r="FK70">
            <v>1078</v>
          </cell>
          <cell r="FL70">
            <v>0.5497195308516063</v>
          </cell>
          <cell r="FM70">
            <v>0.52762343707184223</v>
          </cell>
          <cell r="FN70">
            <v>0.57162121145926115</v>
          </cell>
          <cell r="FO70">
            <v>1961</v>
          </cell>
          <cell r="FP70">
            <v>34</v>
          </cell>
          <cell r="FQ70">
            <v>392</v>
          </cell>
          <cell r="FR70">
            <v>22.890306122448965</v>
          </cell>
          <cell r="FS70">
            <v>0.32675570228091277</v>
          </cell>
          <cell r="GQ70" t="str">
            <v>n/a</v>
          </cell>
          <cell r="GR70" t="str">
            <v>n/a</v>
          </cell>
          <cell r="GS70" t="str">
            <v>n/a</v>
          </cell>
          <cell r="GT70" t="str">
            <v>n/a</v>
          </cell>
          <cell r="GU70" t="str">
            <v>n/a</v>
          </cell>
          <cell r="GV70" t="str">
            <v>n/a</v>
          </cell>
          <cell r="GW70" t="str">
            <v>n/a</v>
          </cell>
          <cell r="GX70" t="str">
            <v>n/a</v>
          </cell>
          <cell r="GY70" t="str">
            <v>n/a</v>
          </cell>
          <cell r="GZ70" t="str">
            <v>n/a</v>
          </cell>
          <cell r="HA70" t="str">
            <v>n/a</v>
          </cell>
          <cell r="HB70" t="str">
            <v>n/a</v>
          </cell>
          <cell r="HC70" t="str">
            <v>n/a</v>
          </cell>
          <cell r="HD70" t="str">
            <v>n/a</v>
          </cell>
          <cell r="HE70" t="str">
            <v>n/a</v>
          </cell>
          <cell r="HF70" t="str">
            <v>n/a</v>
          </cell>
          <cell r="HG70" t="str">
            <v>n/a</v>
          </cell>
          <cell r="HH70" t="str">
            <v>n/a</v>
          </cell>
          <cell r="HI70" t="str">
            <v>n/a</v>
          </cell>
          <cell r="HJ70" t="str">
            <v>n/a</v>
          </cell>
          <cell r="HK70" t="str">
            <v>n/a</v>
          </cell>
          <cell r="HL70" t="str">
            <v>n/a</v>
          </cell>
          <cell r="HM70" t="str">
            <v>n/a</v>
          </cell>
          <cell r="HN70">
            <v>175</v>
          </cell>
          <cell r="HO70">
            <v>1.8660695244188525E-2</v>
          </cell>
          <cell r="HP70">
            <v>14691</v>
          </cell>
          <cell r="HQ70">
            <v>13198</v>
          </cell>
          <cell r="HR70">
            <v>1493</v>
          </cell>
          <cell r="HS70">
            <v>0.10162684636852495</v>
          </cell>
        </row>
        <row r="71">
          <cell r="A71" t="str">
            <v>Education Partnership Area - B</v>
          </cell>
          <cell r="C71" t="str">
            <v>n/a</v>
          </cell>
          <cell r="D71" t="str">
            <v>n/a</v>
          </cell>
          <cell r="E71" t="str">
            <v>n/a</v>
          </cell>
          <cell r="G71" t="str">
            <v>n/a</v>
          </cell>
          <cell r="H71" t="str">
            <v>n/a</v>
          </cell>
          <cell r="I71" t="str">
            <v>Education Partnership Area - B</v>
          </cell>
          <cell r="J71" t="str">
            <v>Coastal/Horsham and Mid Sussex</v>
          </cell>
          <cell r="K71" t="str">
            <v>n/a</v>
          </cell>
          <cell r="L71">
            <v>263500</v>
          </cell>
          <cell r="M71">
            <v>264550</v>
          </cell>
          <cell r="N71">
            <v>266350</v>
          </cell>
          <cell r="O71">
            <v>268100</v>
          </cell>
          <cell r="P71">
            <v>269550</v>
          </cell>
          <cell r="Q71">
            <v>270700</v>
          </cell>
          <cell r="R71">
            <v>272600</v>
          </cell>
          <cell r="S71">
            <v>274300</v>
          </cell>
          <cell r="T71">
            <v>276200</v>
          </cell>
          <cell r="U71">
            <v>277800</v>
          </cell>
          <cell r="V71">
            <v>13350</v>
          </cell>
          <cell r="W71">
            <v>13350</v>
          </cell>
          <cell r="X71">
            <v>13550</v>
          </cell>
          <cell r="Y71">
            <v>13900</v>
          </cell>
          <cell r="Z71">
            <v>14150</v>
          </cell>
          <cell r="AA71">
            <v>14400</v>
          </cell>
          <cell r="AB71">
            <v>14750</v>
          </cell>
          <cell r="AC71">
            <v>15100</v>
          </cell>
          <cell r="AD71">
            <v>15400</v>
          </cell>
          <cell r="AE71">
            <v>15350</v>
          </cell>
          <cell r="AF71">
            <v>0.87869724160850782</v>
          </cell>
          <cell r="AG71">
            <v>3.4230641409106012E-2</v>
          </cell>
          <cell r="AH71">
            <v>4.7856430707876374E-2</v>
          </cell>
          <cell r="AI71">
            <v>2.991026919242273E-2</v>
          </cell>
          <cell r="AJ71">
            <v>4.9850448654037887E-3</v>
          </cell>
          <cell r="AK71">
            <v>4.3203722166832836E-3</v>
          </cell>
          <cell r="AL71">
            <v>0.1213027583914922</v>
          </cell>
          <cell r="AM71">
            <v>28968</v>
          </cell>
          <cell r="AN71">
            <v>0.62810687655343833</v>
          </cell>
          <cell r="AO71">
            <v>0.14260563380281691</v>
          </cell>
          <cell r="AP71">
            <v>0.22928748964374482</v>
          </cell>
          <cell r="AQ71" t="str">
            <v>n/a</v>
          </cell>
          <cell r="AR71" t="str">
            <v>n/a</v>
          </cell>
          <cell r="AS71" t="str">
            <v>n/a</v>
          </cell>
          <cell r="AT71" t="str">
            <v>n/a</v>
          </cell>
          <cell r="AU71" t="str">
            <v>n/a</v>
          </cell>
          <cell r="AV71" t="str">
            <v>n/a</v>
          </cell>
          <cell r="AW71" t="str">
            <v>n/a</v>
          </cell>
          <cell r="AX71" t="str">
            <v>n/a</v>
          </cell>
          <cell r="AY71" t="str">
            <v>n/a</v>
          </cell>
          <cell r="AZ71">
            <v>110</v>
          </cell>
          <cell r="BA71">
            <v>174</v>
          </cell>
          <cell r="BB71">
            <v>6.3457330415754923E-2</v>
          </cell>
          <cell r="BC71">
            <v>5.4929303532980554E-2</v>
          </cell>
          <cell r="BD71">
            <v>7.3206812152229392E-2</v>
          </cell>
          <cell r="BE71" t="str">
            <v>n/a</v>
          </cell>
          <cell r="BU71">
            <v>6808</v>
          </cell>
          <cell r="BV71">
            <v>2392</v>
          </cell>
          <cell r="BW71">
            <v>0.35135135135135137</v>
          </cell>
          <cell r="BX71">
            <v>672</v>
          </cell>
          <cell r="BY71" t="str">
            <v>n/a</v>
          </cell>
          <cell r="BZ71">
            <v>5313</v>
          </cell>
          <cell r="CA71">
            <v>4.3575611436445054E-2</v>
          </cell>
          <cell r="CB71">
            <v>2725</v>
          </cell>
          <cell r="CC71">
            <v>2710</v>
          </cell>
          <cell r="CD71">
            <v>2705</v>
          </cell>
          <cell r="CE71">
            <v>2505</v>
          </cell>
          <cell r="CF71" t="str">
            <v>n/a</v>
          </cell>
          <cell r="CG71" t="str">
            <v>n/a</v>
          </cell>
          <cell r="CH71" t="str">
            <v>n/a</v>
          </cell>
          <cell r="CI71" t="str">
            <v>n/a</v>
          </cell>
          <cell r="CJ71" t="str">
            <v>n/a</v>
          </cell>
          <cell r="CK71" t="str">
            <v>n/a</v>
          </cell>
          <cell r="CL71" t="str">
            <v>n/a</v>
          </cell>
          <cell r="CM71" t="str">
            <v>n/a</v>
          </cell>
          <cell r="CN71">
            <v>7045</v>
          </cell>
          <cell r="CO71">
            <v>0.15298588490770901</v>
          </cell>
          <cell r="CP71">
            <v>6475</v>
          </cell>
          <cell r="CQ71">
            <v>0.13938219782585298</v>
          </cell>
          <cell r="DE71">
            <v>0</v>
          </cell>
          <cell r="DG71">
            <v>-1.7000000000000001E-2</v>
          </cell>
          <cell r="DH71">
            <v>1.7000000000000001E-2</v>
          </cell>
          <cell r="DI71" t="str">
            <v>Sig better than Eng.</v>
          </cell>
          <cell r="DK71">
            <v>0</v>
          </cell>
          <cell r="DO71" t="str">
            <v>Sig better than Eng.</v>
          </cell>
          <cell r="DQ71">
            <v>0</v>
          </cell>
          <cell r="DS71">
            <v>-2.5999999999999999E-2</v>
          </cell>
          <cell r="DT71">
            <v>2.5999999999999999E-2</v>
          </cell>
          <cell r="DU71" t="str">
            <v>Sig better than Eng.</v>
          </cell>
          <cell r="DV71">
            <v>2713</v>
          </cell>
          <cell r="DW71">
            <v>234</v>
          </cell>
          <cell r="DX71">
            <v>8.6251382233689639E-2</v>
          </cell>
          <cell r="DY71">
            <v>6.4251382233689647E-2</v>
          </cell>
          <cell r="DZ71">
            <v>0.10825138223368963</v>
          </cell>
          <cell r="EA71" t="str">
            <v>No Sig diff</v>
          </cell>
          <cell r="EC71">
            <v>0</v>
          </cell>
          <cell r="EE71">
            <v>-3.2000000000000001E-2</v>
          </cell>
          <cell r="EF71">
            <v>3.2000000000000001E-2</v>
          </cell>
          <cell r="EG71" t="str">
            <v>Sig better than Eng.</v>
          </cell>
          <cell r="EI71">
            <v>0</v>
          </cell>
          <cell r="EK71">
            <v>-3.2000000000000001E-2</v>
          </cell>
          <cell r="EL71">
            <v>3.2000000000000001E-2</v>
          </cell>
          <cell r="EM71" t="str">
            <v>Sig better than Eng.</v>
          </cell>
          <cell r="EO71">
            <v>0</v>
          </cell>
          <cell r="EQ71">
            <v>-3.3000000000000002E-2</v>
          </cell>
          <cell r="ER71">
            <v>3.3000000000000002E-2</v>
          </cell>
          <cell r="ES71" t="str">
            <v>Sig better than Eng.</v>
          </cell>
          <cell r="ET71">
            <v>2211</v>
          </cell>
          <cell r="EU71">
            <v>325</v>
          </cell>
          <cell r="EV71">
            <v>0.14699231117141565</v>
          </cell>
          <cell r="EW71">
            <v>0.11399231117141564</v>
          </cell>
          <cell r="EX71">
            <v>0.17999231117141565</v>
          </cell>
          <cell r="EY71" t="str">
            <v>Sig better than Eng.</v>
          </cell>
          <cell r="EZ71">
            <v>3032</v>
          </cell>
          <cell r="FA71">
            <v>1623</v>
          </cell>
          <cell r="FB71">
            <v>0.53529023746701843</v>
          </cell>
          <cell r="FC71">
            <v>0.51750387204929615</v>
          </cell>
          <cell r="FD71">
            <v>0.55298729255952062</v>
          </cell>
          <cell r="FE71">
            <v>3032</v>
          </cell>
          <cell r="FF71">
            <v>34</v>
          </cell>
          <cell r="FG71">
            <v>606</v>
          </cell>
          <cell r="FH71">
            <v>24.288778877887793</v>
          </cell>
          <cell r="FI71">
            <v>0.28562415065035901</v>
          </cell>
          <cell r="FJ71">
            <v>2971</v>
          </cell>
          <cell r="FK71">
            <v>1768</v>
          </cell>
          <cell r="FL71">
            <v>0.5950858296869741</v>
          </cell>
          <cell r="FM71">
            <v>0.57732306780997178</v>
          </cell>
          <cell r="FN71">
            <v>0.61260301995672917</v>
          </cell>
          <cell r="FO71">
            <v>2971</v>
          </cell>
          <cell r="FP71">
            <v>34</v>
          </cell>
          <cell r="FQ71">
            <v>594</v>
          </cell>
          <cell r="FR71">
            <v>25.101010101010115</v>
          </cell>
          <cell r="FS71">
            <v>0.26173499702911429</v>
          </cell>
          <cell r="GQ71" t="str">
            <v>n/a</v>
          </cell>
          <cell r="GR71" t="str">
            <v>n/a</v>
          </cell>
          <cell r="GS71" t="str">
            <v>n/a</v>
          </cell>
          <cell r="GT71" t="str">
            <v>n/a</v>
          </cell>
          <cell r="GU71" t="str">
            <v>n/a</v>
          </cell>
          <cell r="GV71" t="str">
            <v>n/a</v>
          </cell>
          <cell r="GW71" t="str">
            <v>n/a</v>
          </cell>
          <cell r="GX71" t="str">
            <v>n/a</v>
          </cell>
          <cell r="GY71" t="str">
            <v>n/a</v>
          </cell>
          <cell r="GZ71" t="str">
            <v>n/a</v>
          </cell>
          <cell r="HA71" t="str">
            <v>n/a</v>
          </cell>
          <cell r="HB71" t="str">
            <v>n/a</v>
          </cell>
          <cell r="HC71" t="str">
            <v>n/a</v>
          </cell>
          <cell r="HD71" t="str">
            <v>n/a</v>
          </cell>
          <cell r="HE71" t="str">
            <v>n/a</v>
          </cell>
          <cell r="HF71" t="str">
            <v>n/a</v>
          </cell>
          <cell r="HG71" t="str">
            <v>n/a</v>
          </cell>
          <cell r="HH71" t="str">
            <v>n/a</v>
          </cell>
          <cell r="HI71" t="str">
            <v>n/a</v>
          </cell>
          <cell r="HJ71" t="str">
            <v>n/a</v>
          </cell>
          <cell r="HK71" t="str">
            <v>n/a</v>
          </cell>
          <cell r="HL71" t="str">
            <v>n/a</v>
          </cell>
          <cell r="HM71" t="str">
            <v>n/a</v>
          </cell>
          <cell r="HN71">
            <v>289</v>
          </cell>
          <cell r="HO71">
            <v>1.9224373045965543E-2</v>
          </cell>
          <cell r="HP71">
            <v>23383</v>
          </cell>
          <cell r="HQ71">
            <v>20621</v>
          </cell>
          <cell r="HR71">
            <v>2762</v>
          </cell>
          <cell r="HS71">
            <v>0.11812000171064449</v>
          </cell>
        </row>
        <row r="72">
          <cell r="A72" t="str">
            <v>Education Partnership Area - C1</v>
          </cell>
          <cell r="C72" t="str">
            <v>n/a</v>
          </cell>
          <cell r="D72" t="str">
            <v>n/a</v>
          </cell>
          <cell r="E72" t="str">
            <v>n/a</v>
          </cell>
          <cell r="G72" t="str">
            <v>n/a</v>
          </cell>
          <cell r="H72" t="str">
            <v>n/a</v>
          </cell>
          <cell r="I72" t="str">
            <v>Education Partnership Area - C1</v>
          </cell>
          <cell r="J72" t="str">
            <v>Crawley</v>
          </cell>
          <cell r="K72" t="str">
            <v>n/a</v>
          </cell>
          <cell r="L72">
            <v>98900</v>
          </cell>
          <cell r="M72">
            <v>99700</v>
          </cell>
          <cell r="N72">
            <v>100750</v>
          </cell>
          <cell r="O72">
            <v>101600</v>
          </cell>
          <cell r="P72">
            <v>102850</v>
          </cell>
          <cell r="Q72">
            <v>103850</v>
          </cell>
          <cell r="R72">
            <v>105500</v>
          </cell>
          <cell r="S72">
            <v>107050</v>
          </cell>
          <cell r="T72">
            <v>108300</v>
          </cell>
          <cell r="U72">
            <v>108950</v>
          </cell>
          <cell r="V72">
            <v>6300</v>
          </cell>
          <cell r="W72">
            <v>6300</v>
          </cell>
          <cell r="X72">
            <v>6350</v>
          </cell>
          <cell r="Y72">
            <v>6600</v>
          </cell>
          <cell r="Z72">
            <v>6950</v>
          </cell>
          <cell r="AA72">
            <v>7200</v>
          </cell>
          <cell r="AB72">
            <v>7750</v>
          </cell>
          <cell r="AC72">
            <v>8150</v>
          </cell>
          <cell r="AD72">
            <v>8300</v>
          </cell>
          <cell r="AE72">
            <v>8350</v>
          </cell>
          <cell r="AF72">
            <v>0.62205700123915741</v>
          </cell>
          <cell r="AG72">
            <v>6.5675340768277565E-2</v>
          </cell>
          <cell r="AH72">
            <v>7.6827757125154897E-2</v>
          </cell>
          <cell r="AI72">
            <v>0.17348203221809169</v>
          </cell>
          <cell r="AJ72">
            <v>4.8946716232961589E-2</v>
          </cell>
          <cell r="AK72">
            <v>1.3011152416356878E-2</v>
          </cell>
          <cell r="AL72">
            <v>0.37794299876084264</v>
          </cell>
          <cell r="AM72">
            <v>14546</v>
          </cell>
          <cell r="AN72">
            <v>0.49099408772171044</v>
          </cell>
          <cell r="AO72">
            <v>0.31527567716210642</v>
          </cell>
          <cell r="AP72">
            <v>0.19373023511618315</v>
          </cell>
          <cell r="AQ72" t="str">
            <v>n/a</v>
          </cell>
          <cell r="AR72" t="str">
            <v>n/a</v>
          </cell>
          <cell r="AS72" t="str">
            <v>n/a</v>
          </cell>
          <cell r="AT72" t="str">
            <v>n/a</v>
          </cell>
          <cell r="AU72" t="str">
            <v>n/a</v>
          </cell>
          <cell r="AV72" t="str">
            <v>n/a</v>
          </cell>
          <cell r="AW72" t="str">
            <v>n/a</v>
          </cell>
          <cell r="AX72" t="str">
            <v>n/a</v>
          </cell>
          <cell r="AY72" t="str">
            <v>n/a</v>
          </cell>
          <cell r="AZ72">
            <v>64</v>
          </cell>
          <cell r="BA72">
            <v>128</v>
          </cell>
          <cell r="BB72">
            <v>7.8963602714373846E-2</v>
          </cell>
          <cell r="BC72">
            <v>6.6808520694543738E-2</v>
          </cell>
          <cell r="BD72">
            <v>9.3109517714746015E-2</v>
          </cell>
          <cell r="BE72" t="str">
            <v>n/a</v>
          </cell>
          <cell r="BU72">
            <v>3293</v>
          </cell>
          <cell r="BV72">
            <v>1363</v>
          </cell>
          <cell r="BW72">
            <v>0.4139082903127847</v>
          </cell>
          <cell r="BX72">
            <v>248</v>
          </cell>
          <cell r="BY72" t="str">
            <v>n/a</v>
          </cell>
          <cell r="BZ72">
            <v>2084</v>
          </cell>
          <cell r="CA72">
            <v>4.8774779413485618E-2</v>
          </cell>
          <cell r="CB72">
            <v>1650</v>
          </cell>
          <cell r="CC72">
            <v>1650</v>
          </cell>
          <cell r="CD72">
            <v>1580</v>
          </cell>
          <cell r="CE72">
            <v>1475</v>
          </cell>
          <cell r="CF72" t="str">
            <v>n/a</v>
          </cell>
          <cell r="CG72" t="str">
            <v>n/a</v>
          </cell>
          <cell r="CH72" t="str">
            <v>n/a</v>
          </cell>
          <cell r="CI72" t="str">
            <v>n/a</v>
          </cell>
          <cell r="CJ72" t="str">
            <v>n/a</v>
          </cell>
          <cell r="CK72" t="str">
            <v>n/a</v>
          </cell>
          <cell r="CL72" t="str">
            <v>n/a</v>
          </cell>
          <cell r="CM72" t="str">
            <v>n/a</v>
          </cell>
          <cell r="CN72">
            <v>4170</v>
          </cell>
          <cell r="CO72">
            <v>0.19002050580997951</v>
          </cell>
          <cell r="CP72">
            <v>3890</v>
          </cell>
          <cell r="CQ72">
            <v>0.17397137745974955</v>
          </cell>
          <cell r="DE72">
            <v>0</v>
          </cell>
          <cell r="DG72">
            <v>-1.7000000000000001E-2</v>
          </cell>
          <cell r="DH72">
            <v>1.7000000000000001E-2</v>
          </cell>
          <cell r="DI72" t="str">
            <v>Sig better than Eng.</v>
          </cell>
          <cell r="DK72">
            <v>0</v>
          </cell>
          <cell r="DO72" t="str">
            <v>Sig better than Eng.</v>
          </cell>
          <cell r="DQ72">
            <v>0</v>
          </cell>
          <cell r="DS72">
            <v>-2.5999999999999999E-2</v>
          </cell>
          <cell r="DT72">
            <v>2.5999999999999999E-2</v>
          </cell>
          <cell r="DU72" t="str">
            <v>Sig better than Eng.</v>
          </cell>
          <cell r="DV72">
            <v>1189</v>
          </cell>
          <cell r="DW72">
            <v>111.00000000000001</v>
          </cell>
          <cell r="DX72">
            <v>9.3355761143818342E-2</v>
          </cell>
          <cell r="DY72">
            <v>7.1355761143818336E-2</v>
          </cell>
          <cell r="DZ72">
            <v>0.11535576114381835</v>
          </cell>
          <cell r="EA72" t="str">
            <v>No Sig diff</v>
          </cell>
          <cell r="EC72">
            <v>0</v>
          </cell>
          <cell r="EE72">
            <v>-3.2000000000000001E-2</v>
          </cell>
          <cell r="EF72">
            <v>3.2000000000000001E-2</v>
          </cell>
          <cell r="EG72" t="str">
            <v>Sig better than Eng.</v>
          </cell>
          <cell r="EI72">
            <v>0</v>
          </cell>
          <cell r="EK72">
            <v>-3.2000000000000001E-2</v>
          </cell>
          <cell r="EL72">
            <v>3.2000000000000001E-2</v>
          </cell>
          <cell r="EM72" t="str">
            <v>Sig better than Eng.</v>
          </cell>
          <cell r="EO72">
            <v>0</v>
          </cell>
          <cell r="EQ72">
            <v>-3.3000000000000002E-2</v>
          </cell>
          <cell r="ER72">
            <v>3.3000000000000002E-2</v>
          </cell>
          <cell r="ES72" t="str">
            <v>Sig better than Eng.</v>
          </cell>
          <cell r="ET72">
            <v>1075</v>
          </cell>
          <cell r="EU72">
            <v>210</v>
          </cell>
          <cell r="EV72">
            <v>0.19534883720930232</v>
          </cell>
          <cell r="EW72">
            <v>0.16234883720930232</v>
          </cell>
          <cell r="EX72">
            <v>0.22834883720930232</v>
          </cell>
          <cell r="EY72" t="str">
            <v>No Sig diff</v>
          </cell>
          <cell r="EZ72">
            <v>1440</v>
          </cell>
          <cell r="FA72">
            <v>693</v>
          </cell>
          <cell r="FB72">
            <v>0.48125000000000001</v>
          </cell>
          <cell r="FC72">
            <v>0.45552756226071045</v>
          </cell>
          <cell r="FD72">
            <v>0.50707220957012045</v>
          </cell>
          <cell r="FE72">
            <v>1440</v>
          </cell>
          <cell r="FF72">
            <v>34</v>
          </cell>
          <cell r="FG72">
            <v>288</v>
          </cell>
          <cell r="FH72">
            <v>22.378472222222197</v>
          </cell>
          <cell r="FI72">
            <v>0.34180964052287655</v>
          </cell>
          <cell r="FJ72">
            <v>1518</v>
          </cell>
          <cell r="FK72">
            <v>841</v>
          </cell>
          <cell r="FL72">
            <v>0.5540184453227931</v>
          </cell>
          <cell r="FM72">
            <v>0.52890795807318758</v>
          </cell>
          <cell r="FN72">
            <v>0.57885622396393932</v>
          </cell>
          <cell r="FO72">
            <v>1518</v>
          </cell>
          <cell r="FP72">
            <v>34</v>
          </cell>
          <cell r="FQ72">
            <v>303</v>
          </cell>
          <cell r="FR72">
            <v>22.61056105610562</v>
          </cell>
          <cell r="FS72">
            <v>0.33498349834983471</v>
          </cell>
          <cell r="GQ72" t="str">
            <v>n/a</v>
          </cell>
          <cell r="GR72" t="str">
            <v>n/a</v>
          </cell>
          <cell r="GS72" t="str">
            <v>n/a</v>
          </cell>
          <cell r="GT72" t="str">
            <v>n/a</v>
          </cell>
          <cell r="GU72" t="str">
            <v>n/a</v>
          </cell>
          <cell r="GV72" t="str">
            <v>n/a</v>
          </cell>
          <cell r="GW72" t="str">
            <v>n/a</v>
          </cell>
          <cell r="GX72" t="str">
            <v>n/a</v>
          </cell>
          <cell r="GY72" t="str">
            <v>n/a</v>
          </cell>
          <cell r="GZ72" t="str">
            <v>n/a</v>
          </cell>
          <cell r="HA72" t="str">
            <v>n/a</v>
          </cell>
          <cell r="HB72" t="str">
            <v>n/a</v>
          </cell>
          <cell r="HC72" t="str">
            <v>n/a</v>
          </cell>
          <cell r="HD72" t="str">
            <v>n/a</v>
          </cell>
          <cell r="HE72" t="str">
            <v>n/a</v>
          </cell>
          <cell r="HF72" t="str">
            <v>n/a</v>
          </cell>
          <cell r="HG72" t="str">
            <v>n/a</v>
          </cell>
          <cell r="HH72" t="str">
            <v>n/a</v>
          </cell>
          <cell r="HI72" t="str">
            <v>n/a</v>
          </cell>
          <cell r="HJ72" t="str">
            <v>n/a</v>
          </cell>
          <cell r="HK72" t="str">
            <v>n/a</v>
          </cell>
          <cell r="HL72" t="str">
            <v>n/a</v>
          </cell>
          <cell r="HM72" t="str">
            <v>n/a</v>
          </cell>
          <cell r="HN72">
            <v>158</v>
          </cell>
          <cell r="HO72">
            <v>1.9602977667493797E-2</v>
          </cell>
          <cell r="HP72">
            <v>12900</v>
          </cell>
          <cell r="HQ72">
            <v>11233</v>
          </cell>
          <cell r="HR72">
            <v>1667</v>
          </cell>
          <cell r="HS72">
            <v>0.12922480620155039</v>
          </cell>
        </row>
        <row r="73">
          <cell r="A73" t="str">
            <v>Education Partnership Area - C2</v>
          </cell>
          <cell r="C73" t="str">
            <v>n/a</v>
          </cell>
          <cell r="D73" t="str">
            <v>n/a</v>
          </cell>
          <cell r="E73" t="str">
            <v>n/a</v>
          </cell>
          <cell r="G73" t="str">
            <v>n/a</v>
          </cell>
          <cell r="H73" t="str">
            <v>n/a</v>
          </cell>
          <cell r="I73" t="str">
            <v>Education Partnership Area - C2</v>
          </cell>
          <cell r="J73" t="str">
            <v>Horsham and Mid Sussex</v>
          </cell>
          <cell r="K73" t="str">
            <v>n/a</v>
          </cell>
          <cell r="L73">
            <v>129450</v>
          </cell>
          <cell r="M73">
            <v>130500</v>
          </cell>
          <cell r="N73">
            <v>132050</v>
          </cell>
          <cell r="O73">
            <v>134000</v>
          </cell>
          <cell r="P73">
            <v>135750</v>
          </cell>
          <cell r="Q73">
            <v>137200</v>
          </cell>
          <cell r="R73">
            <v>138900</v>
          </cell>
          <cell r="S73">
            <v>140200</v>
          </cell>
          <cell r="T73">
            <v>141150</v>
          </cell>
          <cell r="U73">
            <v>142750</v>
          </cell>
          <cell r="V73">
            <v>7400</v>
          </cell>
          <cell r="W73">
            <v>7450</v>
          </cell>
          <cell r="X73">
            <v>7650</v>
          </cell>
          <cell r="Y73">
            <v>8000</v>
          </cell>
          <cell r="Z73">
            <v>8150</v>
          </cell>
          <cell r="AA73">
            <v>8150</v>
          </cell>
          <cell r="AB73">
            <v>8250</v>
          </cell>
          <cell r="AC73">
            <v>8350</v>
          </cell>
          <cell r="AD73">
            <v>8500</v>
          </cell>
          <cell r="AE73">
            <v>8550</v>
          </cell>
          <cell r="AF73">
            <v>0.87477531455961655</v>
          </cell>
          <cell r="AG73">
            <v>3.8945476333133611E-2</v>
          </cell>
          <cell r="AH73">
            <v>4.0143798681845415E-2</v>
          </cell>
          <cell r="AI73">
            <v>3.9544637507489516E-2</v>
          </cell>
          <cell r="AJ73">
            <v>5.3924505692031152E-3</v>
          </cell>
          <cell r="AK73">
            <v>5.9916117435590175E-4</v>
          </cell>
          <cell r="AL73">
            <v>0.12522468544038345</v>
          </cell>
          <cell r="AM73">
            <v>16498</v>
          </cell>
          <cell r="AN73">
            <v>0.71044975148502854</v>
          </cell>
          <cell r="AO73">
            <v>0.12456055279427809</v>
          </cell>
          <cell r="AP73">
            <v>0.16498969572069341</v>
          </cell>
          <cell r="AQ73" t="str">
            <v>n/a</v>
          </cell>
          <cell r="AR73" t="str">
            <v>n/a</v>
          </cell>
          <cell r="AS73" t="str">
            <v>n/a</v>
          </cell>
          <cell r="AT73" t="str">
            <v>n/a</v>
          </cell>
          <cell r="AU73" t="str">
            <v>n/a</v>
          </cell>
          <cell r="AV73" t="str">
            <v>n/a</v>
          </cell>
          <cell r="AW73" t="str">
            <v>n/a</v>
          </cell>
          <cell r="AX73" t="str">
            <v>n/a</v>
          </cell>
          <cell r="AY73" t="str">
            <v>n/a</v>
          </cell>
          <cell r="AZ73">
            <v>36</v>
          </cell>
          <cell r="BA73">
            <v>74</v>
          </cell>
          <cell r="BB73">
            <v>4.9798115746971738E-2</v>
          </cell>
          <cell r="BC73">
            <v>3.9852422821900144E-2</v>
          </cell>
          <cell r="BD73">
            <v>6.2065440935822419E-2</v>
          </cell>
          <cell r="BE73" t="str">
            <v>n/a</v>
          </cell>
          <cell r="BU73">
            <v>2645</v>
          </cell>
          <cell r="BV73">
            <v>656</v>
          </cell>
          <cell r="BW73">
            <v>0.24801512287334593</v>
          </cell>
          <cell r="BX73">
            <v>222</v>
          </cell>
          <cell r="BY73" t="str">
            <v>n/a</v>
          </cell>
          <cell r="BZ73">
            <v>1360</v>
          </cell>
          <cell r="CA73">
            <v>2.3689665383476458E-2</v>
          </cell>
          <cell r="CB73">
            <v>740</v>
          </cell>
          <cell r="CC73">
            <v>770</v>
          </cell>
          <cell r="CD73">
            <v>785</v>
          </cell>
          <cell r="CE73">
            <v>691</v>
          </cell>
          <cell r="CF73" t="str">
            <v>n/a</v>
          </cell>
          <cell r="CG73" t="str">
            <v>n/a</v>
          </cell>
          <cell r="CH73" t="str">
            <v>n/a</v>
          </cell>
          <cell r="CI73" t="str">
            <v>n/a</v>
          </cell>
          <cell r="CJ73" t="str">
            <v>n/a</v>
          </cell>
          <cell r="CK73" t="str">
            <v>n/a</v>
          </cell>
          <cell r="CL73" t="str">
            <v>n/a</v>
          </cell>
          <cell r="CM73" t="str">
            <v>n/a</v>
          </cell>
          <cell r="CN73">
            <v>2105</v>
          </cell>
          <cell r="CO73">
            <v>8.2955665024630545E-2</v>
          </cell>
          <cell r="CP73">
            <v>1930</v>
          </cell>
          <cell r="CQ73">
            <v>7.5805184603299297E-2</v>
          </cell>
          <cell r="DE73">
            <v>0</v>
          </cell>
          <cell r="DG73">
            <v>-1.7000000000000001E-2</v>
          </cell>
          <cell r="DH73">
            <v>1.7000000000000001E-2</v>
          </cell>
          <cell r="DI73" t="str">
            <v>Sig better than Eng.</v>
          </cell>
          <cell r="DK73">
            <v>0</v>
          </cell>
          <cell r="DO73" t="str">
            <v>Sig better than Eng.</v>
          </cell>
          <cell r="DQ73">
            <v>0</v>
          </cell>
          <cell r="DS73">
            <v>-2.5999999999999999E-2</v>
          </cell>
          <cell r="DT73">
            <v>2.5999999999999999E-2</v>
          </cell>
          <cell r="DU73" t="str">
            <v>Sig better than Eng.</v>
          </cell>
          <cell r="DV73">
            <v>1303</v>
          </cell>
          <cell r="DW73">
            <v>90</v>
          </cell>
          <cell r="DX73">
            <v>6.9071373752877974E-2</v>
          </cell>
          <cell r="DY73">
            <v>4.7071373752877975E-2</v>
          </cell>
          <cell r="DZ73">
            <v>9.1071373752877965E-2</v>
          </cell>
          <cell r="EA73" t="str">
            <v>Sig better than Eng.</v>
          </cell>
          <cell r="EC73">
            <v>0</v>
          </cell>
          <cell r="EE73">
            <v>-3.2000000000000001E-2</v>
          </cell>
          <cell r="EF73">
            <v>3.2000000000000001E-2</v>
          </cell>
          <cell r="EG73" t="str">
            <v>Sig better than Eng.</v>
          </cell>
          <cell r="EI73">
            <v>0</v>
          </cell>
          <cell r="EK73">
            <v>-3.2000000000000001E-2</v>
          </cell>
          <cell r="EL73">
            <v>3.2000000000000001E-2</v>
          </cell>
          <cell r="EM73" t="str">
            <v>Sig better than Eng.</v>
          </cell>
          <cell r="EO73">
            <v>0</v>
          </cell>
          <cell r="EQ73">
            <v>-3.3000000000000002E-2</v>
          </cell>
          <cell r="ER73">
            <v>3.3000000000000002E-2</v>
          </cell>
          <cell r="ES73" t="str">
            <v>Sig better than Eng.</v>
          </cell>
          <cell r="ET73">
            <v>1154</v>
          </cell>
          <cell r="EU73">
            <v>133</v>
          </cell>
          <cell r="EV73">
            <v>0.11525129982668977</v>
          </cell>
          <cell r="EW73">
            <v>8.2251299826689772E-2</v>
          </cell>
          <cell r="EX73">
            <v>0.14825129982668978</v>
          </cell>
          <cell r="EY73" t="str">
            <v>Sig better than Eng.</v>
          </cell>
          <cell r="EZ73">
            <v>1637</v>
          </cell>
          <cell r="FA73">
            <v>947</v>
          </cell>
          <cell r="FB73">
            <v>0.57849725106902872</v>
          </cell>
          <cell r="FC73">
            <v>0.55442004800520173</v>
          </cell>
          <cell r="FD73">
            <v>0.60220690618250572</v>
          </cell>
          <cell r="FE73">
            <v>1637</v>
          </cell>
          <cell r="FF73">
            <v>34</v>
          </cell>
          <cell r="FG73">
            <v>327</v>
          </cell>
          <cell r="FH73">
            <v>25.431192660550472</v>
          </cell>
          <cell r="FI73">
            <v>0.25202374527792726</v>
          </cell>
          <cell r="FJ73">
            <v>1614</v>
          </cell>
          <cell r="FK73">
            <v>1025</v>
          </cell>
          <cell r="FL73">
            <v>0.63506815365551428</v>
          </cell>
          <cell r="FM73">
            <v>0.61128697123654441</v>
          </cell>
          <cell r="FN73">
            <v>0.65820791506573717</v>
          </cell>
          <cell r="FO73">
            <v>1614</v>
          </cell>
          <cell r="FP73">
            <v>34</v>
          </cell>
          <cell r="FQ73">
            <v>322</v>
          </cell>
          <cell r="FR73">
            <v>26.602484472049689</v>
          </cell>
          <cell r="FS73">
            <v>0.21757398611618561</v>
          </cell>
          <cell r="GQ73" t="str">
            <v>n/a</v>
          </cell>
          <cell r="GR73" t="str">
            <v>n/a</v>
          </cell>
          <cell r="GS73" t="str">
            <v>n/a</v>
          </cell>
          <cell r="GT73" t="str">
            <v>n/a</v>
          </cell>
          <cell r="GU73" t="str">
            <v>n/a</v>
          </cell>
          <cell r="GV73" t="str">
            <v>n/a</v>
          </cell>
          <cell r="GW73" t="str">
            <v>n/a</v>
          </cell>
          <cell r="GX73" t="str">
            <v>n/a</v>
          </cell>
          <cell r="GY73" t="str">
            <v>n/a</v>
          </cell>
          <cell r="GZ73" t="str">
            <v>n/a</v>
          </cell>
          <cell r="HA73" t="str">
            <v>n/a</v>
          </cell>
          <cell r="HB73" t="str">
            <v>n/a</v>
          </cell>
          <cell r="HC73" t="str">
            <v>n/a</v>
          </cell>
          <cell r="HD73" t="str">
            <v>n/a</v>
          </cell>
          <cell r="HE73" t="str">
            <v>n/a</v>
          </cell>
          <cell r="HF73" t="str">
            <v>n/a</v>
          </cell>
          <cell r="HG73" t="str">
            <v>n/a</v>
          </cell>
          <cell r="HH73" t="str">
            <v>n/a</v>
          </cell>
          <cell r="HI73" t="str">
            <v>n/a</v>
          </cell>
          <cell r="HJ73" t="str">
            <v>n/a</v>
          </cell>
          <cell r="HK73" t="str">
            <v>n/a</v>
          </cell>
          <cell r="HL73" t="str">
            <v>n/a</v>
          </cell>
          <cell r="HM73" t="str">
            <v>n/a</v>
          </cell>
          <cell r="HN73">
            <v>140</v>
          </cell>
          <cell r="HO73">
            <v>1.6794625719769675E-2</v>
          </cell>
          <cell r="HP73">
            <v>13214</v>
          </cell>
          <cell r="HQ73">
            <v>12411</v>
          </cell>
          <cell r="HR73">
            <v>803</v>
          </cell>
          <cell r="HS73">
            <v>6.0768881489329497E-2</v>
          </cell>
        </row>
        <row r="74">
          <cell r="A74" t="str">
            <v>Education Partnership Area - C3</v>
          </cell>
          <cell r="C74" t="str">
            <v>n/a</v>
          </cell>
          <cell r="D74" t="str">
            <v>n/a</v>
          </cell>
          <cell r="E74" t="str">
            <v>n/a</v>
          </cell>
          <cell r="G74" t="str">
            <v>n/a</v>
          </cell>
          <cell r="H74" t="str">
            <v>n/a</v>
          </cell>
          <cell r="I74" t="str">
            <v>Education Partnership Area - C3</v>
          </cell>
          <cell r="J74" t="str">
            <v>Coastal/Horsham and Mid Sussex</v>
          </cell>
          <cell r="K74" t="str">
            <v>n/a</v>
          </cell>
          <cell r="L74">
            <v>91850</v>
          </cell>
          <cell r="M74">
            <v>92650</v>
          </cell>
          <cell r="N74">
            <v>93800</v>
          </cell>
          <cell r="O74">
            <v>94800</v>
          </cell>
          <cell r="P74">
            <v>95550</v>
          </cell>
          <cell r="Q74">
            <v>96250</v>
          </cell>
          <cell r="R74">
            <v>97100</v>
          </cell>
          <cell r="S74">
            <v>97700</v>
          </cell>
          <cell r="T74">
            <v>98250</v>
          </cell>
          <cell r="U74">
            <v>98900</v>
          </cell>
          <cell r="V74">
            <v>5450</v>
          </cell>
          <cell r="W74">
            <v>5300</v>
          </cell>
          <cell r="X74">
            <v>5250</v>
          </cell>
          <cell r="Y74">
            <v>5450</v>
          </cell>
          <cell r="Z74">
            <v>5450</v>
          </cell>
          <cell r="AA74">
            <v>5500</v>
          </cell>
          <cell r="AB74">
            <v>5550</v>
          </cell>
          <cell r="AC74">
            <v>5650</v>
          </cell>
          <cell r="AD74">
            <v>5650</v>
          </cell>
          <cell r="AE74">
            <v>5650</v>
          </cell>
          <cell r="AF74">
            <v>0.88475177304964536</v>
          </cell>
          <cell r="AG74">
            <v>3.3687943262411348E-2</v>
          </cell>
          <cell r="AH74">
            <v>4.6099290780141841E-2</v>
          </cell>
          <cell r="AI74">
            <v>2.8368794326241134E-2</v>
          </cell>
          <cell r="AJ74">
            <v>4.4326241134751776E-3</v>
          </cell>
          <cell r="AK74">
            <v>1.7730496453900709E-3</v>
          </cell>
          <cell r="AL74">
            <v>0.11524822695035461</v>
          </cell>
          <cell r="AM74">
            <v>11218</v>
          </cell>
          <cell r="AN74">
            <v>0.70823676234622923</v>
          </cell>
          <cell r="AO74">
            <v>0.14423248350864681</v>
          </cell>
          <cell r="AP74">
            <v>0.1475307541451239</v>
          </cell>
          <cell r="AQ74" t="str">
            <v>n/a</v>
          </cell>
          <cell r="AR74" t="str">
            <v>n/a</v>
          </cell>
          <cell r="AS74" t="str">
            <v>n/a</v>
          </cell>
          <cell r="AT74" t="str">
            <v>n/a</v>
          </cell>
          <cell r="AU74" t="str">
            <v>n/a</v>
          </cell>
          <cell r="AV74" t="str">
            <v>n/a</v>
          </cell>
          <cell r="AW74" t="str">
            <v>n/a</v>
          </cell>
          <cell r="AX74" t="str">
            <v>n/a</v>
          </cell>
          <cell r="AY74" t="str">
            <v>n/a</v>
          </cell>
          <cell r="AZ74">
            <v>14</v>
          </cell>
          <cell r="BA74">
            <v>65</v>
          </cell>
          <cell r="BB74">
            <v>6.7991631799163177E-2</v>
          </cell>
          <cell r="BC74">
            <v>5.3701786657227038E-2</v>
          </cell>
          <cell r="BD74">
            <v>8.5739427921207589E-2</v>
          </cell>
          <cell r="BE74" t="str">
            <v>n/a</v>
          </cell>
          <cell r="BU74">
            <v>1846</v>
          </cell>
          <cell r="BV74">
            <v>527</v>
          </cell>
          <cell r="BW74">
            <v>0.28548212351029251</v>
          </cell>
          <cell r="BX74">
            <v>194</v>
          </cell>
          <cell r="BY74" t="str">
            <v>n/a</v>
          </cell>
          <cell r="BZ74">
            <v>1123</v>
          </cell>
          <cell r="CA74">
            <v>2.7908248216903998E-2</v>
          </cell>
          <cell r="CB74">
            <v>605</v>
          </cell>
          <cell r="CC74">
            <v>595</v>
          </cell>
          <cell r="CD74">
            <v>580</v>
          </cell>
          <cell r="CE74">
            <v>575</v>
          </cell>
          <cell r="CF74" t="str">
            <v>n/a</v>
          </cell>
          <cell r="CG74" t="str">
            <v>n/a</v>
          </cell>
          <cell r="CH74" t="str">
            <v>n/a</v>
          </cell>
          <cell r="CI74" t="str">
            <v>n/a</v>
          </cell>
          <cell r="CJ74" t="str">
            <v>n/a</v>
          </cell>
          <cell r="CK74" t="str">
            <v>n/a</v>
          </cell>
          <cell r="CL74" t="str">
            <v>n/a</v>
          </cell>
          <cell r="CM74" t="str">
            <v>n/a</v>
          </cell>
          <cell r="CN74">
            <v>1575</v>
          </cell>
          <cell r="CO74">
            <v>8.7792642140468224E-2</v>
          </cell>
          <cell r="CP74">
            <v>1455</v>
          </cell>
          <cell r="CQ74">
            <v>8.1284916201117316E-2</v>
          </cell>
          <cell r="DE74">
            <v>0</v>
          </cell>
          <cell r="DG74">
            <v>-1.7000000000000001E-2</v>
          </cell>
          <cell r="DH74">
            <v>1.7000000000000001E-2</v>
          </cell>
          <cell r="DI74" t="str">
            <v>Sig better than Eng.</v>
          </cell>
          <cell r="DK74">
            <v>0</v>
          </cell>
          <cell r="DO74" t="str">
            <v>Sig better than Eng.</v>
          </cell>
          <cell r="DQ74">
            <v>0</v>
          </cell>
          <cell r="DS74">
            <v>-2.5999999999999999E-2</v>
          </cell>
          <cell r="DT74">
            <v>2.5999999999999999E-2</v>
          </cell>
          <cell r="DU74" t="str">
            <v>Sig better than Eng.</v>
          </cell>
          <cell r="DV74">
            <v>872</v>
          </cell>
          <cell r="DW74">
            <v>65</v>
          </cell>
          <cell r="DX74">
            <v>7.4541284403669722E-2</v>
          </cell>
          <cell r="DY74">
            <v>5.2541284403669723E-2</v>
          </cell>
          <cell r="DZ74">
            <v>9.6541284403669714E-2</v>
          </cell>
          <cell r="EA74" t="str">
            <v>No Sig diff</v>
          </cell>
          <cell r="EC74">
            <v>0</v>
          </cell>
          <cell r="EE74">
            <v>-3.2000000000000001E-2</v>
          </cell>
          <cell r="EF74">
            <v>3.2000000000000001E-2</v>
          </cell>
          <cell r="EG74" t="str">
            <v>Sig better than Eng.</v>
          </cell>
          <cell r="EI74">
            <v>0</v>
          </cell>
          <cell r="EK74">
            <v>-3.2000000000000001E-2</v>
          </cell>
          <cell r="EL74">
            <v>3.2000000000000001E-2</v>
          </cell>
          <cell r="EM74" t="str">
            <v>Sig better than Eng.</v>
          </cell>
          <cell r="EO74">
            <v>0</v>
          </cell>
          <cell r="EQ74">
            <v>-3.3000000000000002E-2</v>
          </cell>
          <cell r="ER74">
            <v>3.3000000000000002E-2</v>
          </cell>
          <cell r="ES74" t="str">
            <v>Sig better than Eng.</v>
          </cell>
          <cell r="ET74">
            <v>880</v>
          </cell>
          <cell r="EU74">
            <v>115.99999999999999</v>
          </cell>
          <cell r="EV74">
            <v>0.13181818181818181</v>
          </cell>
          <cell r="EW74">
            <v>9.8818181818181805E-2</v>
          </cell>
          <cell r="EX74">
            <v>0.16481818181818181</v>
          </cell>
          <cell r="EY74" t="str">
            <v>Sig better than Eng.</v>
          </cell>
          <cell r="EZ74">
            <v>1048</v>
          </cell>
          <cell r="FA74">
            <v>616</v>
          </cell>
          <cell r="FB74">
            <v>0.58778625954198471</v>
          </cell>
          <cell r="FC74">
            <v>0.55771687583754714</v>
          </cell>
          <cell r="FD74">
            <v>0.61721443007075727</v>
          </cell>
          <cell r="FE74">
            <v>1048</v>
          </cell>
          <cell r="FF74">
            <v>34</v>
          </cell>
          <cell r="FG74">
            <v>209</v>
          </cell>
          <cell r="FH74">
            <v>25.28708133971292</v>
          </cell>
          <cell r="FI74">
            <v>0.25626231353785528</v>
          </cell>
          <cell r="FJ74">
            <v>1190</v>
          </cell>
          <cell r="FK74">
            <v>753</v>
          </cell>
          <cell r="FL74">
            <v>0.63277310924369745</v>
          </cell>
          <cell r="FM74">
            <v>0.60499829450020992</v>
          </cell>
          <cell r="FN74">
            <v>0.6596934680996186</v>
          </cell>
          <cell r="FO74">
            <v>1190</v>
          </cell>
          <cell r="FP74">
            <v>34</v>
          </cell>
          <cell r="FQ74">
            <v>238</v>
          </cell>
          <cell r="FR74">
            <v>25.205882352941188</v>
          </cell>
          <cell r="FS74">
            <v>0.2586505190311415</v>
          </cell>
          <cell r="GQ74" t="str">
            <v>n/a</v>
          </cell>
          <cell r="GR74" t="str">
            <v>n/a</v>
          </cell>
          <cell r="GS74" t="str">
            <v>n/a</v>
          </cell>
          <cell r="GT74" t="str">
            <v>n/a</v>
          </cell>
          <cell r="GU74" t="str">
            <v>n/a</v>
          </cell>
          <cell r="GV74" t="str">
            <v>n/a</v>
          </cell>
          <cell r="GW74" t="str">
            <v>n/a</v>
          </cell>
          <cell r="GX74" t="str">
            <v>n/a</v>
          </cell>
          <cell r="GY74" t="str">
            <v>n/a</v>
          </cell>
          <cell r="GZ74" t="str">
            <v>n/a</v>
          </cell>
          <cell r="HA74" t="str">
            <v>n/a</v>
          </cell>
          <cell r="HB74" t="str">
            <v>n/a</v>
          </cell>
          <cell r="HC74" t="str">
            <v>n/a</v>
          </cell>
          <cell r="HD74" t="str">
            <v>n/a</v>
          </cell>
          <cell r="HE74" t="str">
            <v>n/a</v>
          </cell>
          <cell r="HF74" t="str">
            <v>n/a</v>
          </cell>
          <cell r="HG74" t="str">
            <v>n/a</v>
          </cell>
          <cell r="HH74" t="str">
            <v>n/a</v>
          </cell>
          <cell r="HI74" t="str">
            <v>n/a</v>
          </cell>
          <cell r="HJ74" t="str">
            <v>n/a</v>
          </cell>
          <cell r="HK74" t="str">
            <v>n/a</v>
          </cell>
          <cell r="HL74" t="str">
            <v>n/a</v>
          </cell>
          <cell r="HM74" t="str">
            <v>n/a</v>
          </cell>
          <cell r="HN74">
            <v>91</v>
          </cell>
          <cell r="HO74">
            <v>1.6169154228855721E-2</v>
          </cell>
          <cell r="HP74">
            <v>8760</v>
          </cell>
          <cell r="HQ74">
            <v>8176</v>
          </cell>
          <cell r="HR74">
            <v>584</v>
          </cell>
          <cell r="HS74">
            <v>6.6666666666666666E-2</v>
          </cell>
        </row>
        <row r="75">
          <cell r="A75" t="str">
            <v>West Sussex</v>
          </cell>
          <cell r="C75" t="str">
            <v>n/a</v>
          </cell>
          <cell r="D75" t="str">
            <v>n/a</v>
          </cell>
          <cell r="E75" t="str">
            <v>n/a</v>
          </cell>
          <cell r="G75" t="str">
            <v>n/a</v>
          </cell>
          <cell r="H75" t="str">
            <v>n/a</v>
          </cell>
          <cell r="I75" t="str">
            <v>n/a</v>
          </cell>
          <cell r="J75" t="str">
            <v>n/a</v>
          </cell>
          <cell r="K75" t="str">
            <v>n/a</v>
          </cell>
          <cell r="L75">
            <v>766000</v>
          </cell>
          <cell r="M75">
            <v>770800</v>
          </cell>
          <cell r="N75">
            <v>777400</v>
          </cell>
          <cell r="O75">
            <v>784300</v>
          </cell>
          <cell r="P75">
            <v>791000</v>
          </cell>
          <cell r="Q75">
            <v>796000</v>
          </cell>
          <cell r="R75">
            <v>803200</v>
          </cell>
          <cell r="S75">
            <v>808900</v>
          </cell>
          <cell r="T75">
            <v>815100</v>
          </cell>
          <cell r="U75">
            <v>821400</v>
          </cell>
          <cell r="V75">
            <v>40800</v>
          </cell>
          <cell r="W75">
            <v>40700</v>
          </cell>
          <cell r="X75">
            <v>41300</v>
          </cell>
          <cell r="Y75">
            <v>42600</v>
          </cell>
          <cell r="Z75">
            <v>43700</v>
          </cell>
          <cell r="AA75">
            <v>44500</v>
          </cell>
          <cell r="AB75">
            <v>45700</v>
          </cell>
          <cell r="AC75">
            <v>46700</v>
          </cell>
          <cell r="AD75">
            <v>47600</v>
          </cell>
          <cell r="AE75">
            <v>47800</v>
          </cell>
          <cell r="AF75">
            <v>0.8356459072819189</v>
          </cell>
          <cell r="AG75">
            <v>4.442293212864365E-2</v>
          </cell>
          <cell r="AH75">
            <v>4.7434656340755083E-2</v>
          </cell>
          <cell r="AI75">
            <v>5.4856405292029689E-2</v>
          </cell>
          <cell r="AJ75">
            <v>1.2907389480477573E-2</v>
          </cell>
          <cell r="AK75">
            <v>4.7327094761751105E-3</v>
          </cell>
          <cell r="AL75">
            <v>0.16252554587501344</v>
          </cell>
          <cell r="AM75">
            <v>89522</v>
          </cell>
          <cell r="AN75">
            <v>0.62169075757914261</v>
          </cell>
          <cell r="AO75">
            <v>0.17295190009159758</v>
          </cell>
          <cell r="AP75">
            <v>0.20535734232925984</v>
          </cell>
          <cell r="AQ75">
            <v>8927</v>
          </cell>
          <cell r="AR75">
            <v>9024</v>
          </cell>
          <cell r="AS75">
            <v>9198</v>
          </cell>
          <cell r="AT75">
            <v>9207</v>
          </cell>
          <cell r="AU75">
            <v>8835</v>
          </cell>
          <cell r="AV75">
            <v>456</v>
          </cell>
          <cell r="AW75">
            <v>399</v>
          </cell>
          <cell r="AX75">
            <v>367</v>
          </cell>
          <cell r="AY75">
            <v>345</v>
          </cell>
          <cell r="AZ75">
            <v>331</v>
          </cell>
          <cell r="BE75">
            <v>714</v>
          </cell>
          <cell r="BF75">
            <v>14471</v>
          </cell>
          <cell r="BG75">
            <v>14675</v>
          </cell>
          <cell r="BH75">
            <v>7032</v>
          </cell>
          <cell r="BJ75">
            <v>92663</v>
          </cell>
          <cell r="BK75">
            <v>163825</v>
          </cell>
          <cell r="BL75">
            <v>93098</v>
          </cell>
          <cell r="BM75">
            <v>55058</v>
          </cell>
          <cell r="BN75">
            <v>53</v>
          </cell>
          <cell r="BO75">
            <v>12250</v>
          </cell>
          <cell r="BP75">
            <v>18695</v>
          </cell>
          <cell r="BQ75">
            <v>7042</v>
          </cell>
          <cell r="BR75">
            <v>5340</v>
          </cell>
          <cell r="BS75">
            <v>5030</v>
          </cell>
          <cell r="BT75">
            <v>4265</v>
          </cell>
          <cell r="BU75">
            <v>18637</v>
          </cell>
          <cell r="BV75">
            <v>6279</v>
          </cell>
          <cell r="BW75">
            <v>0.33691044696034772</v>
          </cell>
          <cell r="BX75">
            <v>1695</v>
          </cell>
          <cell r="BY75" t="str">
            <v>n/a</v>
          </cell>
          <cell r="BZ75">
            <v>12980</v>
          </cell>
          <cell r="CA75">
            <v>3.7999999999999999E-2</v>
          </cell>
          <cell r="CB75">
            <v>7205</v>
          </cell>
          <cell r="CC75">
            <v>7205</v>
          </cell>
          <cell r="CD75">
            <v>8688</v>
          </cell>
          <cell r="CE75">
            <v>6781</v>
          </cell>
          <cell r="CF75">
            <v>19140</v>
          </cell>
          <cell r="CG75">
            <v>0.13900000000000001</v>
          </cell>
          <cell r="CH75">
            <v>18490</v>
          </cell>
          <cell r="CI75">
            <v>0.13400000000000001</v>
          </cell>
          <cell r="CJ75">
            <v>19950</v>
          </cell>
          <cell r="CK75">
            <v>0.14299999999999999</v>
          </cell>
          <cell r="CL75">
            <v>19345</v>
          </cell>
          <cell r="CM75">
            <v>0.13800000000000001</v>
          </cell>
          <cell r="CN75">
            <v>19070</v>
          </cell>
          <cell r="CO75">
            <v>0.13500000000000001</v>
          </cell>
          <cell r="CP75">
            <v>17645</v>
          </cell>
          <cell r="CQ75">
            <v>0.124</v>
          </cell>
          <cell r="CR75">
            <v>8655</v>
          </cell>
          <cell r="CS75">
            <v>345</v>
          </cell>
          <cell r="CT75">
            <v>8310</v>
          </cell>
          <cell r="CU75">
            <v>0.94599999999999995</v>
          </cell>
          <cell r="CV75">
            <v>3498</v>
          </cell>
          <cell r="CW75">
            <v>4605</v>
          </cell>
          <cell r="CX75">
            <v>0.42299999999999999</v>
          </cell>
          <cell r="CY75">
            <v>0.55200000000000005</v>
          </cell>
          <cell r="DD75">
            <v>6935</v>
          </cell>
          <cell r="DE75">
            <v>540.92999999999995</v>
          </cell>
          <cell r="DF75">
            <v>7.8E-2</v>
          </cell>
          <cell r="DG75">
            <v>7.1999999999999995E-2</v>
          </cell>
          <cell r="DH75">
            <v>8.4000000000000005E-2</v>
          </cell>
          <cell r="DI75" t="str">
            <v>Sig better than Eng.</v>
          </cell>
          <cell r="DJ75">
            <v>7601</v>
          </cell>
          <cell r="DK75">
            <v>7601.08</v>
          </cell>
          <cell r="DL75">
            <v>0.08</v>
          </cell>
          <cell r="DM75">
            <v>7.3999999999999996E-2</v>
          </cell>
          <cell r="DN75">
            <v>8.6000000000000007E-2</v>
          </cell>
          <cell r="DO75" t="str">
            <v>Sig better than Eng.</v>
          </cell>
          <cell r="DP75">
            <v>6858</v>
          </cell>
          <cell r="DQ75">
            <v>541.78200000000004</v>
          </cell>
          <cell r="DR75">
            <v>7.9000000000000001E-2</v>
          </cell>
          <cell r="DS75">
            <v>7.2999999999999995E-2</v>
          </cell>
          <cell r="DT75">
            <v>8.5000000000000006E-2</v>
          </cell>
          <cell r="DU75" t="str">
            <v>Sig better than Eng.</v>
          </cell>
          <cell r="DV75">
            <v>7939</v>
          </cell>
          <cell r="DW75">
            <v>674.81500000000005</v>
          </cell>
          <cell r="DX75">
            <v>8.5000000000000006E-2</v>
          </cell>
          <cell r="DY75">
            <v>7.9000000000000001E-2</v>
          </cell>
          <cell r="DZ75">
            <v>9.1000000000000011E-2</v>
          </cell>
          <cell r="EA75" t="str">
            <v>Sig better than Eng.</v>
          </cell>
          <cell r="EB75">
            <v>7034</v>
          </cell>
          <cell r="EC75">
            <v>1104.338</v>
          </cell>
          <cell r="ED75">
            <v>0.157</v>
          </cell>
          <cell r="EE75">
            <v>0.14799999999999999</v>
          </cell>
          <cell r="EF75">
            <v>0.16600000000000001</v>
          </cell>
          <cell r="EG75" t="str">
            <v>Sig better than Eng.</v>
          </cell>
          <cell r="EH75">
            <v>7004</v>
          </cell>
          <cell r="EI75">
            <v>1113.636</v>
          </cell>
          <cell r="EJ75">
            <v>0.159</v>
          </cell>
          <cell r="EK75">
            <v>0.15</v>
          </cell>
          <cell r="EL75">
            <v>0.16800000000000001</v>
          </cell>
          <cell r="EM75" t="str">
            <v>Sig better than Eng.</v>
          </cell>
          <cell r="EN75">
            <v>6928</v>
          </cell>
          <cell r="EO75">
            <v>1080.768</v>
          </cell>
          <cell r="EP75">
            <v>0.156</v>
          </cell>
          <cell r="EQ75">
            <v>0.14699999999999999</v>
          </cell>
          <cell r="ER75">
            <v>0.16500000000000001</v>
          </cell>
          <cell r="ES75" t="str">
            <v>Sig better than Eng.</v>
          </cell>
          <cell r="ET75">
            <v>6804</v>
          </cell>
          <cell r="EU75">
            <v>1000.188</v>
          </cell>
          <cell r="EV75">
            <v>0.14699999999999999</v>
          </cell>
          <cell r="EW75">
            <v>0.13899999999999998</v>
          </cell>
          <cell r="EX75">
            <v>0.155</v>
          </cell>
          <cell r="EY75" t="str">
            <v>Sig better than Eng.</v>
          </cell>
          <cell r="FB75">
            <v>0.52</v>
          </cell>
          <cell r="FF75">
            <v>34</v>
          </cell>
          <cell r="FH75">
            <v>23.7</v>
          </cell>
          <cell r="FI75">
            <v>0.30399999999999999</v>
          </cell>
          <cell r="FL75">
            <v>0.59</v>
          </cell>
          <cell r="FP75">
            <v>34</v>
          </cell>
          <cell r="FR75">
            <v>24.5</v>
          </cell>
          <cell r="FS75">
            <v>0.27900000000000003</v>
          </cell>
          <cell r="FT75">
            <v>117072</v>
          </cell>
          <cell r="FU75">
            <v>113395</v>
          </cell>
          <cell r="FV75">
            <v>3677</v>
          </cell>
          <cell r="FW75">
            <v>3091</v>
          </cell>
          <cell r="FX75">
            <v>586</v>
          </cell>
          <cell r="FY75">
            <v>0.84063094914332337</v>
          </cell>
          <cell r="FZ75">
            <v>0.15936905085667663</v>
          </cell>
          <cell r="GA75">
            <v>0.88888888888888884</v>
          </cell>
          <cell r="GB75">
            <v>0.1111111111111111</v>
          </cell>
          <cell r="GC75">
            <v>0.10265589099194035</v>
          </cell>
          <cell r="GD75">
            <v>0.12016948154318471</v>
          </cell>
          <cell r="GE75">
            <v>0.9129116993331986</v>
          </cell>
          <cell r="GF75">
            <v>8.7088300666801371E-2</v>
          </cell>
          <cell r="GG75">
            <v>7.9549266554230474E-2</v>
          </cell>
          <cell r="GH75">
            <v>9.5267872762318642E-2</v>
          </cell>
          <cell r="GI75">
            <v>0.89232948795790323</v>
          </cell>
          <cell r="GJ75">
            <v>0.10767051204209674</v>
          </cell>
          <cell r="GK75">
            <v>9.9330388823194393E-2</v>
          </cell>
          <cell r="GL75">
            <v>0.11662022929165079</v>
          </cell>
          <cell r="GM75">
            <v>0.775904104022755</v>
          </cell>
          <cell r="GN75">
            <v>0.22409589597724502</v>
          </cell>
          <cell r="GO75">
            <v>0.21266415369596228</v>
          </cell>
          <cell r="GP75">
            <v>0.23595798632575507</v>
          </cell>
          <cell r="GQ75" t="str">
            <v>n/a</v>
          </cell>
          <cell r="GR75" t="str">
            <v>n/a</v>
          </cell>
          <cell r="GS75" t="str">
            <v>n/a</v>
          </cell>
          <cell r="GT75" t="str">
            <v>n/a</v>
          </cell>
          <cell r="GU75" t="str">
            <v>n/a</v>
          </cell>
          <cell r="GV75" t="str">
            <v>n/a</v>
          </cell>
          <cell r="GW75" t="str">
            <v>n/a</v>
          </cell>
          <cell r="GX75" t="str">
            <v>n/a</v>
          </cell>
          <cell r="GY75" t="str">
            <v>n/a</v>
          </cell>
          <cell r="GZ75" t="str">
            <v>n/a</v>
          </cell>
          <cell r="HA75" t="str">
            <v>n/a</v>
          </cell>
          <cell r="HB75" t="str">
            <v>n/a</v>
          </cell>
          <cell r="HC75" t="str">
            <v>n/a</v>
          </cell>
          <cell r="HD75" t="str">
            <v>n/a</v>
          </cell>
          <cell r="HE75" t="str">
            <v>n/a</v>
          </cell>
          <cell r="HF75" t="str">
            <v>n/a</v>
          </cell>
          <cell r="HG75" t="str">
            <v>n/a</v>
          </cell>
          <cell r="HH75" t="str">
            <v>n/a</v>
          </cell>
          <cell r="HI75" t="str">
            <v>n/a</v>
          </cell>
          <cell r="HJ75" t="str">
            <v>n/a</v>
          </cell>
          <cell r="HK75" t="str">
            <v>n/a</v>
          </cell>
          <cell r="HL75" t="str">
            <v>n/a</v>
          </cell>
          <cell r="HM75" t="str">
            <v>n/a</v>
          </cell>
          <cell r="HN75">
            <v>853</v>
          </cell>
          <cell r="HO75">
            <v>1.8369764186497255E-2</v>
          </cell>
          <cell r="HP75">
            <v>72948</v>
          </cell>
          <cell r="HQ75">
            <v>65639</v>
          </cell>
          <cell r="HR75">
            <v>7309</v>
          </cell>
          <cell r="HS75">
            <v>0.10019465920929978</v>
          </cell>
        </row>
        <row r="76">
          <cell r="A76" t="str">
            <v>South East</v>
          </cell>
          <cell r="C76" t="str">
            <v>n/a</v>
          </cell>
          <cell r="D76" t="str">
            <v>n/a</v>
          </cell>
          <cell r="E76" t="str">
            <v>n/a</v>
          </cell>
          <cell r="G76" t="str">
            <v>n/a</v>
          </cell>
          <cell r="H76" t="str">
            <v>n/a</v>
          </cell>
          <cell r="I76" t="str">
            <v>n/a</v>
          </cell>
          <cell r="J76" t="str">
            <v>n/a</v>
          </cell>
          <cell r="K76" t="str">
            <v>n/a</v>
          </cell>
          <cell r="L76">
            <v>8133100</v>
          </cell>
          <cell r="M76">
            <v>8202900</v>
          </cell>
          <cell r="N76">
            <v>8270900</v>
          </cell>
          <cell r="O76">
            <v>8351400</v>
          </cell>
          <cell r="P76">
            <v>8426400</v>
          </cell>
          <cell r="Q76">
            <v>8490900</v>
          </cell>
          <cell r="R76">
            <v>8577800</v>
          </cell>
          <cell r="S76">
            <v>8652800</v>
          </cell>
          <cell r="T76">
            <v>8724700</v>
          </cell>
          <cell r="U76">
            <v>8792600</v>
          </cell>
          <cell r="V76">
            <v>460400</v>
          </cell>
          <cell r="W76">
            <v>463200</v>
          </cell>
          <cell r="X76">
            <v>471000</v>
          </cell>
          <cell r="Y76">
            <v>485900</v>
          </cell>
          <cell r="Z76">
            <v>500100</v>
          </cell>
          <cell r="AA76">
            <v>510600</v>
          </cell>
          <cell r="AB76">
            <v>525200</v>
          </cell>
          <cell r="AC76">
            <v>536000</v>
          </cell>
          <cell r="AD76">
            <v>545700</v>
          </cell>
          <cell r="AE76">
            <v>547500</v>
          </cell>
          <cell r="AF76">
            <v>0.78797720104448421</v>
          </cell>
          <cell r="AG76">
            <v>4.9481969545237585E-2</v>
          </cell>
          <cell r="AH76">
            <v>5.8579089726431249E-2</v>
          </cell>
          <cell r="AI76">
            <v>7.2617855438149873E-2</v>
          </cell>
          <cell r="AJ76">
            <v>2.3922056772768537E-2</v>
          </cell>
          <cell r="AK76">
            <v>7.4218274729285797E-3</v>
          </cell>
          <cell r="AL76">
            <v>0.20955197619025334</v>
          </cell>
          <cell r="AM76">
            <v>1020973</v>
          </cell>
          <cell r="AN76">
            <v>0.60131071046932683</v>
          </cell>
          <cell r="AO76">
            <v>0.17231993402372051</v>
          </cell>
          <cell r="AP76">
            <v>0.22636935550695267</v>
          </cell>
          <cell r="AQ76">
            <v>103669</v>
          </cell>
          <cell r="AR76">
            <v>106434</v>
          </cell>
          <cell r="AS76">
            <v>107132</v>
          </cell>
          <cell r="AT76">
            <v>107858</v>
          </cell>
          <cell r="AU76">
            <v>102190</v>
          </cell>
          <cell r="AV76">
            <v>5317</v>
          </cell>
          <cell r="AW76">
            <v>4994</v>
          </cell>
          <cell r="AX76">
            <v>4521</v>
          </cell>
          <cell r="AY76">
            <v>4191</v>
          </cell>
          <cell r="AZ76">
            <v>3686</v>
          </cell>
          <cell r="BE76" t="str">
            <v>n/a</v>
          </cell>
          <cell r="BF76">
            <v>167421</v>
          </cell>
          <cell r="BG76">
            <v>162401</v>
          </cell>
          <cell r="BH76">
            <v>85422</v>
          </cell>
          <cell r="BJ76">
            <v>1041021</v>
          </cell>
          <cell r="BK76">
            <v>1860927</v>
          </cell>
          <cell r="BL76">
            <v>1044637</v>
          </cell>
          <cell r="BM76">
            <v>607685</v>
          </cell>
          <cell r="BN76">
            <v>566</v>
          </cell>
          <cell r="BO76">
            <v>138651</v>
          </cell>
          <cell r="BP76">
            <v>216366</v>
          </cell>
          <cell r="BQ76">
            <v>81369</v>
          </cell>
          <cell r="BU76">
            <v>215348</v>
          </cell>
          <cell r="BV76">
            <v>78504</v>
          </cell>
          <cell r="BW76">
            <v>0.364544829763917</v>
          </cell>
          <cell r="BX76">
            <v>22090</v>
          </cell>
          <cell r="BY76" t="str">
            <v>n/a</v>
          </cell>
          <cell r="BZ76">
            <v>143980</v>
          </cell>
          <cell r="CA76">
            <v>0.04</v>
          </cell>
          <cell r="CB76">
            <v>87780</v>
          </cell>
          <cell r="CC76">
            <v>87380</v>
          </cell>
          <cell r="CD76">
            <v>88800</v>
          </cell>
          <cell r="CE76">
            <v>84810</v>
          </cell>
          <cell r="CF76">
            <v>238745</v>
          </cell>
          <cell r="CG76">
            <v>0.156</v>
          </cell>
          <cell r="CH76">
            <v>233325</v>
          </cell>
          <cell r="CI76">
            <v>0.152</v>
          </cell>
          <cell r="CJ76">
            <v>249690</v>
          </cell>
          <cell r="CK76">
            <v>0.16</v>
          </cell>
          <cell r="CL76">
            <v>243950</v>
          </cell>
          <cell r="CM76">
            <v>0.155</v>
          </cell>
          <cell r="CN76">
            <v>239725</v>
          </cell>
          <cell r="CO76">
            <v>0.151</v>
          </cell>
          <cell r="CP76">
            <v>226290</v>
          </cell>
          <cell r="CQ76">
            <v>0.14199999999999999</v>
          </cell>
          <cell r="CY76">
            <v>0.48899999999999999</v>
          </cell>
          <cell r="DD76">
            <v>82264</v>
          </cell>
          <cell r="DE76">
            <v>7156.9679999999998</v>
          </cell>
          <cell r="DF76">
            <v>8.6999999999999994E-2</v>
          </cell>
          <cell r="DG76">
            <v>8.4999999999999992E-2</v>
          </cell>
          <cell r="DH76">
            <v>8.8999999999999996E-2</v>
          </cell>
          <cell r="DI76" t="str">
            <v>Sig better than Eng.</v>
          </cell>
          <cell r="DJ76">
            <v>83380</v>
          </cell>
          <cell r="DK76">
            <v>83380.081999999995</v>
          </cell>
          <cell r="DL76">
            <v>8.2000000000000003E-2</v>
          </cell>
          <cell r="DM76">
            <v>0.08</v>
          </cell>
          <cell r="DN76">
            <v>8.4000000000000005E-2</v>
          </cell>
          <cell r="DO76" t="str">
            <v>Sig better than Eng.</v>
          </cell>
          <cell r="DP76">
            <v>87844</v>
          </cell>
          <cell r="DQ76">
            <v>7291.0520000000006</v>
          </cell>
          <cell r="DR76">
            <v>8.3000000000000004E-2</v>
          </cell>
          <cell r="DS76">
            <v>8.1000000000000003E-2</v>
          </cell>
          <cell r="DT76">
            <v>8.5000000000000006E-2</v>
          </cell>
          <cell r="DU76" t="str">
            <v>Sig better than Eng.</v>
          </cell>
          <cell r="DV76">
            <v>89710</v>
          </cell>
          <cell r="DW76">
            <v>7087.09</v>
          </cell>
          <cell r="DX76">
            <v>7.9000000000000001E-2</v>
          </cell>
          <cell r="DY76">
            <v>7.6999999999999999E-2</v>
          </cell>
          <cell r="DZ76">
            <v>8.1000000000000003E-2</v>
          </cell>
          <cell r="EA76" t="str">
            <v>Sig better than Eng.</v>
          </cell>
          <cell r="EB76">
            <v>78560</v>
          </cell>
          <cell r="EC76">
            <v>13040.960000000001</v>
          </cell>
          <cell r="ED76">
            <v>0.16600000000000001</v>
          </cell>
          <cell r="EE76">
            <v>0.16300000000000001</v>
          </cell>
          <cell r="EF76">
            <v>0.16900000000000001</v>
          </cell>
          <cell r="EG76" t="str">
            <v>Sig better than Eng.</v>
          </cell>
          <cell r="EH76">
            <v>76553</v>
          </cell>
          <cell r="EI76">
            <v>12707.798000000001</v>
          </cell>
          <cell r="EJ76">
            <v>0.16600000000000001</v>
          </cell>
          <cell r="EK76">
            <v>0.16300000000000001</v>
          </cell>
          <cell r="EL76">
            <v>0.16900000000000001</v>
          </cell>
          <cell r="EM76" t="str">
            <v>Sig better than Eng.</v>
          </cell>
          <cell r="EN76">
            <v>76433</v>
          </cell>
          <cell r="EO76">
            <v>12611.445</v>
          </cell>
          <cell r="EP76">
            <v>0.16500000000000001</v>
          </cell>
          <cell r="EQ76">
            <v>0.16200000000000001</v>
          </cell>
          <cell r="ER76">
            <v>0.16800000000000001</v>
          </cell>
          <cell r="ES76" t="str">
            <v>Sig better than Eng.</v>
          </cell>
          <cell r="ET76">
            <v>76191</v>
          </cell>
          <cell r="EU76">
            <v>12190.56</v>
          </cell>
          <cell r="EV76">
            <v>0.16</v>
          </cell>
          <cell r="EW76">
            <v>0.157</v>
          </cell>
          <cell r="EX76">
            <v>0.16300000000000001</v>
          </cell>
          <cell r="EY76" t="str">
            <v>Sig better than Eng.</v>
          </cell>
          <cell r="FB76">
            <v>0.54</v>
          </cell>
          <cell r="FF76">
            <v>34</v>
          </cell>
          <cell r="FH76">
            <v>23.4</v>
          </cell>
          <cell r="FI76">
            <v>0.311</v>
          </cell>
          <cell r="FL76">
            <v>0.64</v>
          </cell>
          <cell r="FP76">
            <v>34</v>
          </cell>
          <cell r="FR76">
            <v>24.7</v>
          </cell>
          <cell r="FS76">
            <v>0.27500000000000002</v>
          </cell>
          <cell r="FT76">
            <v>1321193</v>
          </cell>
          <cell r="FU76">
            <v>1269063</v>
          </cell>
          <cell r="FV76">
            <v>52130</v>
          </cell>
          <cell r="FW76">
            <v>43594</v>
          </cell>
          <cell r="FX76">
            <v>8536</v>
          </cell>
          <cell r="FY76">
            <v>0.83625551505850759</v>
          </cell>
          <cell r="FZ76">
            <v>0.16374448494149244</v>
          </cell>
          <cell r="GQ76" t="str">
            <v>n/a</v>
          </cell>
          <cell r="GR76" t="str">
            <v>n/a</v>
          </cell>
          <cell r="GS76" t="str">
            <v>n/a</v>
          </cell>
          <cell r="GT76" t="str">
            <v>n/a</v>
          </cell>
          <cell r="GU76" t="str">
            <v>n/a</v>
          </cell>
          <cell r="GV76" t="str">
            <v>n/a</v>
          </cell>
          <cell r="GW76" t="str">
            <v>n/a</v>
          </cell>
          <cell r="GX76" t="str">
            <v>n/a</v>
          </cell>
          <cell r="GY76" t="str">
            <v>n/a</v>
          </cell>
          <cell r="GZ76" t="str">
            <v>n/a</v>
          </cell>
          <cell r="HA76" t="str">
            <v>n/a</v>
          </cell>
          <cell r="HB76" t="str">
            <v>n/a</v>
          </cell>
          <cell r="HC76" t="str">
            <v>n/a</v>
          </cell>
          <cell r="HD76" t="str">
            <v>n/a</v>
          </cell>
          <cell r="HE76" t="str">
            <v>n/a</v>
          </cell>
          <cell r="HF76" t="str">
            <v>n/a</v>
          </cell>
          <cell r="HG76" t="str">
            <v>n/a</v>
          </cell>
          <cell r="HH76" t="str">
            <v>n/a</v>
          </cell>
          <cell r="HI76" t="str">
            <v>n/a</v>
          </cell>
          <cell r="HJ76" t="str">
            <v>n/a</v>
          </cell>
          <cell r="HK76" t="str">
            <v>n/a</v>
          </cell>
          <cell r="HL76" t="str">
            <v>n/a</v>
          </cell>
          <cell r="HM76" t="str">
            <v>n/a</v>
          </cell>
          <cell r="HN76">
            <v>10296</v>
          </cell>
          <cell r="HO76">
            <v>1.9291520050364809E-2</v>
          </cell>
          <cell r="HP76">
            <v>838584</v>
          </cell>
          <cell r="HQ76">
            <v>748605</v>
          </cell>
          <cell r="HR76">
            <v>89979</v>
          </cell>
          <cell r="HS76">
            <v>0.10729873214847886</v>
          </cell>
        </row>
        <row r="77">
          <cell r="A77" t="str">
            <v>England</v>
          </cell>
          <cell r="C77" t="str">
            <v>n/a</v>
          </cell>
          <cell r="D77" t="str">
            <v>n/a</v>
          </cell>
          <cell r="E77" t="str">
            <v>n/a</v>
          </cell>
          <cell r="G77" t="str">
            <v>n/a</v>
          </cell>
          <cell r="H77" t="str">
            <v>n/a</v>
          </cell>
          <cell r="I77" t="str">
            <v>n/a</v>
          </cell>
          <cell r="J77" t="str">
            <v>n/a</v>
          </cell>
          <cell r="K77" t="str">
            <v>n/a</v>
          </cell>
          <cell r="L77">
            <v>50194600</v>
          </cell>
          <cell r="M77">
            <v>50606000</v>
          </cell>
          <cell r="N77">
            <v>50965200</v>
          </cell>
          <cell r="O77">
            <v>51381100</v>
          </cell>
          <cell r="P77">
            <v>51815900</v>
          </cell>
          <cell r="Q77">
            <v>52196400</v>
          </cell>
          <cell r="R77">
            <v>52642500</v>
          </cell>
          <cell r="S77">
            <v>53107200</v>
          </cell>
          <cell r="T77">
            <v>53493700</v>
          </cell>
          <cell r="U77">
            <v>53865800</v>
          </cell>
          <cell r="V77">
            <v>2876000</v>
          </cell>
          <cell r="W77">
            <v>2908000</v>
          </cell>
          <cell r="X77">
            <v>2963100</v>
          </cell>
          <cell r="Y77">
            <v>3049000</v>
          </cell>
          <cell r="Z77">
            <v>3142700</v>
          </cell>
          <cell r="AA77">
            <v>3211900</v>
          </cell>
          <cell r="AB77">
            <v>3280500</v>
          </cell>
          <cell r="AC77">
            <v>3328700</v>
          </cell>
          <cell r="AD77">
            <v>3393300</v>
          </cell>
          <cell r="AE77">
            <v>3414100</v>
          </cell>
          <cell r="AF77">
            <v>0.70716448944537358</v>
          </cell>
          <cell r="AG77">
            <v>5.2382889602073254E-2</v>
          </cell>
          <cell r="AH77">
            <v>6.4863113803130978E-2</v>
          </cell>
          <cell r="AI77">
            <v>0.10811824797721828</v>
          </cell>
          <cell r="AJ77">
            <v>5.2839428046226398E-2</v>
          </cell>
          <cell r="AK77">
            <v>1.463032439843903E-2</v>
          </cell>
          <cell r="AL77">
            <v>0.29015956244632285</v>
          </cell>
          <cell r="AM77">
            <v>6286051</v>
          </cell>
          <cell r="AN77">
            <v>0.55249679011512953</v>
          </cell>
          <cell r="AO77">
            <v>0.21446978397089048</v>
          </cell>
          <cell r="AP77">
            <v>0.23303342591398002</v>
          </cell>
          <cell r="AQ77">
            <v>671058</v>
          </cell>
          <cell r="AR77">
            <v>687006</v>
          </cell>
          <cell r="AS77">
            <v>688120</v>
          </cell>
          <cell r="AT77">
            <v>694241</v>
          </cell>
          <cell r="AU77">
            <v>664517</v>
          </cell>
          <cell r="AV77">
            <v>40359</v>
          </cell>
          <cell r="AW77">
            <v>37844</v>
          </cell>
          <cell r="AX77">
            <v>34025</v>
          </cell>
          <cell r="AY77">
            <v>31566</v>
          </cell>
          <cell r="AZ77">
            <v>27213</v>
          </cell>
          <cell r="BE77" t="str">
            <v>n/a</v>
          </cell>
          <cell r="BF77">
            <v>1064130</v>
          </cell>
          <cell r="BG77">
            <v>957255</v>
          </cell>
          <cell r="BH77">
            <v>566275</v>
          </cell>
          <cell r="BJ77">
            <v>6408564</v>
          </cell>
          <cell r="BK77">
            <v>11437443</v>
          </cell>
          <cell r="BL77">
            <v>6423941</v>
          </cell>
          <cell r="BM77">
            <v>3373005</v>
          </cell>
          <cell r="BN77">
            <v>2885</v>
          </cell>
          <cell r="BO77">
            <v>890780</v>
          </cell>
          <cell r="BP77">
            <v>1573255</v>
          </cell>
          <cell r="BQ77">
            <v>584016</v>
          </cell>
          <cell r="BU77">
            <v>1564681</v>
          </cell>
          <cell r="BV77">
            <v>634019</v>
          </cell>
          <cell r="BW77">
            <v>0.40520655648020265</v>
          </cell>
          <cell r="BX77">
            <v>151744</v>
          </cell>
          <cell r="BY77" t="str">
            <v>n/a</v>
          </cell>
          <cell r="BZ77">
            <v>1249560</v>
          </cell>
          <cell r="CA77">
            <v>5.7000000000000002E-2</v>
          </cell>
          <cell r="CB77">
            <v>724870</v>
          </cell>
          <cell r="CC77">
            <v>721690</v>
          </cell>
          <cell r="CD77">
            <v>731670</v>
          </cell>
          <cell r="CE77">
            <v>700500</v>
          </cell>
          <cell r="CF77">
            <v>2141960</v>
          </cell>
          <cell r="CG77">
            <v>0.224</v>
          </cell>
          <cell r="CH77">
            <v>2068970</v>
          </cell>
          <cell r="CI77">
            <v>0.216</v>
          </cell>
          <cell r="CJ77">
            <v>2131350</v>
          </cell>
          <cell r="CK77">
            <v>0.219</v>
          </cell>
          <cell r="CL77">
            <v>2066320</v>
          </cell>
          <cell r="CM77">
            <v>0.21099999999999999</v>
          </cell>
          <cell r="CN77">
            <v>2026465</v>
          </cell>
          <cell r="CO77">
            <v>0.20599999999999999</v>
          </cell>
          <cell r="CP77">
            <v>1910205</v>
          </cell>
          <cell r="CQ77">
            <v>0.192</v>
          </cell>
          <cell r="CY77">
            <v>0.47099999999999997</v>
          </cell>
          <cell r="DD77">
            <v>526499</v>
          </cell>
          <cell r="DE77">
            <v>51596.902000000002</v>
          </cell>
          <cell r="DF77">
            <v>9.8000000000000004E-2</v>
          </cell>
          <cell r="DG77">
            <v>9.7000000000000003E-2</v>
          </cell>
          <cell r="DH77">
            <v>9.9000000000000005E-2</v>
          </cell>
          <cell r="DJ77">
            <v>540228</v>
          </cell>
          <cell r="DK77">
            <v>540228.09400000004</v>
          </cell>
          <cell r="DL77">
            <v>9.4E-2</v>
          </cell>
          <cell r="DM77">
            <v>9.2999999999999999E-2</v>
          </cell>
          <cell r="DN77">
            <v>9.5000000000000001E-2</v>
          </cell>
          <cell r="DP77">
            <v>565662</v>
          </cell>
          <cell r="DQ77">
            <v>53737.89</v>
          </cell>
          <cell r="DR77">
            <v>9.5000000000000001E-2</v>
          </cell>
          <cell r="DS77">
            <v>9.4E-2</v>
          </cell>
          <cell r="DT77">
            <v>9.6000000000000002E-2</v>
          </cell>
          <cell r="DV77">
            <v>586332</v>
          </cell>
          <cell r="DW77">
            <v>54528.875999999997</v>
          </cell>
          <cell r="DX77">
            <v>9.2999999999999999E-2</v>
          </cell>
          <cell r="DY77">
            <v>9.1999999999999998E-2</v>
          </cell>
          <cell r="DZ77">
            <v>9.4E-2</v>
          </cell>
          <cell r="EB77">
            <v>499867</v>
          </cell>
          <cell r="EC77">
            <v>93475.129000000001</v>
          </cell>
          <cell r="ED77">
            <v>0.187</v>
          </cell>
          <cell r="EE77">
            <v>0.186</v>
          </cell>
          <cell r="EF77">
            <v>0.188</v>
          </cell>
          <cell r="EH77">
            <v>464334</v>
          </cell>
          <cell r="EI77">
            <v>88223.46</v>
          </cell>
          <cell r="EJ77">
            <v>0.19</v>
          </cell>
          <cell r="EK77">
            <v>0.189</v>
          </cell>
          <cell r="EL77">
            <v>0.191</v>
          </cell>
          <cell r="EN77">
            <v>491118</v>
          </cell>
          <cell r="EO77">
            <v>94294.656000000003</v>
          </cell>
          <cell r="EP77">
            <v>0.192</v>
          </cell>
          <cell r="EQ77">
            <v>0.191</v>
          </cell>
          <cell r="ER77">
            <v>0.193</v>
          </cell>
          <cell r="ET77">
            <v>487817</v>
          </cell>
          <cell r="EU77">
            <v>92197.413</v>
          </cell>
          <cell r="EV77">
            <v>0.189</v>
          </cell>
          <cell r="EW77">
            <v>0.188</v>
          </cell>
          <cell r="EX77">
            <v>0.19</v>
          </cell>
          <cell r="FB77">
            <v>0.52</v>
          </cell>
          <cell r="FF77">
            <v>34</v>
          </cell>
          <cell r="FH77">
            <v>21.6</v>
          </cell>
          <cell r="FI77">
            <v>0.36599999999999999</v>
          </cell>
          <cell r="FL77">
            <v>0.6</v>
          </cell>
          <cell r="FP77">
            <v>34</v>
          </cell>
          <cell r="FR77">
            <v>22.5</v>
          </cell>
          <cell r="FS77">
            <v>0.33900000000000002</v>
          </cell>
          <cell r="FT77">
            <v>8015990</v>
          </cell>
          <cell r="FU77">
            <v>7549840</v>
          </cell>
          <cell r="FV77">
            <v>466150</v>
          </cell>
          <cell r="FW77">
            <v>390060</v>
          </cell>
          <cell r="FX77">
            <v>76090</v>
          </cell>
          <cell r="FY77">
            <v>0.83676928027458974</v>
          </cell>
          <cell r="FZ77">
            <v>0.16323071972541028</v>
          </cell>
          <cell r="GQ77" t="str">
            <v>n/a</v>
          </cell>
          <cell r="GR77" t="str">
            <v>n/a</v>
          </cell>
          <cell r="GS77" t="str">
            <v>n/a</v>
          </cell>
          <cell r="GT77" t="str">
            <v>n/a</v>
          </cell>
          <cell r="GU77" t="str">
            <v>n/a</v>
          </cell>
          <cell r="GV77" t="str">
            <v>n/a</v>
          </cell>
          <cell r="GW77" t="str">
            <v>n/a</v>
          </cell>
          <cell r="GX77" t="str">
            <v>n/a</v>
          </cell>
          <cell r="GY77" t="str">
            <v>n/a</v>
          </cell>
          <cell r="GZ77" t="str">
            <v>n/a</v>
          </cell>
          <cell r="HA77" t="str">
            <v>n/a</v>
          </cell>
          <cell r="HB77" t="str">
            <v>n/a</v>
          </cell>
          <cell r="HC77" t="str">
            <v>n/a</v>
          </cell>
          <cell r="HD77" t="str">
            <v>n/a</v>
          </cell>
          <cell r="HE77" t="str">
            <v>n/a</v>
          </cell>
          <cell r="HF77" t="str">
            <v>n/a</v>
          </cell>
          <cell r="HG77" t="str">
            <v>n/a</v>
          </cell>
          <cell r="HH77" t="str">
            <v>n/a</v>
          </cell>
          <cell r="HI77" t="str">
            <v>n/a</v>
          </cell>
          <cell r="HJ77" t="str">
            <v>n/a</v>
          </cell>
          <cell r="HK77" t="str">
            <v>n/a</v>
          </cell>
          <cell r="HL77" t="str">
            <v>n/a</v>
          </cell>
          <cell r="HM77" t="str">
            <v>n/a</v>
          </cell>
          <cell r="HN77">
            <v>70922</v>
          </cell>
          <cell r="HO77">
            <v>2.1388687416405674E-2</v>
          </cell>
          <cell r="HP77">
            <v>5223191</v>
          </cell>
          <cell r="HQ77">
            <v>4482036</v>
          </cell>
          <cell r="HR77">
            <v>741155</v>
          </cell>
          <cell r="HS77">
            <v>0.14189697447403321</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10.xml.rels><?xml version="1.0" encoding="UTF-8" standalone="yes"?>
<Relationships xmlns="http://schemas.openxmlformats.org/package/2006/relationships"><Relationship Id="rId8" Type="http://schemas.openxmlformats.org/officeDocument/2006/relationships/hyperlink" Target="http://reports.ofsted.gov.uk/inspection-reports/find-inspection-report/provider/ELS/80266" TargetMode="External"/><Relationship Id="rId13" Type="http://schemas.openxmlformats.org/officeDocument/2006/relationships/hyperlink" Target="http://reports.ofsted.gov.uk/inspection-reports/find-inspection-report/provider/ELS/80191" TargetMode="External"/><Relationship Id="rId18" Type="http://schemas.openxmlformats.org/officeDocument/2006/relationships/hyperlink" Target="http://reports.ofsted.gov.uk/inspection-reports/find-inspection-report/provider/ELS/21563" TargetMode="External"/><Relationship Id="rId26" Type="http://schemas.openxmlformats.org/officeDocument/2006/relationships/hyperlink" Target="http://reports.ofsted.gov.uk/inspection-reports/find-inspection-report/provider/ELS/80305" TargetMode="External"/><Relationship Id="rId3" Type="http://schemas.openxmlformats.org/officeDocument/2006/relationships/hyperlink" Target="http://reports.ofsted.gov.uk/inspection-reports/find-inspection-report/provider/ELS/80374" TargetMode="External"/><Relationship Id="rId21" Type="http://schemas.openxmlformats.org/officeDocument/2006/relationships/hyperlink" Target="http://reports.ofsted.gov.uk/inspection-reports/find-inspection-report/provider/ELS/22587" TargetMode="External"/><Relationship Id="rId34" Type="http://schemas.openxmlformats.org/officeDocument/2006/relationships/printerSettings" Target="../printerSettings/printerSettings10.bin"/><Relationship Id="rId7" Type="http://schemas.openxmlformats.org/officeDocument/2006/relationships/hyperlink" Target="http://reports.ofsted.gov.uk/inspection-reports/find-inspection-report/provider/ELS/80266" TargetMode="External"/><Relationship Id="rId12" Type="http://schemas.openxmlformats.org/officeDocument/2006/relationships/hyperlink" Target="http://reports.ofsted.gov.uk/inspection-reports/find-inspection-report/provider/ELS/80206" TargetMode="External"/><Relationship Id="rId17" Type="http://schemas.openxmlformats.org/officeDocument/2006/relationships/hyperlink" Target="http://reports.ofsted.gov.uk/inspection-reports/find-inspection-report/provider/ELS/20690" TargetMode="External"/><Relationship Id="rId25" Type="http://schemas.openxmlformats.org/officeDocument/2006/relationships/hyperlink" Target="http://reports.ofsted.gov.uk/inspection-reports/find-inspection-report/provider/ELS/80312" TargetMode="External"/><Relationship Id="rId33" Type="http://schemas.openxmlformats.org/officeDocument/2006/relationships/hyperlink" Target="http://reports.ofsted.gov.uk/inspection-reports/find-inspection-report/provider/ELS/80773" TargetMode="External"/><Relationship Id="rId2" Type="http://schemas.openxmlformats.org/officeDocument/2006/relationships/hyperlink" Target="http://reports.ofsted.gov.uk/inspection-reports/find-inspection-report/provider/ELS/80374" TargetMode="External"/><Relationship Id="rId16" Type="http://schemas.openxmlformats.org/officeDocument/2006/relationships/hyperlink" Target="http://reports.ofsted.gov.uk/inspection-reports/find-inspection-report/provider/ELS/20357" TargetMode="External"/><Relationship Id="rId20" Type="http://schemas.openxmlformats.org/officeDocument/2006/relationships/hyperlink" Target="http://reports.ofsted.gov.uk/inspection-reports/find-inspection-report/provider/ELS/22371" TargetMode="External"/><Relationship Id="rId29" Type="http://schemas.openxmlformats.org/officeDocument/2006/relationships/hyperlink" Target="http://reports.ofsted.gov.uk/inspection-reports/find-inspection-report/provider/ELS/22580" TargetMode="External"/><Relationship Id="rId1" Type="http://schemas.openxmlformats.org/officeDocument/2006/relationships/hyperlink" Target="http://reports.ofsted.gov.uk/inspection-reports/find-inspection-report/provider/ELS/80374" TargetMode="External"/><Relationship Id="rId6" Type="http://schemas.openxmlformats.org/officeDocument/2006/relationships/hyperlink" Target="http://reports.ofsted.gov.uk/inspection-reports/find-inspection-report/provider/ELS/80266" TargetMode="External"/><Relationship Id="rId11" Type="http://schemas.openxmlformats.org/officeDocument/2006/relationships/hyperlink" Target="http://reports.ofsted.gov.uk/inspection-reports/find-inspection-report/provider/ELS/80206" TargetMode="External"/><Relationship Id="rId24" Type="http://schemas.openxmlformats.org/officeDocument/2006/relationships/hyperlink" Target="http://reports.ofsted.gov.uk/inspection-reports/find-inspection-report/provider/ELS/80312" TargetMode="External"/><Relationship Id="rId32" Type="http://schemas.openxmlformats.org/officeDocument/2006/relationships/hyperlink" Target="http://reports.ofsted.gov.uk/inspection-reports/find-inspection-report/provider/ELS/80773" TargetMode="External"/><Relationship Id="rId5" Type="http://schemas.openxmlformats.org/officeDocument/2006/relationships/hyperlink" Target="http://reports.ofsted.gov.uk/inspection-reports/find-inspection-report/provider/ELS/80266" TargetMode="External"/><Relationship Id="rId15" Type="http://schemas.openxmlformats.org/officeDocument/2006/relationships/hyperlink" Target="http://reports.ofsted.gov.uk/inspection-reports/find-inspection-report/provider/ELS/80191" TargetMode="External"/><Relationship Id="rId23" Type="http://schemas.openxmlformats.org/officeDocument/2006/relationships/hyperlink" Target="http://reports.ofsted.gov.uk/inspection-reports/find-inspection-report/provider/ELS/80312" TargetMode="External"/><Relationship Id="rId28" Type="http://schemas.openxmlformats.org/officeDocument/2006/relationships/hyperlink" Target="http://reports.ofsted.gov.uk/inspection-reports/find-inspection-report/provider/ELS/22585" TargetMode="External"/><Relationship Id="rId36" Type="http://schemas.openxmlformats.org/officeDocument/2006/relationships/comments" Target="../comments1.xml"/><Relationship Id="rId10" Type="http://schemas.openxmlformats.org/officeDocument/2006/relationships/hyperlink" Target="http://reports.ofsted.gov.uk/inspection-reports/find-inspection-report/provider/ELS/80206" TargetMode="External"/><Relationship Id="rId19" Type="http://schemas.openxmlformats.org/officeDocument/2006/relationships/hyperlink" Target="http://reports.ofsted.gov.uk/inspection-reports/find-inspection-report/provider/ELS/22003" TargetMode="External"/><Relationship Id="rId31" Type="http://schemas.openxmlformats.org/officeDocument/2006/relationships/hyperlink" Target="http://reports.ofsted.gov.uk/inspection-reports/find-inspection-report/provider/ELS/21023" TargetMode="External"/><Relationship Id="rId4" Type="http://schemas.openxmlformats.org/officeDocument/2006/relationships/hyperlink" Target="http://reports.ofsted.gov.uk/inspection-reports/find-inspection-report/provider/ELS/80266" TargetMode="External"/><Relationship Id="rId9" Type="http://schemas.openxmlformats.org/officeDocument/2006/relationships/hyperlink" Target="http://reports.ofsted.gov.uk/inspection-reports/find-inspection-report/provider/ELS/80266" TargetMode="External"/><Relationship Id="rId14" Type="http://schemas.openxmlformats.org/officeDocument/2006/relationships/hyperlink" Target="http://reports.ofsted.gov.uk/inspection-reports/find-inspection-report/provider/ELS/80191" TargetMode="External"/><Relationship Id="rId22" Type="http://schemas.openxmlformats.org/officeDocument/2006/relationships/hyperlink" Target="http://reports.ofsted.gov.uk/inspection-reports/find-inspection-report/provider/ELS/22667" TargetMode="External"/><Relationship Id="rId27" Type="http://schemas.openxmlformats.org/officeDocument/2006/relationships/hyperlink" Target="http://reports.ofsted.gov.uk/inspection-reports/find-inspection-report/provider/ELS/80305" TargetMode="External"/><Relationship Id="rId30" Type="http://schemas.openxmlformats.org/officeDocument/2006/relationships/hyperlink" Target="http://reports.ofsted.gov.uk/inspection-reports/find-inspection-report/provider/ELS/21421" TargetMode="External"/><Relationship Id="rId35"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westsussex.gov.uk/about-the-council/strategies-plans-and-policies/childrens-social-care-and-health-plans-and-policies/healthy-children-and-family-centre-programme/"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4.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8.xml"/><Relationship Id="rId2" Type="http://schemas.openxmlformats.org/officeDocument/2006/relationships/drawing" Target="../drawings/drawing6.xml"/><Relationship Id="rId1" Type="http://schemas.openxmlformats.org/officeDocument/2006/relationships/printerSettings" Target="../printerSettings/printerSettings5.bin"/><Relationship Id="rId6" Type="http://schemas.openxmlformats.org/officeDocument/2006/relationships/ctrlProp" Target="../ctrlProps/ctrlProp7.xml"/><Relationship Id="rId5" Type="http://schemas.openxmlformats.org/officeDocument/2006/relationships/image" Target="../media/image4.emf"/><Relationship Id="rId4" Type="http://schemas.openxmlformats.org/officeDocument/2006/relationships/oleObject" Target="../embeddings/oleObject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7.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8.bin"/><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9.xml.rels><?xml version="1.0" encoding="UTF-8" standalone="yes"?>
<Relationships xmlns="http://schemas.openxmlformats.org/package/2006/relationships"><Relationship Id="rId8" Type="http://schemas.openxmlformats.org/officeDocument/2006/relationships/hyperlink" Target="http://www.capt.org.uk/" TargetMode="External"/><Relationship Id="rId3" Type="http://schemas.openxmlformats.org/officeDocument/2006/relationships/hyperlink" Target="http://www.poverty.ac.uk/report-poverty-measurement-life-chances-children-parenting-uk-government-policy/field-review" TargetMode="External"/><Relationship Id="rId7" Type="http://schemas.openxmlformats.org/officeDocument/2006/relationships/hyperlink" Target="http://www.ons.gov.uk/ons/dcp171778_413784.pdf" TargetMode="External"/><Relationship Id="rId12" Type="http://schemas.openxmlformats.org/officeDocument/2006/relationships/drawing" Target="../drawings/drawing10.xml"/><Relationship Id="rId2" Type="http://schemas.openxmlformats.org/officeDocument/2006/relationships/hyperlink" Target="https://www.gov.uk/government/uploads/system/uploads/attachment_data/file/285389/Cm_8781_Child_Poverty_Evidence_Review_Print.pdf" TargetMode="External"/><Relationship Id="rId1" Type="http://schemas.openxmlformats.org/officeDocument/2006/relationships/hyperlink" Target="http://www.unicef.org.uk/BabyFriendly/" TargetMode="External"/><Relationship Id="rId6" Type="http://schemas.openxmlformats.org/officeDocument/2006/relationships/hyperlink" Target="http://www.instituteofhealthequity.org/projects/fair-society-healthy-lives-the-marmot-review" TargetMode="External"/><Relationship Id="rId11" Type="http://schemas.openxmlformats.org/officeDocument/2006/relationships/printerSettings" Target="../printerSettings/printerSettings9.bin"/><Relationship Id="rId5" Type="http://schemas.openxmlformats.org/officeDocument/2006/relationships/hyperlink" Target="https://www.gov.uk/government/publications/commissioning-of-public-health-services-for-children" TargetMode="External"/><Relationship Id="rId10" Type="http://schemas.openxmlformats.org/officeDocument/2006/relationships/hyperlink" Target="http://webarchive.nationalarchives.gov.uk/20130401151715/http:/www.education.gov.uk/publications/standard/publicationdetail/page1/DCSF-00632-2008" TargetMode="External"/><Relationship Id="rId4" Type="http://schemas.openxmlformats.org/officeDocument/2006/relationships/hyperlink" Target="https://www.gov.uk/government/publications/commissioning-of-public-health-services-for-children" TargetMode="External"/><Relationship Id="rId9" Type="http://schemas.openxmlformats.org/officeDocument/2006/relationships/hyperlink" Target="http://www.lullabytrust.org.u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8" tint="0.39997558519241921"/>
    <pageSetUpPr fitToPage="1"/>
  </sheetPr>
  <dimension ref="A1:L55"/>
  <sheetViews>
    <sheetView tabSelected="1" zoomScaleNormal="100" zoomScaleSheetLayoutView="100" zoomScalePageLayoutView="80" workbookViewId="0"/>
  </sheetViews>
  <sheetFormatPr defaultRowHeight="14.25" x14ac:dyDescent="0.2"/>
  <cols>
    <col min="1" max="10" width="8.796875" style="1"/>
    <col min="11" max="11" width="18.5" style="1" customWidth="1"/>
    <col min="12" max="12" width="8.796875" style="1" customWidth="1"/>
    <col min="13" max="16384" width="8.796875" style="1"/>
  </cols>
  <sheetData>
    <row r="1" spans="1:12" x14ac:dyDescent="0.2">
      <c r="A1" s="6"/>
      <c r="B1" s="6"/>
      <c r="C1" s="6"/>
      <c r="D1" s="6"/>
      <c r="E1" s="6"/>
      <c r="F1" s="6"/>
      <c r="G1" s="6"/>
      <c r="H1" s="6"/>
      <c r="I1" s="6"/>
      <c r="J1" s="6"/>
      <c r="K1" s="6"/>
      <c r="L1" s="6"/>
    </row>
    <row r="2" spans="1:12" ht="17.25" customHeight="1" x14ac:dyDescent="0.2">
      <c r="A2" s="587"/>
      <c r="B2" s="588"/>
      <c r="C2" s="588"/>
      <c r="D2" s="588"/>
      <c r="E2" s="588"/>
      <c r="F2" s="588"/>
      <c r="G2" s="588"/>
      <c r="H2" s="588"/>
      <c r="I2" s="588"/>
      <c r="J2" s="588"/>
      <c r="K2" s="588"/>
      <c r="L2" s="588"/>
    </row>
    <row r="3" spans="1:12" ht="15" x14ac:dyDescent="0.25">
      <c r="A3" s="2"/>
      <c r="B3" s="2"/>
      <c r="C3" s="2"/>
      <c r="D3" s="2"/>
      <c r="E3" s="2"/>
      <c r="F3" s="2"/>
      <c r="G3" s="2"/>
      <c r="H3" s="2"/>
      <c r="I3" s="2"/>
      <c r="J3" s="2"/>
      <c r="K3" s="2"/>
      <c r="L3" s="2"/>
    </row>
    <row r="4" spans="1:12" ht="15" x14ac:dyDescent="0.25">
      <c r="A4" s="2"/>
      <c r="B4" s="2"/>
      <c r="C4" s="2"/>
      <c r="D4" s="2"/>
      <c r="E4" s="2"/>
      <c r="F4" s="2"/>
      <c r="G4" s="2"/>
      <c r="H4" s="2"/>
      <c r="I4" s="2"/>
      <c r="J4" s="2"/>
      <c r="K4" s="2"/>
      <c r="L4" s="2"/>
    </row>
    <row r="5" spans="1:12" ht="15" x14ac:dyDescent="0.25">
      <c r="A5" s="2"/>
      <c r="B5" s="2"/>
      <c r="C5" s="2"/>
      <c r="D5" s="2"/>
      <c r="E5" s="2"/>
      <c r="F5" s="2"/>
      <c r="G5" s="2"/>
      <c r="H5" s="2"/>
      <c r="I5" s="2"/>
      <c r="J5" s="2"/>
      <c r="K5" s="2"/>
      <c r="L5" s="2"/>
    </row>
    <row r="6" spans="1:12" ht="15" x14ac:dyDescent="0.25">
      <c r="A6" s="2"/>
      <c r="B6" s="2"/>
      <c r="C6" s="2"/>
      <c r="D6" s="2"/>
      <c r="E6" s="2"/>
      <c r="F6" s="2"/>
      <c r="G6" s="2"/>
      <c r="H6" s="2"/>
      <c r="I6" s="2"/>
      <c r="J6" s="2"/>
      <c r="K6" s="2"/>
      <c r="L6" s="2"/>
    </row>
    <row r="7" spans="1:12" ht="15" x14ac:dyDescent="0.25">
      <c r="A7" s="2"/>
      <c r="B7" s="2"/>
      <c r="C7" s="2"/>
      <c r="D7" s="2"/>
      <c r="E7" s="2"/>
      <c r="F7" s="2"/>
      <c r="G7" s="2"/>
      <c r="H7" s="2"/>
      <c r="I7" s="2"/>
      <c r="J7" s="2"/>
      <c r="K7" s="2"/>
      <c r="L7" s="2"/>
    </row>
    <row r="8" spans="1:12" ht="15" x14ac:dyDescent="0.25">
      <c r="A8" s="2"/>
      <c r="B8" s="2"/>
      <c r="C8" s="2"/>
      <c r="D8" s="2"/>
      <c r="E8" s="2"/>
      <c r="F8" s="2"/>
      <c r="G8" s="2"/>
      <c r="H8" s="2"/>
      <c r="I8" s="2"/>
      <c r="J8" s="2"/>
      <c r="K8" s="2"/>
      <c r="L8" s="2"/>
    </row>
    <row r="9" spans="1:12" ht="15" x14ac:dyDescent="0.25">
      <c r="A9" s="2"/>
      <c r="B9" s="2"/>
      <c r="C9" s="2"/>
      <c r="D9" s="2"/>
      <c r="E9" s="2"/>
      <c r="F9" s="2"/>
      <c r="G9" s="2"/>
      <c r="H9" s="2"/>
      <c r="I9" s="2"/>
      <c r="J9" s="2"/>
      <c r="K9" s="2"/>
      <c r="L9" s="2"/>
    </row>
    <row r="10" spans="1:12" ht="15" x14ac:dyDescent="0.25">
      <c r="A10" s="2"/>
      <c r="B10" s="2"/>
      <c r="C10" s="2"/>
      <c r="D10" s="2"/>
      <c r="E10" s="2"/>
      <c r="F10" s="2"/>
      <c r="G10" s="2"/>
      <c r="H10" s="2"/>
      <c r="I10" s="2"/>
      <c r="J10" s="2"/>
      <c r="K10" s="2"/>
      <c r="L10" s="2"/>
    </row>
    <row r="11" spans="1:12" ht="15" x14ac:dyDescent="0.25">
      <c r="A11" s="2"/>
      <c r="B11" s="2"/>
      <c r="C11" s="2"/>
      <c r="D11" s="2"/>
      <c r="E11" s="2"/>
      <c r="F11" s="2"/>
      <c r="G11" s="2"/>
      <c r="H11" s="2"/>
      <c r="I11" s="2"/>
      <c r="J11" s="2"/>
      <c r="K11" s="2"/>
      <c r="L11" s="2"/>
    </row>
    <row r="12" spans="1:12" ht="15" x14ac:dyDescent="0.25">
      <c r="A12" s="2"/>
      <c r="B12" s="2"/>
      <c r="C12" s="2"/>
      <c r="D12" s="2"/>
      <c r="E12" s="2"/>
      <c r="F12" s="2"/>
      <c r="G12" s="2"/>
      <c r="H12" s="2"/>
      <c r="I12" s="2"/>
      <c r="J12" s="2"/>
      <c r="K12" s="2"/>
      <c r="L12" s="2"/>
    </row>
    <row r="13" spans="1:12" ht="15" x14ac:dyDescent="0.25">
      <c r="A13" s="2"/>
      <c r="B13" s="2"/>
      <c r="C13" s="2"/>
      <c r="D13" s="2"/>
      <c r="E13" s="2"/>
      <c r="F13" s="2"/>
      <c r="G13" s="2"/>
      <c r="H13" s="2"/>
      <c r="I13" s="2"/>
      <c r="J13" s="2"/>
      <c r="K13" s="2"/>
      <c r="L13" s="2"/>
    </row>
    <row r="14" spans="1:12" ht="15" x14ac:dyDescent="0.25">
      <c r="A14" s="2"/>
      <c r="B14" s="2"/>
      <c r="C14" s="2"/>
      <c r="D14" s="2"/>
      <c r="E14" s="2"/>
      <c r="F14" s="2"/>
      <c r="G14" s="2"/>
      <c r="H14" s="2"/>
      <c r="I14" s="2"/>
      <c r="J14" s="2"/>
      <c r="K14" s="2"/>
      <c r="L14" s="2"/>
    </row>
    <row r="15" spans="1:12" ht="15" x14ac:dyDescent="0.25">
      <c r="A15" s="2"/>
      <c r="B15" s="2"/>
      <c r="C15" s="2"/>
      <c r="D15" s="2"/>
      <c r="E15" s="2"/>
      <c r="F15" s="2"/>
      <c r="G15" s="2"/>
      <c r="H15" s="2"/>
      <c r="I15" s="2"/>
      <c r="J15" s="2"/>
      <c r="K15" s="2"/>
      <c r="L15" s="2"/>
    </row>
    <row r="16" spans="1:12" ht="15" x14ac:dyDescent="0.25">
      <c r="A16" s="2"/>
      <c r="B16" s="2"/>
      <c r="C16" s="2"/>
      <c r="D16" s="2"/>
      <c r="E16" s="2"/>
      <c r="F16" s="2"/>
      <c r="G16" s="2"/>
      <c r="H16" s="2"/>
      <c r="I16" s="2"/>
      <c r="J16" s="2"/>
      <c r="K16" s="2"/>
      <c r="L16" s="2"/>
    </row>
    <row r="17" spans="1:12" ht="15" x14ac:dyDescent="0.25">
      <c r="A17" s="2"/>
      <c r="B17" s="2"/>
      <c r="C17" s="2"/>
      <c r="D17" s="2"/>
      <c r="E17" s="2"/>
      <c r="F17" s="2"/>
      <c r="G17" s="2"/>
      <c r="H17" s="2"/>
      <c r="I17" s="2"/>
      <c r="J17" s="2"/>
      <c r="K17" s="2"/>
      <c r="L17" s="2"/>
    </row>
    <row r="18" spans="1:12" ht="15" x14ac:dyDescent="0.25">
      <c r="A18" s="2"/>
      <c r="B18" s="2"/>
      <c r="C18" s="2"/>
      <c r="D18" s="2"/>
      <c r="E18" s="2"/>
      <c r="F18" s="2"/>
      <c r="G18" s="2"/>
      <c r="H18" s="2"/>
      <c r="I18" s="2"/>
      <c r="J18" s="2"/>
      <c r="K18" s="2"/>
      <c r="L18" s="2"/>
    </row>
    <row r="19" spans="1:12" ht="15" x14ac:dyDescent="0.25">
      <c r="A19" s="2"/>
      <c r="B19" s="2"/>
      <c r="C19" s="2"/>
      <c r="D19" s="2"/>
      <c r="E19" s="2"/>
      <c r="F19" s="2"/>
      <c r="G19" s="2"/>
      <c r="H19" s="2"/>
      <c r="I19" s="2"/>
      <c r="J19" s="2"/>
      <c r="K19" s="2"/>
      <c r="L19" s="2"/>
    </row>
    <row r="20" spans="1:12" ht="15" x14ac:dyDescent="0.25">
      <c r="A20" s="2"/>
      <c r="B20" s="2"/>
      <c r="C20" s="2"/>
      <c r="D20" s="2"/>
      <c r="E20" s="2"/>
      <c r="F20" s="2"/>
      <c r="G20" s="2"/>
      <c r="H20" s="2"/>
      <c r="I20" s="2"/>
      <c r="J20" s="2"/>
      <c r="K20" s="2"/>
      <c r="L20" s="2"/>
    </row>
    <row r="21" spans="1:12" ht="15" x14ac:dyDescent="0.25">
      <c r="A21" s="2"/>
      <c r="B21" s="2"/>
      <c r="C21" s="2"/>
      <c r="D21" s="2"/>
      <c r="E21" s="2"/>
      <c r="F21" s="2"/>
      <c r="G21" s="2"/>
      <c r="H21" s="2"/>
      <c r="I21" s="2"/>
      <c r="J21" s="2"/>
      <c r="K21" s="2"/>
      <c r="L21" s="2"/>
    </row>
    <row r="22" spans="1:12" ht="15" x14ac:dyDescent="0.25">
      <c r="A22" s="2"/>
      <c r="B22" s="2"/>
      <c r="C22" s="2"/>
      <c r="D22" s="2"/>
      <c r="E22" s="2"/>
      <c r="F22" s="2"/>
      <c r="G22" s="2"/>
      <c r="H22" s="2"/>
      <c r="I22" s="2"/>
      <c r="J22" s="2"/>
      <c r="K22" s="2"/>
      <c r="L22" s="2"/>
    </row>
    <row r="23" spans="1:12" ht="15" x14ac:dyDescent="0.25">
      <c r="A23" s="5"/>
      <c r="B23" s="5"/>
      <c r="C23" s="5"/>
      <c r="D23" s="5"/>
      <c r="E23" s="589"/>
      <c r="F23" s="589"/>
      <c r="G23" s="589"/>
      <c r="H23" s="589"/>
      <c r="I23" s="5"/>
      <c r="J23" s="5"/>
      <c r="K23" s="5"/>
      <c r="L23" s="5"/>
    </row>
    <row r="24" spans="1:12" ht="15" x14ac:dyDescent="0.25">
      <c r="A24" s="5"/>
      <c r="B24" s="5"/>
      <c r="C24" s="5"/>
      <c r="D24" s="5"/>
      <c r="E24" s="5"/>
      <c r="F24" s="5"/>
      <c r="G24" s="5"/>
      <c r="H24" s="5"/>
      <c r="I24" s="5"/>
      <c r="J24" s="5"/>
      <c r="K24" s="5"/>
      <c r="L24" s="5"/>
    </row>
    <row r="25" spans="1:12" ht="15" x14ac:dyDescent="0.25">
      <c r="A25" s="5"/>
      <c r="B25" s="5"/>
      <c r="C25" s="5"/>
      <c r="D25" s="5"/>
      <c r="E25" s="5"/>
      <c r="F25" s="5"/>
      <c r="G25" s="5"/>
      <c r="H25" s="5"/>
      <c r="I25" s="5"/>
      <c r="J25" s="5"/>
      <c r="K25" s="5"/>
      <c r="L25" s="5"/>
    </row>
    <row r="26" spans="1:12" ht="15" x14ac:dyDescent="0.25">
      <c r="A26" s="5"/>
      <c r="B26" s="5"/>
      <c r="C26" s="5"/>
      <c r="D26" s="5"/>
      <c r="E26" s="5"/>
      <c r="F26" s="5"/>
      <c r="G26" s="5"/>
      <c r="H26" s="5"/>
      <c r="I26" s="5"/>
      <c r="J26" s="5"/>
      <c r="K26" s="7">
        <f ca="1">NOW()</f>
        <v>42356.527743287035</v>
      </c>
      <c r="L26" s="5"/>
    </row>
    <row r="27" spans="1:12" ht="15" x14ac:dyDescent="0.25">
      <c r="A27" s="5"/>
      <c r="B27" s="5"/>
      <c r="C27" s="5"/>
      <c r="D27" s="5"/>
      <c r="E27" s="5"/>
      <c r="F27" s="5"/>
      <c r="G27" s="5"/>
      <c r="H27" s="5"/>
      <c r="I27" s="5"/>
      <c r="J27" s="5"/>
      <c r="K27" s="5"/>
      <c r="L27" s="5"/>
    </row>
    <row r="28" spans="1:12" x14ac:dyDescent="0.2">
      <c r="A28" s="6"/>
      <c r="B28" s="6"/>
      <c r="C28" s="6"/>
      <c r="D28" s="6"/>
      <c r="E28" s="6"/>
      <c r="F28" s="6"/>
      <c r="G28" s="6"/>
      <c r="H28" s="6"/>
      <c r="I28" s="6"/>
      <c r="J28" s="6"/>
      <c r="K28" s="6"/>
      <c r="L28" s="6"/>
    </row>
    <row r="29" spans="1:12" x14ac:dyDescent="0.2">
      <c r="A29" s="6"/>
      <c r="B29" s="6"/>
      <c r="C29" s="6"/>
      <c r="D29" s="6"/>
      <c r="E29" s="6"/>
      <c r="F29" s="6"/>
      <c r="G29" s="6"/>
      <c r="H29" s="6"/>
      <c r="I29" s="6"/>
      <c r="J29" s="6"/>
      <c r="K29" s="6"/>
      <c r="L29" s="6"/>
    </row>
    <row r="30" spans="1:12" x14ac:dyDescent="0.2">
      <c r="A30" s="6"/>
      <c r="B30" s="6"/>
      <c r="C30" s="6"/>
      <c r="D30" s="6"/>
      <c r="E30" s="6"/>
      <c r="F30" s="6"/>
      <c r="G30" s="6"/>
      <c r="H30" s="6"/>
      <c r="I30" s="6"/>
      <c r="J30" s="6"/>
      <c r="K30" s="6"/>
      <c r="L30" s="6"/>
    </row>
    <row r="31" spans="1:12" x14ac:dyDescent="0.2">
      <c r="A31" s="6"/>
      <c r="B31" s="6"/>
      <c r="C31" s="6"/>
      <c r="D31" s="6"/>
      <c r="E31" s="6"/>
      <c r="F31" s="6"/>
      <c r="G31" s="6"/>
      <c r="H31" s="6"/>
      <c r="I31" s="6"/>
      <c r="J31" s="6"/>
      <c r="K31" s="6"/>
      <c r="L31" s="6"/>
    </row>
    <row r="32" spans="1:12" x14ac:dyDescent="0.2">
      <c r="A32" s="6"/>
      <c r="B32" s="6"/>
      <c r="C32" s="6"/>
      <c r="D32" s="6"/>
      <c r="E32" s="6"/>
      <c r="F32" s="6"/>
      <c r="G32" s="6"/>
      <c r="H32" s="6"/>
      <c r="I32" s="6"/>
      <c r="J32" s="6"/>
      <c r="K32" s="6"/>
      <c r="L32" s="6"/>
    </row>
    <row r="33" spans="1:12" x14ac:dyDescent="0.2">
      <c r="A33" s="6"/>
      <c r="B33" s="6"/>
      <c r="C33" s="6"/>
      <c r="D33" s="6"/>
      <c r="E33" s="6"/>
      <c r="F33" s="6"/>
      <c r="G33" s="6"/>
      <c r="H33" s="6"/>
      <c r="I33" s="6"/>
      <c r="J33" s="6"/>
      <c r="K33" s="6"/>
      <c r="L33" s="6"/>
    </row>
    <row r="34" spans="1:12" x14ac:dyDescent="0.2">
      <c r="A34" s="6"/>
      <c r="B34" s="6"/>
      <c r="C34" s="6"/>
      <c r="D34" s="6"/>
      <c r="E34" s="6"/>
      <c r="F34" s="6"/>
      <c r="G34" s="6"/>
      <c r="H34" s="6"/>
      <c r="I34" s="6"/>
      <c r="J34" s="6"/>
      <c r="K34" s="6"/>
      <c r="L34" s="6"/>
    </row>
    <row r="35" spans="1:12" x14ac:dyDescent="0.2">
      <c r="A35" s="6"/>
      <c r="B35" s="6"/>
      <c r="C35" s="6"/>
      <c r="D35" s="6"/>
      <c r="E35" s="6"/>
      <c r="F35" s="6"/>
      <c r="G35" s="6"/>
      <c r="H35" s="6"/>
      <c r="I35" s="6"/>
      <c r="J35" s="6"/>
      <c r="K35" s="6"/>
      <c r="L35" s="6"/>
    </row>
    <row r="36" spans="1:12" x14ac:dyDescent="0.2">
      <c r="A36" s="6"/>
      <c r="B36" s="6"/>
      <c r="C36" s="6"/>
      <c r="D36" s="6"/>
      <c r="E36" s="6"/>
      <c r="F36" s="6"/>
      <c r="G36" s="6"/>
      <c r="H36" s="6"/>
      <c r="I36" s="6"/>
      <c r="J36" s="6"/>
      <c r="K36" s="6"/>
      <c r="L36" s="6"/>
    </row>
    <row r="37" spans="1:12" x14ac:dyDescent="0.2">
      <c r="A37" s="6"/>
      <c r="B37" s="6"/>
      <c r="C37" s="6"/>
      <c r="D37" s="6"/>
      <c r="E37" s="6"/>
      <c r="F37" s="6"/>
      <c r="G37" s="6"/>
      <c r="H37" s="6"/>
      <c r="I37" s="6"/>
      <c r="J37" s="6"/>
      <c r="K37" s="6"/>
      <c r="L37" s="6"/>
    </row>
    <row r="38" spans="1:12" x14ac:dyDescent="0.2">
      <c r="A38" s="6"/>
      <c r="B38" s="6"/>
      <c r="C38" s="6"/>
      <c r="D38" s="6"/>
      <c r="E38" s="6"/>
      <c r="F38" s="6"/>
      <c r="G38" s="6"/>
      <c r="H38" s="6"/>
      <c r="I38" s="6"/>
      <c r="J38" s="6"/>
      <c r="K38" s="6"/>
      <c r="L38" s="6"/>
    </row>
    <row r="39" spans="1:12" x14ac:dyDescent="0.2">
      <c r="A39" s="6"/>
      <c r="B39" s="6"/>
      <c r="C39" s="6"/>
      <c r="D39" s="6"/>
      <c r="E39" s="6"/>
      <c r="F39" s="6"/>
      <c r="G39" s="6"/>
      <c r="H39" s="6"/>
      <c r="I39" s="6"/>
      <c r="J39" s="6"/>
      <c r="K39" s="6"/>
      <c r="L39" s="6"/>
    </row>
    <row r="40" spans="1:12" x14ac:dyDescent="0.2">
      <c r="A40" s="6"/>
      <c r="B40" s="6"/>
      <c r="C40" s="6"/>
      <c r="D40" s="6"/>
      <c r="E40" s="6"/>
      <c r="F40" s="6"/>
      <c r="G40" s="6"/>
      <c r="H40" s="6"/>
      <c r="I40" s="6"/>
      <c r="J40" s="6"/>
      <c r="K40" s="6"/>
      <c r="L40" s="6"/>
    </row>
    <row r="41" spans="1:12" x14ac:dyDescent="0.2">
      <c r="A41" s="6"/>
      <c r="B41" s="6"/>
      <c r="C41" s="6"/>
      <c r="D41" s="6"/>
      <c r="E41" s="6"/>
      <c r="F41" s="6"/>
      <c r="G41" s="6"/>
      <c r="H41" s="6"/>
      <c r="I41" s="6"/>
      <c r="J41" s="6"/>
      <c r="K41" s="6"/>
      <c r="L41" s="6"/>
    </row>
    <row r="42" spans="1:12" x14ac:dyDescent="0.2">
      <c r="A42" s="6"/>
      <c r="B42" s="6"/>
      <c r="C42" s="6"/>
      <c r="D42" s="6"/>
      <c r="E42" s="6"/>
      <c r="F42" s="6"/>
      <c r="G42" s="6"/>
      <c r="H42" s="6"/>
      <c r="I42" s="6"/>
      <c r="J42" s="6"/>
      <c r="K42" s="6"/>
      <c r="L42" s="6"/>
    </row>
    <row r="43" spans="1:12" x14ac:dyDescent="0.2">
      <c r="A43" s="6"/>
      <c r="B43" s="6"/>
      <c r="C43" s="6"/>
      <c r="D43" s="6"/>
      <c r="E43" s="6"/>
      <c r="F43" s="6"/>
      <c r="G43" s="6"/>
      <c r="H43" s="6"/>
      <c r="I43" s="6"/>
      <c r="J43" s="6"/>
      <c r="K43" s="6"/>
      <c r="L43" s="6"/>
    </row>
    <row r="44" spans="1:12" x14ac:dyDescent="0.2">
      <c r="A44" s="6"/>
      <c r="B44" s="6"/>
      <c r="C44" s="6"/>
      <c r="D44" s="6"/>
      <c r="E44" s="6"/>
      <c r="F44" s="6"/>
      <c r="G44" s="6"/>
      <c r="H44" s="6"/>
      <c r="I44" s="6"/>
      <c r="J44" s="6"/>
      <c r="K44" s="6"/>
      <c r="L44" s="6"/>
    </row>
    <row r="45" spans="1:12" x14ac:dyDescent="0.2">
      <c r="A45" s="6"/>
      <c r="B45" s="6"/>
      <c r="C45" s="6"/>
      <c r="D45" s="6"/>
      <c r="E45" s="6"/>
      <c r="F45" s="6"/>
      <c r="G45" s="6"/>
      <c r="H45" s="6"/>
      <c r="I45" s="6"/>
      <c r="J45" s="6"/>
      <c r="K45" s="6"/>
      <c r="L45" s="6"/>
    </row>
    <row r="46" spans="1:12" x14ac:dyDescent="0.2">
      <c r="A46" s="6"/>
      <c r="B46" s="6"/>
      <c r="C46" s="6"/>
      <c r="D46" s="6"/>
      <c r="E46" s="6"/>
      <c r="F46" s="6"/>
      <c r="G46" s="6"/>
      <c r="H46" s="6"/>
      <c r="I46" s="6"/>
      <c r="J46" s="6"/>
      <c r="K46" s="6"/>
      <c r="L46" s="6"/>
    </row>
    <row r="47" spans="1:12" x14ac:dyDescent="0.2">
      <c r="A47" s="6"/>
      <c r="B47" s="6"/>
      <c r="C47" s="6"/>
      <c r="D47" s="6"/>
      <c r="E47" s="6"/>
      <c r="F47" s="6"/>
      <c r="G47" s="6"/>
      <c r="H47" s="6"/>
      <c r="I47" s="6"/>
      <c r="J47" s="6"/>
      <c r="K47" s="6"/>
      <c r="L47" s="6"/>
    </row>
    <row r="48" spans="1:12" x14ac:dyDescent="0.2">
      <c r="A48" s="6"/>
      <c r="B48" s="6"/>
      <c r="C48" s="6"/>
      <c r="D48" s="6"/>
      <c r="E48" s="6"/>
      <c r="F48" s="6"/>
      <c r="G48" s="6"/>
      <c r="H48" s="6"/>
      <c r="I48" s="6"/>
      <c r="J48" s="6"/>
      <c r="K48" s="6"/>
      <c r="L48" s="6"/>
    </row>
    <row r="49" spans="1:12" x14ac:dyDescent="0.2">
      <c r="A49" s="6"/>
      <c r="B49" s="6"/>
      <c r="C49" s="6"/>
      <c r="D49" s="6"/>
      <c r="E49" s="6"/>
      <c r="F49" s="6"/>
      <c r="G49" s="6"/>
      <c r="H49" s="6"/>
      <c r="I49" s="6"/>
      <c r="J49" s="6"/>
      <c r="K49" s="6"/>
      <c r="L49" s="6"/>
    </row>
    <row r="50" spans="1:12" x14ac:dyDescent="0.2">
      <c r="A50" s="6"/>
      <c r="B50" s="6"/>
      <c r="C50" s="6"/>
      <c r="D50" s="6"/>
      <c r="E50" s="6"/>
      <c r="F50" s="6"/>
      <c r="G50" s="6"/>
      <c r="H50" s="6"/>
      <c r="I50" s="6"/>
      <c r="J50" s="6"/>
      <c r="K50" s="6"/>
      <c r="L50" s="6"/>
    </row>
    <row r="51" spans="1:12" x14ac:dyDescent="0.2">
      <c r="A51" s="6"/>
      <c r="B51" s="6"/>
      <c r="C51" s="6"/>
      <c r="D51" s="6"/>
      <c r="E51" s="6"/>
      <c r="F51" s="6"/>
      <c r="G51" s="6"/>
      <c r="H51" s="6"/>
      <c r="I51" s="6"/>
      <c r="J51" s="6"/>
      <c r="K51" s="6"/>
      <c r="L51" s="6"/>
    </row>
    <row r="52" spans="1:12" x14ac:dyDescent="0.2">
      <c r="A52" s="6"/>
      <c r="B52" s="6"/>
      <c r="C52" s="6"/>
      <c r="D52" s="6"/>
      <c r="E52" s="6"/>
      <c r="F52" s="6"/>
      <c r="G52" s="6"/>
      <c r="H52" s="6"/>
      <c r="I52" s="6"/>
      <c r="J52" s="6"/>
      <c r="K52" s="6"/>
      <c r="L52" s="6"/>
    </row>
    <row r="53" spans="1:12" x14ac:dyDescent="0.2">
      <c r="A53" s="6"/>
      <c r="B53" s="6"/>
      <c r="C53" s="6"/>
      <c r="D53" s="6"/>
      <c r="E53" s="6"/>
      <c r="F53" s="6"/>
      <c r="G53" s="6"/>
      <c r="H53" s="6"/>
      <c r="I53" s="6"/>
      <c r="J53" s="6"/>
      <c r="K53" s="6"/>
      <c r="L53" s="6"/>
    </row>
    <row r="54" spans="1:12" x14ac:dyDescent="0.2">
      <c r="A54" s="6"/>
      <c r="B54" s="6"/>
      <c r="C54" s="6"/>
      <c r="D54" s="6"/>
      <c r="E54" s="6"/>
      <c r="F54" s="6"/>
      <c r="G54" s="6"/>
      <c r="H54" s="6"/>
      <c r="I54" s="6"/>
      <c r="J54" s="6"/>
      <c r="K54" s="6"/>
      <c r="L54" s="6"/>
    </row>
    <row r="55" spans="1:12" x14ac:dyDescent="0.2">
      <c r="A55" s="6"/>
      <c r="B55" s="6"/>
      <c r="C55" s="6"/>
      <c r="D55" s="6"/>
      <c r="E55" s="6"/>
      <c r="F55" s="6"/>
      <c r="G55" s="6"/>
      <c r="H55" s="6"/>
      <c r="I55" s="6"/>
      <c r="J55" s="6"/>
      <c r="K55" s="6"/>
      <c r="L55" s="6"/>
    </row>
  </sheetData>
  <mergeCells count="2">
    <mergeCell ref="A2:L2"/>
    <mergeCell ref="E23:H23"/>
  </mergeCells>
  <printOptions horizontalCentered="1"/>
  <pageMargins left="0.23622047244094491" right="0.23622047244094491" top="0.74803149606299213" bottom="0.74803149606299213" header="0.31496062992125984" footer="0.31496062992125984"/>
  <pageSetup paperSize="9" scale="69" orientation="portrait" r:id="rId1"/>
  <headerFooter>
    <oddHeader>&amp;C&amp;G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0" r:id="rId5" name="Drop Down 2">
              <controlPr defaultSize="0" autoLine="0" autoPict="0">
                <anchor>
                  <from>
                    <xdr:col>4</xdr:col>
                    <xdr:colOff>447675</xdr:colOff>
                    <xdr:row>16</xdr:row>
                    <xdr:rowOff>123825</xdr:rowOff>
                  </from>
                  <to>
                    <xdr:col>8</xdr:col>
                    <xdr:colOff>266700</xdr:colOff>
                    <xdr:row>18</xdr:row>
                    <xdr:rowOff>9525</xdr:rowOff>
                  </to>
                </anchor>
              </controlPr>
            </control>
          </mc:Choice>
        </mc:AlternateContent>
        <mc:AlternateContent xmlns:mc="http://schemas.openxmlformats.org/markup-compatibility/2006">
          <mc:Choice Requires="x14">
            <control shapeId="2051" r:id="rId6" name="Drop Down 3">
              <controlPr defaultSize="0" autoLine="0" autoPict="0">
                <anchor>
                  <from>
                    <xdr:col>4</xdr:col>
                    <xdr:colOff>447675</xdr:colOff>
                    <xdr:row>18</xdr:row>
                    <xdr:rowOff>161925</xdr:rowOff>
                  </from>
                  <to>
                    <xdr:col>8</xdr:col>
                    <xdr:colOff>266700</xdr:colOff>
                    <xdr:row>20</xdr:row>
                    <xdr:rowOff>47625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8" tint="0.39997558519241921"/>
  </sheetPr>
  <dimension ref="A1:OA512"/>
  <sheetViews>
    <sheetView zoomScale="80" zoomScaleNormal="80" workbookViewId="0">
      <pane xSplit="2" ySplit="5" topLeftCell="C12" activePane="bottomRight" state="frozen"/>
      <selection pane="topRight"/>
      <selection pane="bottomLeft"/>
      <selection pane="bottomRight" activeCell="JV7" sqref="JV7"/>
    </sheetView>
  </sheetViews>
  <sheetFormatPr defaultRowHeight="15" x14ac:dyDescent="0.25"/>
  <cols>
    <col min="1" max="1" width="16.5" style="12" customWidth="1"/>
    <col min="2" max="2" width="10" style="10" customWidth="1"/>
    <col min="3" max="3" width="28" style="12" customWidth="1"/>
    <col min="4" max="4" width="9" style="12" customWidth="1"/>
    <col min="5" max="5" width="15.19921875" style="12" customWidth="1"/>
    <col min="6" max="6" width="10.59765625" style="68" customWidth="1"/>
    <col min="7" max="7" width="10" style="12" customWidth="1"/>
    <col min="8" max="8" width="12.5" style="12" customWidth="1"/>
    <col min="9" max="9" width="10" style="12" customWidth="1"/>
    <col min="10" max="10" width="21" style="12" customWidth="1"/>
    <col min="11" max="11" width="7.796875" style="12" customWidth="1"/>
    <col min="12" max="12" width="8.3984375" style="12" customWidth="1"/>
    <col min="13" max="13" width="46.59765625" style="12" customWidth="1"/>
    <col min="14" max="14" width="10" style="12" customWidth="1"/>
    <col min="15" max="15" width="6.796875" style="12" customWidth="1"/>
    <col min="16" max="16" width="7.3984375" style="12" customWidth="1"/>
    <col min="17" max="19" width="7.3984375" style="68" customWidth="1"/>
    <col min="20" max="20" width="8.796875" style="70"/>
    <col min="21" max="28" width="8.796875" style="2"/>
    <col min="29" max="29" width="8.796875" style="63"/>
    <col min="30" max="30" width="8.796875" style="70"/>
    <col min="31" max="38" width="8.796875" style="2"/>
    <col min="39" max="39" width="8.8984375" style="12" customWidth="1"/>
    <col min="40" max="40" width="8.796875" style="70"/>
    <col min="41" max="46" width="8.796875" style="2"/>
    <col min="47" max="47" width="8.796875" style="12"/>
    <col min="48" max="48" width="8.796875" style="70"/>
    <col min="49" max="49" width="8.796875" style="2"/>
    <col min="50" max="50" width="9.796875" style="2" customWidth="1"/>
    <col min="51" max="53" width="8.796875" style="2"/>
    <col min="54" max="54" width="8.796875" style="12"/>
    <col min="55" max="55" width="8.796875" style="70"/>
    <col min="56" max="61" width="8.796875" style="12"/>
    <col min="62" max="62" width="9.5" style="65" customWidth="1"/>
    <col min="63" max="64" width="8.796875" style="2"/>
    <col min="65" max="65" width="8.796875" style="63"/>
    <col min="66" max="66" width="8.796875" style="65"/>
    <col min="67" max="71" width="8.796875" style="2"/>
    <col min="72" max="72" width="8.8984375" style="68" customWidth="1"/>
    <col min="73" max="73" width="8.796875" style="70"/>
    <col min="74" max="77" width="8.796875" style="2"/>
    <col min="78" max="78" width="8.796875" style="10"/>
    <col min="79" max="82" width="8.796875" style="2"/>
    <col min="83" max="83" width="8.796875" style="361"/>
    <col min="84" max="84" width="8.796875" style="10"/>
    <col min="85" max="86" width="8.796875" style="2"/>
    <col min="87" max="88" width="8.796875" style="389"/>
    <col min="89" max="89" width="8.796875" style="68"/>
    <col min="90" max="90" width="8.796875" style="70"/>
    <col min="91" max="92" width="8.796875" style="2"/>
    <col min="93" max="93" width="8.796875" style="10"/>
    <col min="94" max="98" width="8.796875" style="2"/>
    <col min="99" max="99" width="8.796875" style="10"/>
    <col min="100" max="104" width="8.796875" style="2"/>
    <col min="105" max="105" width="8.796875" style="10"/>
    <col min="106" max="106" width="14.3984375" style="70" customWidth="1"/>
    <col min="107" max="107" width="8.796875" style="70"/>
    <col min="108" max="109" width="8.796875" style="2"/>
    <col min="110" max="110" width="8.796875" style="68"/>
    <col min="111" max="111" width="8.796875" style="70"/>
    <col min="112" max="112" width="8.796875" style="68"/>
    <col min="113" max="113" width="8.796875" style="386"/>
    <col min="114" max="114" width="8.796875" style="425"/>
    <col min="115" max="115" width="8.796875" style="273"/>
    <col min="116" max="116" width="8.796875" style="68"/>
    <col min="117" max="117" width="8.796875" style="70"/>
    <col min="118" max="120" width="8.796875" style="334"/>
    <col min="121" max="121" width="8.796875" style="68"/>
    <col min="122" max="122" width="8.796875" style="70"/>
    <col min="123" max="125" width="8.796875" style="338"/>
    <col min="126" max="126" width="8.796875" style="334"/>
    <col min="127" max="129" width="8.796875" style="338"/>
    <col min="130" max="130" width="8.796875" style="334"/>
    <col min="131" max="133" width="8.796875" style="338"/>
    <col min="134" max="134" width="8.796875" style="334"/>
    <col min="135" max="137" width="8.796875" style="338"/>
    <col min="138" max="138" width="8.796875" style="334"/>
    <col min="139" max="144" width="8.796875" style="336"/>
    <col min="145" max="145" width="8.796875" style="337"/>
    <col min="146" max="146" width="9.796875" style="342" bestFit="1" customWidth="1"/>
    <col min="147" max="147" width="8.796875" style="336"/>
    <col min="148" max="148" width="8.796875" style="342"/>
    <col min="149" max="149" width="8.796875" style="336"/>
    <col min="150" max="150" width="8.796875" style="342"/>
    <col min="151" max="151" width="8.796875" style="336"/>
    <col min="152" max="152" width="9.796875" style="342" bestFit="1" customWidth="1"/>
    <col min="153" max="153" width="8.796875" style="336"/>
    <col min="154" max="156" width="8.796875" style="342"/>
    <col min="157" max="157" width="8.796875" style="337"/>
    <col min="158" max="160" width="8.796875" style="334"/>
    <col min="161" max="161" width="8.796875" style="338"/>
    <col min="162" max="163" width="8.796875" style="334"/>
    <col min="164" max="164" width="8.796875" style="338"/>
    <col min="165" max="165" width="10.09765625" style="338" customWidth="1"/>
    <col min="166" max="167" width="10.796875" style="338" customWidth="1"/>
    <col min="168" max="168" width="8.796875" style="338"/>
    <col min="169" max="169" width="8.796875" style="337"/>
    <col min="170" max="178" width="8.796875" style="336"/>
    <col min="179" max="179" width="8.796875" style="337"/>
    <col min="180" max="180" width="8.796875" style="532"/>
    <col min="181" max="182" width="8.796875" style="341"/>
    <col min="183" max="183" width="8.796875" style="336"/>
    <col min="184" max="186" width="8.796875" style="341"/>
    <col min="187" max="191" width="8.796875" style="336"/>
    <col min="192" max="192" width="8.796875" style="337"/>
    <col min="193" max="194" width="8.796875" style="298"/>
    <col min="195" max="197" width="8.796875" style="299"/>
    <col min="198" max="198" width="12.5" style="298" bestFit="1" customWidth="1"/>
    <col min="199" max="200" width="8.796875" style="298"/>
    <col min="201" max="203" width="8.796875" style="299"/>
    <col min="204" max="204" width="12.3984375" style="298" bestFit="1" customWidth="1"/>
    <col min="205" max="206" width="8.796875" style="298"/>
    <col min="207" max="209" width="8.796875" style="299"/>
    <col min="210" max="210" width="12.5" style="298" bestFit="1" customWidth="1"/>
    <col min="211" max="212" width="8.796875" style="298"/>
    <col min="213" max="215" width="8.796875" style="299"/>
    <col min="216" max="216" width="12.5" style="298" bestFit="1" customWidth="1"/>
    <col min="217" max="221" width="8.796875" style="298"/>
    <col min="222" max="222" width="10.09765625" style="574" bestFit="1" customWidth="1"/>
    <col min="223" max="224" width="10.09765625" style="574" customWidth="1"/>
    <col min="225" max="225" width="10.09765625" style="430" customWidth="1"/>
    <col min="226" max="227" width="10.09765625" style="574" customWidth="1"/>
    <col min="228" max="228" width="12.8984375" style="297" customWidth="1"/>
    <col min="229" max="230" width="8.796875" style="298"/>
    <col min="231" max="233" width="8.796875" style="299"/>
    <col min="234" max="234" width="12.3984375" style="298" bestFit="1" customWidth="1"/>
    <col min="235" max="236" width="8.796875" style="298"/>
    <col min="237" max="239" width="8.796875" style="299"/>
    <col min="240" max="240" width="12.3984375" style="298" bestFit="1" customWidth="1"/>
    <col min="241" max="242" width="8.796875" style="298"/>
    <col min="243" max="245" width="8.796875" style="299"/>
    <col min="246" max="246" width="12.5" style="298" bestFit="1" customWidth="1"/>
    <col min="247" max="247" width="8.796875" style="298" customWidth="1"/>
    <col min="248" max="248" width="8.796875" style="298"/>
    <col min="249" max="250" width="8.796875" style="299"/>
    <col min="251" max="251" width="8.69921875" style="299" customWidth="1"/>
    <col min="252" max="252" width="9.796875" style="298" customWidth="1"/>
    <col min="253" max="257" width="8.796875" style="298"/>
    <col min="258" max="258" width="12.3984375" style="574" bestFit="1" customWidth="1"/>
    <col min="259" max="263" width="12.3984375" style="574" customWidth="1"/>
    <col min="264" max="264" width="12.3984375" style="297" customWidth="1"/>
    <col min="265" max="266" width="8.796875" style="298"/>
    <col min="267" max="269" width="8.796875" style="299"/>
    <col min="270" max="272" width="8.796875" style="298"/>
    <col min="273" max="274" width="8.796875" style="299"/>
    <col min="275" max="276" width="8.796875" style="298"/>
    <col min="277" max="279" width="8.796875" style="299"/>
    <col min="280" max="282" width="8.796875" style="298"/>
    <col min="283" max="283" width="8.796875" style="300"/>
    <col min="284" max="292" width="8.796875" style="430"/>
    <col min="293" max="293" width="8.796875" style="296"/>
    <col min="294" max="308" width="8.796875" style="299"/>
    <col min="309" max="309" width="8.796875" style="296"/>
    <col min="310" max="328" width="8.796875" style="430"/>
    <col min="329" max="329" width="8.796875" style="296"/>
    <col min="330" max="351" width="8.796875" style="298"/>
    <col min="352" max="352" width="8.796875" style="297"/>
    <col min="353" max="390" width="8.796875" style="2"/>
    <col min="391" max="391" width="8.796875" style="10"/>
    <col min="392" max="16384" width="8.796875" style="2"/>
  </cols>
  <sheetData>
    <row r="1" spans="1:391" s="68" customFormat="1" x14ac:dyDescent="0.25">
      <c r="A1" s="29" t="s">
        <v>105</v>
      </c>
      <c r="T1" s="70"/>
      <c r="AD1" s="70"/>
      <c r="AN1" s="70"/>
      <c r="AV1" s="70"/>
      <c r="BC1" s="70"/>
      <c r="BJ1" s="70"/>
      <c r="BN1" s="70"/>
      <c r="BU1" s="70"/>
      <c r="BZ1" s="10"/>
      <c r="CA1" s="274"/>
      <c r="CF1" s="10"/>
      <c r="CL1" s="70"/>
      <c r="CO1" s="10"/>
      <c r="CU1" s="10"/>
      <c r="DA1" s="10"/>
      <c r="DB1" s="70"/>
      <c r="DC1" s="70"/>
      <c r="DG1" s="70"/>
      <c r="DI1" s="386"/>
      <c r="DJ1" s="425"/>
      <c r="DM1" s="70"/>
      <c r="DR1" s="70"/>
      <c r="DS1" s="336"/>
      <c r="DT1" s="336"/>
      <c r="DU1" s="336"/>
      <c r="DW1" s="336"/>
      <c r="DX1" s="336"/>
      <c r="DY1" s="336"/>
      <c r="EA1" s="336"/>
      <c r="EB1" s="336"/>
      <c r="EC1" s="336"/>
      <c r="EE1" s="336"/>
      <c r="EF1" s="336"/>
      <c r="EG1" s="336"/>
      <c r="EI1" s="336"/>
      <c r="EJ1" s="336"/>
      <c r="EK1" s="336"/>
      <c r="EL1" s="336"/>
      <c r="EM1" s="336"/>
      <c r="EN1" s="336"/>
      <c r="EO1" s="337"/>
      <c r="EP1" s="440"/>
      <c r="EQ1" s="336"/>
      <c r="ER1" s="342"/>
      <c r="ES1" s="336"/>
      <c r="ET1" s="342"/>
      <c r="EU1" s="336"/>
      <c r="EV1" s="342"/>
      <c r="EW1" s="336"/>
      <c r="EX1" s="342"/>
      <c r="EY1" s="342"/>
      <c r="EZ1" s="342"/>
      <c r="FA1" s="337"/>
      <c r="FE1" s="336"/>
      <c r="FG1" s="391">
        <f>FF6/FD6</f>
        <v>0.41477272727272729</v>
      </c>
      <c r="FH1" s="336">
        <f>FG6/FD6</f>
        <v>0.53977272727272729</v>
      </c>
      <c r="FI1" s="336"/>
      <c r="FJ1" s="336"/>
      <c r="FK1" s="336"/>
      <c r="FL1" s="336"/>
      <c r="FM1" s="337"/>
      <c r="FN1" s="336"/>
      <c r="FO1" s="336"/>
      <c r="FP1" s="336"/>
      <c r="FQ1" s="336"/>
      <c r="FR1" s="336"/>
      <c r="FS1" s="336"/>
      <c r="FT1" s="336"/>
      <c r="FU1" s="336"/>
      <c r="FV1" s="336"/>
      <c r="FW1" s="337"/>
      <c r="FX1" s="532"/>
      <c r="FY1" s="341"/>
      <c r="FZ1" s="341"/>
      <c r="GA1" s="336"/>
      <c r="GB1" s="341"/>
      <c r="GC1" s="341"/>
      <c r="GD1" s="341"/>
      <c r="GE1" s="336"/>
      <c r="GF1" s="336"/>
      <c r="GG1" s="336"/>
      <c r="GH1" s="336"/>
      <c r="GI1" s="336"/>
      <c r="GJ1" s="337"/>
      <c r="GM1" s="336"/>
      <c r="GN1" s="336"/>
      <c r="GO1" s="336"/>
      <c r="GS1" s="336"/>
      <c r="GT1" s="336"/>
      <c r="GU1" s="336"/>
      <c r="GY1" s="336"/>
      <c r="GZ1" s="336"/>
      <c r="HA1" s="336"/>
      <c r="HE1" s="336"/>
      <c r="HF1" s="336"/>
      <c r="HG1" s="336"/>
      <c r="HQ1" s="336"/>
      <c r="HT1" s="10"/>
      <c r="HW1" s="336"/>
      <c r="HX1" s="336"/>
      <c r="HY1" s="336"/>
      <c r="IC1" s="336"/>
      <c r="ID1" s="336"/>
      <c r="IE1" s="336"/>
      <c r="II1" s="336"/>
      <c r="IJ1" s="336"/>
      <c r="IK1" s="336"/>
      <c r="IO1" s="336"/>
      <c r="IP1" s="336"/>
      <c r="IQ1" s="336"/>
      <c r="JD1" s="10"/>
      <c r="JG1" s="336"/>
      <c r="JH1" s="336"/>
      <c r="JI1" s="336"/>
      <c r="JM1" s="336"/>
      <c r="JN1" s="336"/>
      <c r="JQ1" s="336"/>
      <c r="JR1" s="336"/>
      <c r="JS1" s="336"/>
      <c r="JV1" s="391"/>
      <c r="JW1" s="341"/>
      <c r="JX1" s="336"/>
      <c r="JY1" s="336"/>
      <c r="JZ1" s="336"/>
      <c r="KA1" s="336"/>
      <c r="KB1" s="456">
        <v>95</v>
      </c>
      <c r="KC1" s="336"/>
      <c r="KD1" s="336"/>
      <c r="KE1" s="336"/>
      <c r="KF1" s="336"/>
      <c r="KG1" s="337"/>
      <c r="KH1" s="336"/>
      <c r="KI1" s="336"/>
      <c r="KJ1" s="336"/>
      <c r="KK1" s="336"/>
      <c r="KL1" s="336"/>
      <c r="KM1" s="336"/>
      <c r="KN1" s="336"/>
      <c r="KO1" s="336"/>
      <c r="KP1" s="336"/>
      <c r="KQ1" s="336"/>
      <c r="KR1" s="336"/>
      <c r="KS1" s="336"/>
      <c r="KT1" s="336"/>
      <c r="KU1" s="336"/>
      <c r="KV1" s="336"/>
      <c r="KW1" s="337"/>
      <c r="KX1" s="336"/>
      <c r="KY1" s="336"/>
      <c r="KZ1" s="336"/>
      <c r="LA1" s="336"/>
      <c r="LB1" s="336"/>
      <c r="LC1" s="336"/>
      <c r="LD1" s="336"/>
      <c r="LE1" s="336"/>
      <c r="LF1" s="336"/>
      <c r="LG1" s="336"/>
      <c r="LH1" s="336"/>
      <c r="LI1" s="336"/>
      <c r="LJ1" s="336"/>
      <c r="LK1" s="336"/>
      <c r="LL1" s="336"/>
      <c r="LM1" s="336"/>
      <c r="LN1" s="336"/>
      <c r="LO1" s="336"/>
      <c r="LP1" s="336"/>
      <c r="LQ1" s="337"/>
      <c r="MN1" s="10"/>
      <c r="OA1" s="10"/>
    </row>
    <row r="2" spans="1:391" s="334" customFormat="1" x14ac:dyDescent="0.25">
      <c r="A2" s="29" t="s">
        <v>104</v>
      </c>
      <c r="B2" s="10"/>
      <c r="C2" s="68"/>
      <c r="D2" s="68"/>
      <c r="E2" s="68"/>
      <c r="F2" s="68"/>
      <c r="G2" s="68"/>
      <c r="H2" s="68"/>
      <c r="I2" s="68"/>
      <c r="J2" s="68"/>
      <c r="K2" s="68"/>
      <c r="L2" s="68"/>
      <c r="M2" s="68"/>
      <c r="N2" s="68"/>
      <c r="O2" s="68"/>
      <c r="P2" s="68"/>
      <c r="Q2" s="68"/>
      <c r="R2" s="68"/>
      <c r="S2" s="68"/>
      <c r="T2" s="70"/>
      <c r="AC2" s="68"/>
      <c r="AD2" s="70"/>
      <c r="AM2" s="68"/>
      <c r="AN2" s="70"/>
      <c r="AU2" s="68"/>
      <c r="AV2" s="70"/>
      <c r="BB2" s="68"/>
      <c r="BC2" s="70"/>
      <c r="BD2" s="68"/>
      <c r="BE2" s="68"/>
      <c r="BF2" s="68"/>
      <c r="BG2" s="68"/>
      <c r="BH2" s="68"/>
      <c r="BI2" s="68"/>
      <c r="BJ2" s="70"/>
      <c r="BM2" s="68"/>
      <c r="BN2" s="70"/>
      <c r="BT2" s="68"/>
      <c r="BU2" s="70"/>
      <c r="BZ2" s="10"/>
      <c r="CA2" s="274"/>
      <c r="CE2" s="361"/>
      <c r="CF2" s="10"/>
      <c r="CI2" s="389"/>
      <c r="CJ2" s="389"/>
      <c r="CK2" s="68"/>
      <c r="CL2" s="70"/>
      <c r="CO2" s="10"/>
      <c r="CU2" s="10"/>
      <c r="DA2" s="10"/>
      <c r="DB2" s="1183" t="s">
        <v>819</v>
      </c>
      <c r="DC2" s="70"/>
      <c r="DF2" s="68"/>
      <c r="DG2" s="70"/>
      <c r="DH2" s="68"/>
      <c r="DI2" s="386"/>
      <c r="DJ2" s="425"/>
      <c r="DL2" s="68"/>
      <c r="DM2" s="70"/>
      <c r="DQ2" s="68"/>
      <c r="DR2" s="70"/>
      <c r="DS2" s="338"/>
      <c r="DT2" s="338"/>
      <c r="DU2" s="338"/>
      <c r="DW2" s="338"/>
      <c r="DX2" s="338"/>
      <c r="DY2" s="338"/>
      <c r="EA2" s="338"/>
      <c r="EB2" s="338"/>
      <c r="EC2" s="338"/>
      <c r="EE2" s="338"/>
      <c r="EF2" s="338"/>
      <c r="EG2" s="338"/>
      <c r="EI2" s="336"/>
      <c r="EJ2" s="336"/>
      <c r="EK2" s="336"/>
      <c r="EL2" s="336"/>
      <c r="EM2" s="336"/>
      <c r="EN2" s="336"/>
      <c r="EO2" s="337"/>
      <c r="EP2" s="440"/>
      <c r="EQ2" s="336"/>
      <c r="ER2" s="342"/>
      <c r="ES2" s="336"/>
      <c r="ET2" s="342"/>
      <c r="EU2" s="336"/>
      <c r="EV2" s="342"/>
      <c r="EW2" s="336"/>
      <c r="EX2" s="342"/>
      <c r="EY2" s="342"/>
      <c r="EZ2" s="342"/>
      <c r="FA2" s="337"/>
      <c r="FE2" s="338"/>
      <c r="FH2" s="338"/>
      <c r="FI2" s="358"/>
      <c r="FJ2" s="338"/>
      <c r="FK2" s="338"/>
      <c r="FL2" s="338"/>
      <c r="FM2" s="337"/>
      <c r="FN2" s="336"/>
      <c r="FO2" s="336"/>
      <c r="FP2" s="336"/>
      <c r="FQ2" s="336"/>
      <c r="FR2" s="336"/>
      <c r="FS2" s="336"/>
      <c r="FT2" s="336"/>
      <c r="FU2" s="336"/>
      <c r="FV2" s="336"/>
      <c r="FW2" s="337"/>
      <c r="FX2" s="532"/>
      <c r="FY2" s="341"/>
      <c r="FZ2" s="341"/>
      <c r="GA2" s="336"/>
      <c r="GB2" s="341"/>
      <c r="GC2" s="341"/>
      <c r="GD2" s="341"/>
      <c r="GE2" s="336"/>
      <c r="GF2" s="336"/>
      <c r="GG2" s="336"/>
      <c r="GH2" s="336"/>
      <c r="GI2" s="336"/>
      <c r="GJ2" s="337"/>
      <c r="GM2" s="338"/>
      <c r="GN2" s="338"/>
      <c r="GO2" s="338"/>
      <c r="GS2" s="338"/>
      <c r="GT2" s="338"/>
      <c r="GU2" s="338"/>
      <c r="GY2" s="338"/>
      <c r="GZ2" s="338"/>
      <c r="HA2" s="338"/>
      <c r="HE2" s="338"/>
      <c r="HF2" s="338"/>
      <c r="HG2" s="338"/>
      <c r="HN2" s="68"/>
      <c r="HO2" s="68"/>
      <c r="HP2" s="68"/>
      <c r="HQ2" s="336"/>
      <c r="HR2" s="68"/>
      <c r="HS2" s="68"/>
      <c r="HT2" s="10"/>
      <c r="HW2" s="338"/>
      <c r="HX2" s="338"/>
      <c r="HY2" s="338"/>
      <c r="IC2" s="338"/>
      <c r="ID2" s="338"/>
      <c r="IE2" s="338"/>
      <c r="II2" s="338"/>
      <c r="IJ2" s="338"/>
      <c r="IK2" s="338"/>
      <c r="IO2" s="338"/>
      <c r="IP2" s="338"/>
      <c r="IQ2" s="338"/>
      <c r="IX2" s="68"/>
      <c r="IY2" s="68"/>
      <c r="IZ2" s="68"/>
      <c r="JA2" s="68"/>
      <c r="JB2" s="68"/>
      <c r="JC2" s="68"/>
      <c r="JD2" s="10"/>
      <c r="JG2" s="338"/>
      <c r="JH2" s="338"/>
      <c r="JI2" s="338"/>
      <c r="JK2" s="68"/>
      <c r="JM2" s="338"/>
      <c r="JN2" s="338"/>
      <c r="JQ2" s="338"/>
      <c r="JR2" s="338"/>
      <c r="JS2" s="338"/>
      <c r="JV2" s="392"/>
      <c r="JW2" s="341"/>
      <c r="JX2" s="341"/>
      <c r="JY2" s="336"/>
      <c r="JZ2" s="336"/>
      <c r="KA2" s="336"/>
      <c r="KB2" s="336"/>
      <c r="KC2" s="336"/>
      <c r="KD2" s="336"/>
      <c r="KE2" s="336"/>
      <c r="KF2" s="336"/>
      <c r="KG2" s="337"/>
      <c r="KH2" s="338"/>
      <c r="KI2" s="338"/>
      <c r="KJ2" s="338"/>
      <c r="KK2" s="338"/>
      <c r="KL2" s="338"/>
      <c r="KM2" s="338"/>
      <c r="KN2" s="338"/>
      <c r="KO2" s="338"/>
      <c r="KP2" s="338"/>
      <c r="KQ2" s="338"/>
      <c r="KR2" s="338"/>
      <c r="KS2" s="338"/>
      <c r="KT2" s="338"/>
      <c r="KU2" s="338"/>
      <c r="KV2" s="338"/>
      <c r="KW2" s="337"/>
      <c r="KX2" s="336"/>
      <c r="KY2" s="336"/>
      <c r="KZ2" s="336"/>
      <c r="LA2" s="336"/>
      <c r="LB2" s="336"/>
      <c r="LC2" s="336"/>
      <c r="LD2" s="336"/>
      <c r="LE2" s="336"/>
      <c r="LF2" s="336"/>
      <c r="LG2" s="336"/>
      <c r="LH2" s="336"/>
      <c r="LI2" s="336"/>
      <c r="LJ2" s="336"/>
      <c r="LK2" s="336"/>
      <c r="LL2" s="336"/>
      <c r="LM2" s="336"/>
      <c r="LN2" s="336"/>
      <c r="LO2" s="336"/>
      <c r="LP2" s="336"/>
      <c r="LQ2" s="337"/>
      <c r="MN2" s="10"/>
      <c r="OA2" s="10"/>
    </row>
    <row r="3" spans="1:391" s="334" customFormat="1" ht="18.75" x14ac:dyDescent="0.25">
      <c r="A3" s="68">
        <v>1</v>
      </c>
      <c r="B3" s="68"/>
      <c r="C3" s="68"/>
      <c r="D3" s="68"/>
      <c r="E3" s="68"/>
      <c r="F3" s="68"/>
      <c r="G3" s="68"/>
      <c r="H3" s="68"/>
      <c r="I3" s="68"/>
      <c r="J3" s="68"/>
      <c r="K3" s="68"/>
      <c r="L3" s="68"/>
      <c r="M3" s="68"/>
      <c r="N3" s="68"/>
      <c r="O3" s="68"/>
      <c r="P3" s="68"/>
      <c r="Q3" s="68"/>
      <c r="R3" s="68"/>
      <c r="S3" s="68"/>
      <c r="T3" s="70"/>
      <c r="AC3" s="68"/>
      <c r="AD3" s="70"/>
      <c r="AM3" s="68"/>
      <c r="AN3" s="70"/>
      <c r="AU3" s="68"/>
      <c r="AV3" s="70"/>
      <c r="BB3" s="68"/>
      <c r="BC3" s="70"/>
      <c r="BD3" s="68"/>
      <c r="BE3" s="68"/>
      <c r="BF3" s="68"/>
      <c r="BG3" s="68"/>
      <c r="BH3" s="68"/>
      <c r="BI3" s="68"/>
      <c r="BJ3" s="70"/>
      <c r="BM3" s="68"/>
      <c r="BN3" s="70"/>
      <c r="BO3" s="274"/>
      <c r="BT3" s="68"/>
      <c r="BU3" s="70"/>
      <c r="BZ3" s="10"/>
      <c r="CA3" s="274"/>
      <c r="CB3" s="274"/>
      <c r="CE3" s="361"/>
      <c r="CF3" s="10"/>
      <c r="CI3" s="389"/>
      <c r="CJ3" s="389"/>
      <c r="CK3" s="68"/>
      <c r="CL3" s="70"/>
      <c r="CO3" s="10"/>
      <c r="CU3" s="10"/>
      <c r="DA3" s="10"/>
      <c r="DB3" s="1183"/>
      <c r="DC3" s="70"/>
      <c r="DF3" s="68"/>
      <c r="DG3" s="70"/>
      <c r="DH3" s="68"/>
      <c r="DI3" s="386"/>
      <c r="DJ3" s="425"/>
      <c r="DL3" s="68"/>
      <c r="DM3" s="70"/>
      <c r="DQ3" s="68"/>
      <c r="DR3" s="70"/>
      <c r="DS3" s="338"/>
      <c r="DT3" s="338"/>
      <c r="DU3" s="338"/>
      <c r="DW3" s="338"/>
      <c r="DX3" s="338"/>
      <c r="DY3" s="338"/>
      <c r="EA3" s="338"/>
      <c r="EB3" s="338"/>
      <c r="EC3" s="338"/>
      <c r="EE3" s="338"/>
      <c r="EF3" s="338"/>
      <c r="EG3" s="338"/>
      <c r="EI3" s="336"/>
      <c r="EJ3" s="336"/>
      <c r="EK3" s="336"/>
      <c r="EL3" s="336"/>
      <c r="EM3" s="336"/>
      <c r="EN3" s="336"/>
      <c r="EO3" s="337"/>
      <c r="EP3" s="440"/>
      <c r="EQ3" s="336"/>
      <c r="ER3" s="342"/>
      <c r="ES3" s="336"/>
      <c r="ET3" s="342"/>
      <c r="EU3" s="336"/>
      <c r="EV3" s="342"/>
      <c r="EW3" s="336"/>
      <c r="EX3" s="342"/>
      <c r="EY3" s="342"/>
      <c r="EZ3" s="342"/>
      <c r="FA3" s="337"/>
      <c r="FE3" s="338"/>
      <c r="FH3" s="338"/>
      <c r="FI3" s="358"/>
      <c r="FJ3" s="338"/>
      <c r="FK3" s="338"/>
      <c r="FL3" s="338"/>
      <c r="FM3" s="337"/>
      <c r="FN3" s="336"/>
      <c r="FO3" s="336"/>
      <c r="FP3" s="336"/>
      <c r="FQ3" s="336"/>
      <c r="FR3" s="336"/>
      <c r="FS3" s="336"/>
      <c r="FT3" s="336"/>
      <c r="FU3" s="336"/>
      <c r="FV3" s="336"/>
      <c r="FW3" s="337"/>
      <c r="FX3" s="532"/>
      <c r="FY3" s="341"/>
      <c r="FZ3" s="341"/>
      <c r="GA3" s="336"/>
      <c r="GB3" s="341"/>
      <c r="GC3" s="341"/>
      <c r="GD3" s="341"/>
      <c r="GE3" s="336"/>
      <c r="GF3" s="336"/>
      <c r="GG3" s="336"/>
      <c r="GH3" s="336"/>
      <c r="GI3" s="336"/>
      <c r="GJ3" s="337"/>
      <c r="GK3" s="1179" t="s">
        <v>730</v>
      </c>
      <c r="GL3" s="1180"/>
      <c r="GM3" s="1180"/>
      <c r="GN3" s="1180"/>
      <c r="GO3" s="1180"/>
      <c r="GP3" s="1180"/>
      <c r="GQ3" s="1180"/>
      <c r="GR3" s="1180"/>
      <c r="GS3" s="1180"/>
      <c r="GT3" s="1180"/>
      <c r="GU3" s="1180"/>
      <c r="GV3" s="1180"/>
      <c r="GW3" s="1180"/>
      <c r="GX3" s="1180"/>
      <c r="GY3" s="1180"/>
      <c r="GZ3" s="1180"/>
      <c r="HA3" s="1180"/>
      <c r="HB3" s="1180"/>
      <c r="HC3" s="1180"/>
      <c r="HD3" s="1180"/>
      <c r="HE3" s="1180"/>
      <c r="HF3" s="1180"/>
      <c r="HG3" s="1180"/>
      <c r="HH3" s="1180"/>
      <c r="HI3" s="1180"/>
      <c r="HJ3" s="1180"/>
      <c r="HK3" s="1180"/>
      <c r="HL3" s="1180"/>
      <c r="HM3" s="1180"/>
      <c r="HN3" s="1180"/>
      <c r="HO3" s="564"/>
      <c r="HP3" s="564"/>
      <c r="HQ3" s="566"/>
      <c r="HR3" s="564"/>
      <c r="HS3" s="564"/>
      <c r="HT3" s="564"/>
      <c r="HU3" s="1180" t="s">
        <v>729</v>
      </c>
      <c r="HV3" s="1180"/>
      <c r="HW3" s="1180"/>
      <c r="HX3" s="1180"/>
      <c r="HY3" s="1180"/>
      <c r="HZ3" s="1180"/>
      <c r="IA3" s="1180"/>
      <c r="IB3" s="1180"/>
      <c r="IC3" s="1180"/>
      <c r="ID3" s="1180"/>
      <c r="IE3" s="1180"/>
      <c r="IF3" s="1180"/>
      <c r="IG3" s="1180"/>
      <c r="IH3" s="1180"/>
      <c r="II3" s="1180"/>
      <c r="IJ3" s="1180"/>
      <c r="IK3" s="1180"/>
      <c r="IL3" s="1180"/>
      <c r="IM3" s="1180"/>
      <c r="IN3" s="1180"/>
      <c r="IO3" s="1180"/>
      <c r="IP3" s="1180"/>
      <c r="IQ3" s="1180"/>
      <c r="IR3" s="1180"/>
      <c r="IS3" s="1180"/>
      <c r="IT3" s="1180"/>
      <c r="IU3" s="1180"/>
      <c r="IV3" s="1180"/>
      <c r="IW3" s="1180"/>
      <c r="IX3" s="1180"/>
      <c r="IY3" s="564"/>
      <c r="IZ3" s="564"/>
      <c r="JA3" s="564"/>
      <c r="JB3" s="564"/>
      <c r="JC3" s="564"/>
      <c r="JD3" s="565"/>
      <c r="JE3" s="1179" t="s">
        <v>731</v>
      </c>
      <c r="JF3" s="1180"/>
      <c r="JG3" s="1180"/>
      <c r="JH3" s="1180"/>
      <c r="JI3" s="1180"/>
      <c r="JJ3" s="1180"/>
      <c r="JK3" s="1180"/>
      <c r="JL3" s="1180"/>
      <c r="JM3" s="1180"/>
      <c r="JN3" s="1180"/>
      <c r="JO3" s="1180"/>
      <c r="JP3" s="1180"/>
      <c r="JQ3" s="1180"/>
      <c r="JR3" s="1180"/>
      <c r="JS3" s="1180"/>
      <c r="JT3" s="1180"/>
      <c r="JU3" s="1180"/>
      <c r="JV3" s="1180"/>
      <c r="JW3" s="1180"/>
      <c r="JX3" s="1180"/>
      <c r="JY3" s="1180"/>
      <c r="JZ3" s="1180"/>
      <c r="KA3" s="1180"/>
      <c r="KB3" s="1180"/>
      <c r="KC3" s="1180"/>
      <c r="KD3" s="1180"/>
      <c r="KE3" s="1180"/>
      <c r="KF3" s="1180"/>
      <c r="KG3" s="1181"/>
      <c r="KH3" s="338"/>
      <c r="KI3" s="338"/>
      <c r="KJ3" s="338"/>
      <c r="KK3" s="338"/>
      <c r="KL3" s="338"/>
      <c r="KM3" s="338"/>
      <c r="KN3" s="338"/>
      <c r="KO3" s="338"/>
      <c r="KP3" s="338"/>
      <c r="KQ3" s="338"/>
      <c r="KR3" s="338"/>
      <c r="KS3" s="338"/>
      <c r="KT3" s="338"/>
      <c r="KU3" s="338"/>
      <c r="KV3" s="338"/>
      <c r="KW3" s="337"/>
      <c r="KX3" s="336"/>
      <c r="KY3" s="336"/>
      <c r="KZ3" s="336"/>
      <c r="LA3" s="336"/>
      <c r="LB3" s="336"/>
      <c r="LC3" s="336"/>
      <c r="LD3" s="336"/>
      <c r="LE3" s="336"/>
      <c r="LF3" s="336"/>
      <c r="LG3" s="336"/>
      <c r="LH3" s="336"/>
      <c r="LI3" s="336"/>
      <c r="LJ3" s="336"/>
      <c r="LK3" s="336"/>
      <c r="LL3" s="336"/>
      <c r="LM3" s="336"/>
      <c r="LN3" s="336"/>
      <c r="LO3" s="336"/>
      <c r="LP3" s="336"/>
      <c r="LQ3" s="337"/>
      <c r="MN3" s="10"/>
      <c r="OA3" s="10"/>
    </row>
    <row r="4" spans="1:391" s="27" customFormat="1" ht="45" customHeight="1" x14ac:dyDescent="0.3">
      <c r="A4" s="334">
        <v>2</v>
      </c>
      <c r="B4" s="26"/>
      <c r="C4" s="26"/>
      <c r="D4" s="26"/>
      <c r="E4" s="26"/>
      <c r="F4" s="26"/>
      <c r="G4" s="26"/>
      <c r="H4" s="26"/>
      <c r="I4" s="26"/>
      <c r="J4" s="26"/>
      <c r="K4" s="26"/>
      <c r="L4" s="26"/>
      <c r="M4" s="26"/>
      <c r="N4" s="26"/>
      <c r="O4" s="26"/>
      <c r="P4" s="26"/>
      <c r="Q4" s="26"/>
      <c r="R4" s="26"/>
      <c r="S4" s="26"/>
      <c r="T4" s="1179" t="s">
        <v>0</v>
      </c>
      <c r="U4" s="1180"/>
      <c r="V4" s="1180"/>
      <c r="W4" s="1180"/>
      <c r="X4" s="1180"/>
      <c r="Y4" s="1180"/>
      <c r="Z4" s="1180"/>
      <c r="AA4" s="1180"/>
      <c r="AB4" s="1180"/>
      <c r="AC4" s="1180"/>
      <c r="AD4" s="1179" t="s">
        <v>0</v>
      </c>
      <c r="AE4" s="1180"/>
      <c r="AF4" s="1180"/>
      <c r="AG4" s="1180"/>
      <c r="AH4" s="1180"/>
      <c r="AI4" s="1180"/>
      <c r="AJ4" s="1180"/>
      <c r="AK4" s="1180"/>
      <c r="AL4" s="1180"/>
      <c r="AM4" s="1180"/>
      <c r="AN4" s="1179" t="s">
        <v>89</v>
      </c>
      <c r="AO4" s="1180"/>
      <c r="AP4" s="1180"/>
      <c r="AQ4" s="1180"/>
      <c r="AR4" s="1180"/>
      <c r="AS4" s="1180"/>
      <c r="AT4" s="1180"/>
      <c r="AU4" s="1180"/>
      <c r="AV4" s="1179" t="s">
        <v>89</v>
      </c>
      <c r="AW4" s="1180"/>
      <c r="AX4" s="1180"/>
      <c r="AY4" s="1180"/>
      <c r="AZ4" s="1180"/>
      <c r="BA4" s="1180"/>
      <c r="BB4" s="1180"/>
      <c r="BC4" s="1179" t="s">
        <v>860</v>
      </c>
      <c r="BD4" s="1180"/>
      <c r="BE4" s="1180"/>
      <c r="BF4" s="1180"/>
      <c r="BG4" s="1180"/>
      <c r="BH4" s="1180"/>
      <c r="BI4" s="1181"/>
      <c r="BJ4" s="1179" t="s">
        <v>92</v>
      </c>
      <c r="BK4" s="1180"/>
      <c r="BL4" s="1180"/>
      <c r="BM4" s="1181"/>
      <c r="BN4" s="1179" t="s">
        <v>416</v>
      </c>
      <c r="BO4" s="1180"/>
      <c r="BP4" s="1180"/>
      <c r="BQ4" s="1180"/>
      <c r="BR4" s="1180"/>
      <c r="BS4" s="1180"/>
      <c r="BT4" s="1180"/>
      <c r="BU4" s="1179" t="s">
        <v>415</v>
      </c>
      <c r="BV4" s="1180"/>
      <c r="BW4" s="1180"/>
      <c r="BX4" s="1180"/>
      <c r="BY4" s="1180"/>
      <c r="BZ4" s="1181"/>
      <c r="CA4" s="1179" t="s">
        <v>822</v>
      </c>
      <c r="CB4" s="1184"/>
      <c r="CC4" s="1184"/>
      <c r="CD4" s="1184"/>
      <c r="CE4" s="1184"/>
      <c r="CF4" s="1181"/>
      <c r="CG4" s="1183" t="s">
        <v>861</v>
      </c>
      <c r="CH4" s="1185"/>
      <c r="CI4" s="1185"/>
      <c r="CJ4" s="1185"/>
      <c r="CK4" s="1185"/>
      <c r="CL4" s="1179" t="s">
        <v>455</v>
      </c>
      <c r="CM4" s="1180"/>
      <c r="CN4" s="1180"/>
      <c r="CO4" s="1181"/>
      <c r="CP4" s="1180" t="s">
        <v>818</v>
      </c>
      <c r="CQ4" s="1180"/>
      <c r="CR4" s="1180"/>
      <c r="CS4" s="1180"/>
      <c r="CT4" s="1180"/>
      <c r="CU4" s="1181"/>
      <c r="CV4" s="1179" t="s">
        <v>873</v>
      </c>
      <c r="CW4" s="1180"/>
      <c r="CX4" s="1180"/>
      <c r="CY4" s="1180"/>
      <c r="CZ4" s="1180"/>
      <c r="DA4" s="1181"/>
      <c r="DB4" s="1183"/>
      <c r="DC4" s="1179" t="s">
        <v>820</v>
      </c>
      <c r="DD4" s="1180"/>
      <c r="DE4" s="1180"/>
      <c r="DF4" s="1181"/>
      <c r="DG4" s="1183" t="s">
        <v>821</v>
      </c>
      <c r="DH4" s="1186"/>
      <c r="DI4" s="421" t="s">
        <v>671</v>
      </c>
      <c r="DJ4" s="426" t="s">
        <v>862</v>
      </c>
      <c r="DK4" s="1185" t="s">
        <v>654</v>
      </c>
      <c r="DL4" s="1185"/>
      <c r="DM4" s="1183" t="s">
        <v>667</v>
      </c>
      <c r="DN4" s="1185"/>
      <c r="DO4" s="1185"/>
      <c r="DP4" s="1185"/>
      <c r="DQ4" s="1185"/>
      <c r="DR4" s="1179" t="s">
        <v>823</v>
      </c>
      <c r="DS4" s="1180"/>
      <c r="DT4" s="1180"/>
      <c r="DU4" s="1180"/>
      <c r="DV4" s="1180"/>
      <c r="DW4" s="1180"/>
      <c r="DX4" s="1180"/>
      <c r="DY4" s="1180"/>
      <c r="DZ4" s="1180"/>
      <c r="EA4" s="1180"/>
      <c r="EB4" s="1180"/>
      <c r="EC4" s="1180"/>
      <c r="ED4" s="1180"/>
      <c r="EE4" s="1180"/>
      <c r="EF4" s="1180"/>
      <c r="EG4" s="1180"/>
      <c r="EH4" s="1180"/>
      <c r="EI4" s="1180"/>
      <c r="EJ4" s="432"/>
      <c r="EK4" s="432"/>
      <c r="EL4" s="432"/>
      <c r="EM4" s="432"/>
      <c r="EN4" s="432"/>
      <c r="EO4" s="433"/>
      <c r="EP4" s="1179" t="s">
        <v>824</v>
      </c>
      <c r="EQ4" s="1180"/>
      <c r="ER4" s="1180"/>
      <c r="ES4" s="1180"/>
      <c r="ET4" s="1180"/>
      <c r="EU4" s="1180"/>
      <c r="EV4" s="1180"/>
      <c r="EW4" s="1180"/>
      <c r="EX4" s="1180"/>
      <c r="EY4" s="1180"/>
      <c r="EZ4" s="1180"/>
      <c r="FA4" s="1181"/>
      <c r="FB4" s="1180" t="s">
        <v>797</v>
      </c>
      <c r="FC4" s="1180"/>
      <c r="FD4" s="1180"/>
      <c r="FE4" s="1180"/>
      <c r="FF4" s="1180"/>
      <c r="FG4" s="1180"/>
      <c r="FH4" s="1180"/>
      <c r="FI4" s="1180"/>
      <c r="FJ4" s="1180"/>
      <c r="FK4" s="1180"/>
      <c r="FL4" s="1180"/>
      <c r="FM4" s="1181"/>
      <c r="FN4" s="1179" t="s">
        <v>997</v>
      </c>
      <c r="FO4" s="1180"/>
      <c r="FP4" s="1180"/>
      <c r="FQ4" s="1180"/>
      <c r="FR4" s="1180"/>
      <c r="FS4" s="1180"/>
      <c r="FT4" s="1180"/>
      <c r="FU4" s="1180"/>
      <c r="FV4" s="1180"/>
      <c r="FW4" s="1181"/>
      <c r="FX4" s="1187" t="s">
        <v>998</v>
      </c>
      <c r="FY4" s="1188"/>
      <c r="FZ4" s="1188"/>
      <c r="GA4" s="1188"/>
      <c r="GB4" s="1188"/>
      <c r="GC4" s="1188"/>
      <c r="GD4" s="1188"/>
      <c r="GE4" s="1188"/>
      <c r="GF4" s="1188"/>
      <c r="GG4" s="1188"/>
      <c r="GH4" s="1188"/>
      <c r="GI4" s="1188"/>
      <c r="GJ4" s="1189"/>
      <c r="GK4" s="1176" t="s">
        <v>759</v>
      </c>
      <c r="GL4" s="1177"/>
      <c r="GM4" s="1177"/>
      <c r="GN4" s="1177"/>
      <c r="GO4" s="1177"/>
      <c r="GP4" s="1177"/>
      <c r="GQ4" s="1177" t="s">
        <v>624</v>
      </c>
      <c r="GR4" s="1177"/>
      <c r="GS4" s="1177"/>
      <c r="GT4" s="1177"/>
      <c r="GU4" s="1177"/>
      <c r="GV4" s="1177"/>
      <c r="GW4" s="1177" t="s">
        <v>628</v>
      </c>
      <c r="GX4" s="1177"/>
      <c r="GY4" s="1177"/>
      <c r="GZ4" s="1177"/>
      <c r="HA4" s="1177"/>
      <c r="HB4" s="1177"/>
      <c r="HC4" s="1177" t="s">
        <v>629</v>
      </c>
      <c r="HD4" s="1177"/>
      <c r="HE4" s="1177"/>
      <c r="HF4" s="1177"/>
      <c r="HG4" s="1177"/>
      <c r="HH4" s="1177"/>
      <c r="HI4" s="1182" t="s">
        <v>510</v>
      </c>
      <c r="HJ4" s="1182"/>
      <c r="HK4" s="1182"/>
      <c r="HL4" s="1182"/>
      <c r="HM4" s="1182"/>
      <c r="HN4" s="1182"/>
      <c r="HO4" s="1182" t="s">
        <v>511</v>
      </c>
      <c r="HP4" s="1182"/>
      <c r="HQ4" s="1182"/>
      <c r="HR4" s="1182"/>
      <c r="HS4" s="1182"/>
      <c r="HT4" s="1178"/>
      <c r="HU4" s="1182" t="s">
        <v>759</v>
      </c>
      <c r="HV4" s="1177"/>
      <c r="HW4" s="1177"/>
      <c r="HX4" s="1177"/>
      <c r="HY4" s="1177"/>
      <c r="HZ4" s="1177"/>
      <c r="IA4" s="1177" t="s">
        <v>624</v>
      </c>
      <c r="IB4" s="1177"/>
      <c r="IC4" s="1177"/>
      <c r="ID4" s="1177"/>
      <c r="IE4" s="1177"/>
      <c r="IF4" s="1177"/>
      <c r="IG4" s="1177" t="s">
        <v>628</v>
      </c>
      <c r="IH4" s="1177"/>
      <c r="II4" s="1177"/>
      <c r="IJ4" s="1177"/>
      <c r="IK4" s="1177"/>
      <c r="IL4" s="1177"/>
      <c r="IM4" s="1177" t="s">
        <v>629</v>
      </c>
      <c r="IN4" s="1177"/>
      <c r="IO4" s="1177"/>
      <c r="IP4" s="1177"/>
      <c r="IQ4" s="1177"/>
      <c r="IR4" s="1177"/>
      <c r="IS4" s="1182" t="s">
        <v>510</v>
      </c>
      <c r="IT4" s="1182"/>
      <c r="IU4" s="1182"/>
      <c r="IV4" s="1182"/>
      <c r="IW4" s="1182"/>
      <c r="IX4" s="1182"/>
      <c r="IY4" s="1182" t="s">
        <v>511</v>
      </c>
      <c r="IZ4" s="1182"/>
      <c r="JA4" s="1182"/>
      <c r="JB4" s="1182"/>
      <c r="JC4" s="1182"/>
      <c r="JD4" s="1178"/>
      <c r="JE4" s="1176">
        <v>2013</v>
      </c>
      <c r="JF4" s="1177"/>
      <c r="JG4" s="1177"/>
      <c r="JH4" s="1177"/>
      <c r="JI4" s="1177"/>
      <c r="JJ4" s="1177"/>
      <c r="JK4" s="1177"/>
      <c r="JL4" s="1177"/>
      <c r="JM4" s="1177"/>
      <c r="JN4" s="1177"/>
      <c r="JO4" s="1182">
        <v>2014</v>
      </c>
      <c r="JP4" s="1182"/>
      <c r="JQ4" s="1182"/>
      <c r="JR4" s="1182"/>
      <c r="JS4" s="1182"/>
      <c r="JT4" s="1182"/>
      <c r="JU4" s="1182"/>
      <c r="JV4" s="1182"/>
      <c r="JW4" s="1182"/>
      <c r="JX4" s="1182"/>
      <c r="JY4" s="1182">
        <v>2015</v>
      </c>
      <c r="JZ4" s="1182"/>
      <c r="KA4" s="1182"/>
      <c r="KB4" s="1182"/>
      <c r="KC4" s="1182"/>
      <c r="KD4" s="1182"/>
      <c r="KE4" s="1182"/>
      <c r="KF4" s="1182"/>
      <c r="KG4" s="1178"/>
      <c r="KH4" s="1173" t="s">
        <v>732</v>
      </c>
      <c r="KI4" s="1174"/>
      <c r="KJ4" s="1174"/>
      <c r="KK4" s="1174"/>
      <c r="KL4" s="1174"/>
      <c r="KM4" s="1174"/>
      <c r="KN4" s="1174"/>
      <c r="KO4" s="1174"/>
      <c r="KP4" s="1174"/>
      <c r="KQ4" s="1174"/>
      <c r="KR4" s="1174"/>
      <c r="KS4" s="1174"/>
      <c r="KT4" s="1174"/>
      <c r="KU4" s="1174"/>
      <c r="KV4" s="1174"/>
      <c r="KW4" s="1175"/>
      <c r="KX4" s="1173" t="s">
        <v>1035</v>
      </c>
      <c r="KY4" s="1174"/>
      <c r="KZ4" s="1174"/>
      <c r="LA4" s="1174"/>
      <c r="LB4" s="1174"/>
      <c r="LC4" s="1174"/>
      <c r="LD4" s="1174"/>
      <c r="LE4" s="1174"/>
      <c r="LF4" s="1174"/>
      <c r="LG4" s="1174"/>
      <c r="LH4" s="1174"/>
      <c r="LI4" s="1174"/>
      <c r="LJ4" s="1174"/>
      <c r="LK4" s="1174"/>
      <c r="LL4" s="1174"/>
      <c r="LM4" s="1174"/>
      <c r="LN4" s="1174"/>
      <c r="LO4" s="1174"/>
      <c r="LP4" s="1174"/>
      <c r="LQ4" s="1175"/>
      <c r="LR4" s="1179" t="s">
        <v>917</v>
      </c>
      <c r="LS4" s="1180"/>
      <c r="LT4" s="1180"/>
      <c r="LU4" s="1180"/>
      <c r="LV4" s="1180"/>
      <c r="LW4" s="1180"/>
      <c r="LX4" s="1180"/>
      <c r="LY4" s="1180"/>
      <c r="LZ4" s="1180"/>
      <c r="MA4" s="1180"/>
      <c r="MB4" s="1180"/>
      <c r="MC4" s="1180"/>
      <c r="MD4" s="1180"/>
      <c r="ME4" s="1180"/>
      <c r="MF4" s="1180"/>
      <c r="MG4" s="1180"/>
      <c r="MH4" s="1180"/>
      <c r="MI4" s="1180"/>
      <c r="MJ4" s="1180"/>
      <c r="MK4" s="1180"/>
      <c r="ML4" s="1180"/>
      <c r="MM4" s="1180"/>
      <c r="MN4" s="1181"/>
      <c r="MO4" s="1176" t="s">
        <v>957</v>
      </c>
      <c r="MP4" s="1177"/>
      <c r="MQ4" s="1177"/>
      <c r="MR4" s="1177"/>
      <c r="MS4" s="1177"/>
      <c r="MT4" s="1177"/>
      <c r="MU4" s="1177"/>
      <c r="MV4" s="1177"/>
      <c r="MW4" s="1177"/>
      <c r="MX4" s="1177"/>
      <c r="MY4" s="1177"/>
      <c r="MZ4" s="1177"/>
      <c r="NA4" s="1177"/>
      <c r="NB4" s="1177"/>
      <c r="NC4" s="1177"/>
      <c r="ND4" s="1177"/>
      <c r="NE4" s="1177"/>
      <c r="NF4" s="1177"/>
      <c r="NG4" s="1177"/>
      <c r="NH4" s="1177"/>
      <c r="NI4" s="1177"/>
      <c r="NJ4" s="1177"/>
      <c r="NK4" s="1177"/>
      <c r="NL4" s="1177"/>
      <c r="NM4" s="1177"/>
      <c r="NN4" s="1177"/>
      <c r="NO4" s="1177"/>
      <c r="NP4" s="1177"/>
      <c r="NQ4" s="1177"/>
      <c r="NR4" s="1177"/>
      <c r="NS4" s="1177"/>
      <c r="NT4" s="1177"/>
      <c r="NU4" s="1177"/>
      <c r="NV4" s="1177"/>
      <c r="NW4" s="1177"/>
      <c r="NX4" s="1177"/>
      <c r="NY4" s="1177"/>
      <c r="NZ4" s="1177"/>
      <c r="OA4" s="1178"/>
    </row>
    <row r="5" spans="1:391" s="13" customFormat="1" ht="89.25" customHeight="1" x14ac:dyDescent="0.2">
      <c r="A5" s="13" t="s">
        <v>1</v>
      </c>
      <c r="B5" s="14" t="s">
        <v>2</v>
      </c>
      <c r="C5" s="13" t="s">
        <v>134</v>
      </c>
      <c r="D5" s="13" t="s">
        <v>136</v>
      </c>
      <c r="E5" s="13" t="s">
        <v>135</v>
      </c>
      <c r="F5" s="13" t="s">
        <v>895</v>
      </c>
      <c r="G5" s="13" t="s">
        <v>265</v>
      </c>
      <c r="H5" s="13" t="s">
        <v>266</v>
      </c>
      <c r="I5" s="13" t="s">
        <v>279</v>
      </c>
      <c r="J5" s="13" t="s">
        <v>139</v>
      </c>
      <c r="K5" s="13" t="s">
        <v>285</v>
      </c>
      <c r="L5" s="13" t="s">
        <v>286</v>
      </c>
      <c r="M5" s="13" t="s">
        <v>283</v>
      </c>
      <c r="N5" s="13" t="s">
        <v>284</v>
      </c>
      <c r="O5" s="13" t="s">
        <v>137</v>
      </c>
      <c r="P5" s="13" t="s">
        <v>138</v>
      </c>
      <c r="Q5" s="13" t="s">
        <v>814</v>
      </c>
      <c r="R5" s="13" t="s">
        <v>815</v>
      </c>
      <c r="S5" s="13" t="s">
        <v>816</v>
      </c>
      <c r="T5" s="17" t="s">
        <v>3</v>
      </c>
      <c r="U5" s="64" t="s">
        <v>4</v>
      </c>
      <c r="V5" s="64" t="s">
        <v>5</v>
      </c>
      <c r="W5" s="64" t="s">
        <v>6</v>
      </c>
      <c r="X5" s="64" t="s">
        <v>7</v>
      </c>
      <c r="Y5" s="64" t="s">
        <v>8</v>
      </c>
      <c r="Z5" s="64" t="s">
        <v>9</v>
      </c>
      <c r="AA5" s="64" t="s">
        <v>10</v>
      </c>
      <c r="AB5" s="64" t="s">
        <v>11</v>
      </c>
      <c r="AC5" s="64" t="s">
        <v>12</v>
      </c>
      <c r="AD5" s="17" t="s">
        <v>13</v>
      </c>
      <c r="AE5" s="64" t="s">
        <v>14</v>
      </c>
      <c r="AF5" s="64" t="s">
        <v>15</v>
      </c>
      <c r="AG5" s="64" t="s">
        <v>16</v>
      </c>
      <c r="AH5" s="64" t="s">
        <v>17</v>
      </c>
      <c r="AI5" s="64" t="s">
        <v>18</v>
      </c>
      <c r="AJ5" s="64" t="s">
        <v>19</v>
      </c>
      <c r="AK5" s="64" t="s">
        <v>20</v>
      </c>
      <c r="AL5" s="64" t="s">
        <v>21</v>
      </c>
      <c r="AM5" s="64" t="s">
        <v>22</v>
      </c>
      <c r="AN5" s="17" t="s">
        <v>23</v>
      </c>
      <c r="AO5" s="64" t="s">
        <v>24</v>
      </c>
      <c r="AP5" s="64" t="s">
        <v>90</v>
      </c>
      <c r="AQ5" s="64" t="s">
        <v>91</v>
      </c>
      <c r="AR5" s="64" t="s">
        <v>25</v>
      </c>
      <c r="AS5" s="64" t="s">
        <v>26</v>
      </c>
      <c r="AT5" s="64" t="s">
        <v>27</v>
      </c>
      <c r="AU5" s="64" t="s">
        <v>28</v>
      </c>
      <c r="AV5" s="17" t="s">
        <v>307</v>
      </c>
      <c r="AW5" s="64" t="s">
        <v>308</v>
      </c>
      <c r="AX5" s="64" t="s">
        <v>309</v>
      </c>
      <c r="AY5" s="64" t="s">
        <v>29</v>
      </c>
      <c r="AZ5" s="64" t="s">
        <v>30</v>
      </c>
      <c r="BA5" s="64" t="s">
        <v>31</v>
      </c>
      <c r="BB5" s="64" t="s">
        <v>32</v>
      </c>
      <c r="BC5" s="17" t="s">
        <v>312</v>
      </c>
      <c r="BD5" s="64" t="s">
        <v>313</v>
      </c>
      <c r="BE5" s="64" t="s">
        <v>314</v>
      </c>
      <c r="BF5" s="64" t="s">
        <v>315</v>
      </c>
      <c r="BG5" s="64" t="s">
        <v>316</v>
      </c>
      <c r="BH5" s="64" t="s">
        <v>317</v>
      </c>
      <c r="BI5" s="64" t="s">
        <v>318</v>
      </c>
      <c r="BJ5" s="17" t="s">
        <v>324</v>
      </c>
      <c r="BK5" s="64" t="s">
        <v>93</v>
      </c>
      <c r="BL5" s="64" t="s">
        <v>94</v>
      </c>
      <c r="BM5" s="64" t="s">
        <v>95</v>
      </c>
      <c r="BN5" s="17" t="s">
        <v>329</v>
      </c>
      <c r="BO5" s="64" t="s">
        <v>325</v>
      </c>
      <c r="BP5" s="64" t="s">
        <v>326</v>
      </c>
      <c r="BQ5" s="64" t="s">
        <v>327</v>
      </c>
      <c r="BR5" s="64" t="s">
        <v>328</v>
      </c>
      <c r="BS5" s="64" t="s">
        <v>405</v>
      </c>
      <c r="BT5" s="13" t="s">
        <v>670</v>
      </c>
      <c r="BU5" s="67" t="s">
        <v>409</v>
      </c>
      <c r="BV5" s="13" t="s">
        <v>410</v>
      </c>
      <c r="BW5" s="13" t="s">
        <v>411</v>
      </c>
      <c r="BX5" s="13" t="s">
        <v>412</v>
      </c>
      <c r="BY5" s="13" t="s">
        <v>413</v>
      </c>
      <c r="BZ5" s="14" t="s">
        <v>414</v>
      </c>
      <c r="CA5" s="13" t="s">
        <v>445</v>
      </c>
      <c r="CB5" s="13" t="s">
        <v>417</v>
      </c>
      <c r="CC5" s="13" t="s">
        <v>442</v>
      </c>
      <c r="CD5" s="13" t="s">
        <v>418</v>
      </c>
      <c r="CE5" s="13" t="s">
        <v>794</v>
      </c>
      <c r="CF5" s="14" t="s">
        <v>446</v>
      </c>
      <c r="CG5" s="13" t="s">
        <v>449</v>
      </c>
      <c r="CH5" s="13" t="s">
        <v>450</v>
      </c>
      <c r="CI5" s="13" t="s">
        <v>451</v>
      </c>
      <c r="CJ5" s="13" t="s">
        <v>825</v>
      </c>
      <c r="CK5" s="13" t="s">
        <v>826</v>
      </c>
      <c r="CL5" s="67" t="s">
        <v>452</v>
      </c>
      <c r="CM5" s="13" t="s">
        <v>456</v>
      </c>
      <c r="CN5" s="13" t="s">
        <v>453</v>
      </c>
      <c r="CO5" s="14" t="s">
        <v>454</v>
      </c>
      <c r="CP5" s="13" t="s">
        <v>457</v>
      </c>
      <c r="CQ5" s="13" t="s">
        <v>458</v>
      </c>
      <c r="CR5" s="13" t="s">
        <v>459</v>
      </c>
      <c r="CS5" s="13" t="s">
        <v>460</v>
      </c>
      <c r="CT5" s="13" t="s">
        <v>461</v>
      </c>
      <c r="CU5" s="14" t="s">
        <v>462</v>
      </c>
      <c r="CV5" s="13" t="s">
        <v>467</v>
      </c>
      <c r="CW5" s="13" t="s">
        <v>468</v>
      </c>
      <c r="CX5" s="13" t="s">
        <v>469</v>
      </c>
      <c r="CY5" s="13" t="s">
        <v>470</v>
      </c>
      <c r="CZ5" s="13" t="s">
        <v>471</v>
      </c>
      <c r="DA5" s="14" t="s">
        <v>472</v>
      </c>
      <c r="DB5" s="67" t="s">
        <v>490</v>
      </c>
      <c r="DC5" s="67" t="s">
        <v>473</v>
      </c>
      <c r="DD5" s="13" t="s">
        <v>498</v>
      </c>
      <c r="DE5" s="13" t="s">
        <v>419</v>
      </c>
      <c r="DF5" s="13" t="s">
        <v>420</v>
      </c>
      <c r="DG5" s="67" t="s">
        <v>621</v>
      </c>
      <c r="DH5" s="13" t="s">
        <v>622</v>
      </c>
      <c r="DI5" s="422" t="s">
        <v>865</v>
      </c>
      <c r="DJ5" s="427" t="s">
        <v>866</v>
      </c>
      <c r="DK5" s="13" t="s">
        <v>655</v>
      </c>
      <c r="DL5" s="13" t="s">
        <v>657</v>
      </c>
      <c r="DM5" s="67" t="s">
        <v>662</v>
      </c>
      <c r="DN5" s="13" t="s">
        <v>663</v>
      </c>
      <c r="DO5" s="13" t="s">
        <v>664</v>
      </c>
      <c r="DP5" s="13" t="s">
        <v>665</v>
      </c>
      <c r="DQ5" s="13" t="s">
        <v>666</v>
      </c>
      <c r="DR5" s="67" t="s">
        <v>672</v>
      </c>
      <c r="DS5" s="339" t="s">
        <v>736</v>
      </c>
      <c r="DT5" s="339" t="s">
        <v>876</v>
      </c>
      <c r="DU5" s="339" t="s">
        <v>877</v>
      </c>
      <c r="DV5" s="13" t="s">
        <v>673</v>
      </c>
      <c r="DW5" s="339" t="s">
        <v>737</v>
      </c>
      <c r="DX5" s="339" t="s">
        <v>878</v>
      </c>
      <c r="DY5" s="339" t="s">
        <v>879</v>
      </c>
      <c r="DZ5" s="13" t="s">
        <v>674</v>
      </c>
      <c r="EA5" s="339" t="s">
        <v>738</v>
      </c>
      <c r="EB5" s="339" t="s">
        <v>880</v>
      </c>
      <c r="EC5" s="339" t="s">
        <v>881</v>
      </c>
      <c r="ED5" s="13" t="s">
        <v>675</v>
      </c>
      <c r="EE5" s="339" t="s">
        <v>739</v>
      </c>
      <c r="EF5" s="339" t="s">
        <v>882</v>
      </c>
      <c r="EG5" s="339" t="s">
        <v>883</v>
      </c>
      <c r="EH5" s="13" t="s">
        <v>676</v>
      </c>
      <c r="EI5" s="431" t="s">
        <v>740</v>
      </c>
      <c r="EJ5" s="431" t="s">
        <v>884</v>
      </c>
      <c r="EK5" s="431" t="s">
        <v>885</v>
      </c>
      <c r="EL5" s="431" t="s">
        <v>875</v>
      </c>
      <c r="EM5" s="431" t="s">
        <v>874</v>
      </c>
      <c r="EN5" s="431" t="s">
        <v>886</v>
      </c>
      <c r="EO5" s="340" t="s">
        <v>887</v>
      </c>
      <c r="EP5" s="441" t="s">
        <v>672</v>
      </c>
      <c r="EQ5" s="339" t="s">
        <v>736</v>
      </c>
      <c r="ER5" s="343" t="s">
        <v>673</v>
      </c>
      <c r="ES5" s="339" t="s">
        <v>737</v>
      </c>
      <c r="ET5" s="343" t="s">
        <v>674</v>
      </c>
      <c r="EU5" s="339" t="s">
        <v>738</v>
      </c>
      <c r="EV5" s="343" t="s">
        <v>675</v>
      </c>
      <c r="EW5" s="339" t="s">
        <v>739</v>
      </c>
      <c r="EX5" s="343" t="s">
        <v>676</v>
      </c>
      <c r="EY5" s="431" t="s">
        <v>740</v>
      </c>
      <c r="EZ5" s="343" t="s">
        <v>875</v>
      </c>
      <c r="FA5" s="14" t="s">
        <v>874</v>
      </c>
      <c r="FB5" s="13" t="s">
        <v>500</v>
      </c>
      <c r="FC5" s="13" t="s">
        <v>677</v>
      </c>
      <c r="FD5" s="13" t="s">
        <v>501</v>
      </c>
      <c r="FE5" s="339" t="s">
        <v>502</v>
      </c>
      <c r="FF5" s="13" t="s">
        <v>743</v>
      </c>
      <c r="FG5" s="13" t="s">
        <v>744</v>
      </c>
      <c r="FH5" s="339" t="s">
        <v>746</v>
      </c>
      <c r="FI5" s="339" t="s">
        <v>745</v>
      </c>
      <c r="FJ5" s="339" t="s">
        <v>678</v>
      </c>
      <c r="FK5" s="339" t="s">
        <v>679</v>
      </c>
      <c r="FL5" s="339" t="s">
        <v>680</v>
      </c>
      <c r="FM5" s="340" t="s">
        <v>681</v>
      </c>
      <c r="FN5" s="339" t="s">
        <v>985</v>
      </c>
      <c r="FO5" s="339" t="s">
        <v>987</v>
      </c>
      <c r="FP5" s="339" t="s">
        <v>991</v>
      </c>
      <c r="FQ5" s="339" t="s">
        <v>988</v>
      </c>
      <c r="FR5" s="339" t="s">
        <v>989</v>
      </c>
      <c r="FS5" s="339" t="s">
        <v>990</v>
      </c>
      <c r="FT5" s="339" t="s">
        <v>678</v>
      </c>
      <c r="FU5" s="339" t="s">
        <v>679</v>
      </c>
      <c r="FV5" s="339" t="s">
        <v>680</v>
      </c>
      <c r="FW5" s="340" t="s">
        <v>681</v>
      </c>
      <c r="FX5" s="533" t="s">
        <v>983</v>
      </c>
      <c r="FY5" s="359" t="s">
        <v>984</v>
      </c>
      <c r="FZ5" s="359" t="s">
        <v>985</v>
      </c>
      <c r="GA5" s="339" t="s">
        <v>986</v>
      </c>
      <c r="GB5" s="359" t="s">
        <v>987</v>
      </c>
      <c r="GC5" s="359" t="s">
        <v>991</v>
      </c>
      <c r="GD5" s="359" t="s">
        <v>988</v>
      </c>
      <c r="GE5" s="339" t="s">
        <v>989</v>
      </c>
      <c r="GF5" s="339" t="s">
        <v>990</v>
      </c>
      <c r="GG5" s="339" t="s">
        <v>678</v>
      </c>
      <c r="GH5" s="339" t="s">
        <v>679</v>
      </c>
      <c r="GI5" s="339" t="s">
        <v>680</v>
      </c>
      <c r="GJ5" s="340" t="s">
        <v>681</v>
      </c>
      <c r="GK5" s="13" t="s">
        <v>756</v>
      </c>
      <c r="GL5" s="13" t="s">
        <v>760</v>
      </c>
      <c r="GM5" s="339" t="s">
        <v>755</v>
      </c>
      <c r="GN5" s="339" t="s">
        <v>537</v>
      </c>
      <c r="GO5" s="339" t="s">
        <v>538</v>
      </c>
      <c r="GP5" s="13" t="s">
        <v>757</v>
      </c>
      <c r="GQ5" s="13" t="s">
        <v>756</v>
      </c>
      <c r="GR5" s="13" t="s">
        <v>760</v>
      </c>
      <c r="GS5" s="339" t="s">
        <v>755</v>
      </c>
      <c r="GT5" s="339" t="s">
        <v>537</v>
      </c>
      <c r="GU5" s="339" t="s">
        <v>538</v>
      </c>
      <c r="GV5" s="13" t="s">
        <v>757</v>
      </c>
      <c r="GW5" s="13" t="s">
        <v>756</v>
      </c>
      <c r="GX5" s="13" t="s">
        <v>760</v>
      </c>
      <c r="GY5" s="339" t="s">
        <v>755</v>
      </c>
      <c r="GZ5" s="339" t="s">
        <v>537</v>
      </c>
      <c r="HA5" s="339" t="s">
        <v>538</v>
      </c>
      <c r="HB5" s="13" t="s">
        <v>761</v>
      </c>
      <c r="HC5" s="13" t="s">
        <v>756</v>
      </c>
      <c r="HD5" s="13" t="s">
        <v>760</v>
      </c>
      <c r="HE5" s="339" t="s">
        <v>755</v>
      </c>
      <c r="HF5" s="339" t="s">
        <v>537</v>
      </c>
      <c r="HG5" s="339" t="s">
        <v>538</v>
      </c>
      <c r="HH5" s="13" t="s">
        <v>757</v>
      </c>
      <c r="HI5" s="13" t="s">
        <v>756</v>
      </c>
      <c r="HJ5" s="13" t="s">
        <v>760</v>
      </c>
      <c r="HK5" s="339" t="s">
        <v>755</v>
      </c>
      <c r="HL5" s="339" t="s">
        <v>537</v>
      </c>
      <c r="HM5" s="339" t="s">
        <v>538</v>
      </c>
      <c r="HN5" s="13" t="s">
        <v>757</v>
      </c>
      <c r="HO5" s="13" t="s">
        <v>756</v>
      </c>
      <c r="HP5" s="13" t="s">
        <v>760</v>
      </c>
      <c r="HQ5" s="339" t="s">
        <v>755</v>
      </c>
      <c r="HR5" s="339" t="s">
        <v>537</v>
      </c>
      <c r="HS5" s="339" t="s">
        <v>538</v>
      </c>
      <c r="HT5" s="14" t="s">
        <v>757</v>
      </c>
      <c r="HU5" s="13" t="s">
        <v>756</v>
      </c>
      <c r="HV5" s="13" t="s">
        <v>760</v>
      </c>
      <c r="HW5" s="339" t="s">
        <v>755</v>
      </c>
      <c r="HX5" s="339" t="s">
        <v>537</v>
      </c>
      <c r="HY5" s="339" t="s">
        <v>538</v>
      </c>
      <c r="HZ5" s="13" t="s">
        <v>757</v>
      </c>
      <c r="IA5" s="13" t="s">
        <v>756</v>
      </c>
      <c r="IB5" s="13" t="s">
        <v>760</v>
      </c>
      <c r="IC5" s="339" t="s">
        <v>755</v>
      </c>
      <c r="ID5" s="339" t="s">
        <v>537</v>
      </c>
      <c r="IE5" s="339" t="s">
        <v>538</v>
      </c>
      <c r="IF5" s="13" t="s">
        <v>757</v>
      </c>
      <c r="IG5" s="13" t="s">
        <v>756</v>
      </c>
      <c r="IH5" s="13" t="s">
        <v>760</v>
      </c>
      <c r="II5" s="339" t="s">
        <v>755</v>
      </c>
      <c r="IJ5" s="339" t="s">
        <v>537</v>
      </c>
      <c r="IK5" s="339" t="s">
        <v>538</v>
      </c>
      <c r="IL5" s="13" t="s">
        <v>757</v>
      </c>
      <c r="IM5" s="13" t="s">
        <v>756</v>
      </c>
      <c r="IN5" s="13" t="s">
        <v>760</v>
      </c>
      <c r="IO5" s="339" t="s">
        <v>755</v>
      </c>
      <c r="IP5" s="339" t="s">
        <v>537</v>
      </c>
      <c r="IQ5" s="339" t="s">
        <v>538</v>
      </c>
      <c r="IR5" s="13" t="s">
        <v>757</v>
      </c>
      <c r="IS5" s="13" t="s">
        <v>756</v>
      </c>
      <c r="IT5" s="13" t="s">
        <v>760</v>
      </c>
      <c r="IU5" s="339" t="s">
        <v>755</v>
      </c>
      <c r="IV5" s="339" t="s">
        <v>537</v>
      </c>
      <c r="IW5" s="339" t="s">
        <v>538</v>
      </c>
      <c r="IX5" s="575" t="s">
        <v>757</v>
      </c>
      <c r="IY5" s="13" t="s">
        <v>756</v>
      </c>
      <c r="IZ5" s="13" t="s">
        <v>760</v>
      </c>
      <c r="JA5" s="339" t="s">
        <v>755</v>
      </c>
      <c r="JB5" s="339" t="s">
        <v>537</v>
      </c>
      <c r="JC5" s="339" t="s">
        <v>538</v>
      </c>
      <c r="JD5" s="583" t="s">
        <v>757</v>
      </c>
      <c r="JE5" s="13" t="s">
        <v>769</v>
      </c>
      <c r="JF5" s="13" t="s">
        <v>770</v>
      </c>
      <c r="JG5" s="339" t="s">
        <v>768</v>
      </c>
      <c r="JH5" s="339" t="s">
        <v>683</v>
      </c>
      <c r="JI5" s="339" t="s">
        <v>684</v>
      </c>
      <c r="JJ5" s="13" t="s">
        <v>682</v>
      </c>
      <c r="JK5" s="13" t="s">
        <v>773</v>
      </c>
      <c r="JL5" s="13" t="s">
        <v>775</v>
      </c>
      <c r="JM5" s="339" t="s">
        <v>776</v>
      </c>
      <c r="JN5" s="339" t="s">
        <v>774</v>
      </c>
      <c r="JO5" s="13" t="s">
        <v>769</v>
      </c>
      <c r="JP5" s="13" t="s">
        <v>770</v>
      </c>
      <c r="JQ5" s="339" t="s">
        <v>768</v>
      </c>
      <c r="JR5" s="339" t="s">
        <v>686</v>
      </c>
      <c r="JS5" s="339" t="s">
        <v>687</v>
      </c>
      <c r="JT5" s="13" t="s">
        <v>685</v>
      </c>
      <c r="JU5" s="13" t="s">
        <v>773</v>
      </c>
      <c r="JV5" s="13" t="s">
        <v>775</v>
      </c>
      <c r="JW5" s="359" t="s">
        <v>776</v>
      </c>
      <c r="JX5" s="431" t="s">
        <v>774</v>
      </c>
      <c r="JY5" s="431" t="s">
        <v>916</v>
      </c>
      <c r="JZ5" s="431" t="s">
        <v>770</v>
      </c>
      <c r="KA5" s="431" t="s">
        <v>768</v>
      </c>
      <c r="KB5" s="431" t="s">
        <v>869</v>
      </c>
      <c r="KC5" s="431" t="s">
        <v>868</v>
      </c>
      <c r="KD5" s="431" t="s">
        <v>773</v>
      </c>
      <c r="KE5" s="431" t="s">
        <v>775</v>
      </c>
      <c r="KF5" s="431" t="s">
        <v>776</v>
      </c>
      <c r="KG5" s="340" t="s">
        <v>774</v>
      </c>
      <c r="KH5" s="339" t="s">
        <v>688</v>
      </c>
      <c r="KI5" s="339" t="s">
        <v>689</v>
      </c>
      <c r="KJ5" s="339" t="s">
        <v>690</v>
      </c>
      <c r="KK5" s="339" t="s">
        <v>691</v>
      </c>
      <c r="KL5" s="339" t="s">
        <v>692</v>
      </c>
      <c r="KM5" s="339" t="s">
        <v>786</v>
      </c>
      <c r="KN5" s="339" t="s">
        <v>693</v>
      </c>
      <c r="KO5" s="339" t="s">
        <v>694</v>
      </c>
      <c r="KP5" s="339" t="s">
        <v>695</v>
      </c>
      <c r="KQ5" s="339" t="s">
        <v>696</v>
      </c>
      <c r="KR5" s="339" t="s">
        <v>697</v>
      </c>
      <c r="KS5" s="339" t="s">
        <v>698</v>
      </c>
      <c r="KT5" s="339" t="s">
        <v>699</v>
      </c>
      <c r="KU5" s="339" t="s">
        <v>700</v>
      </c>
      <c r="KV5" s="339" t="s">
        <v>701</v>
      </c>
      <c r="KW5" s="340" t="s">
        <v>702</v>
      </c>
      <c r="KX5" s="339" t="s">
        <v>1015</v>
      </c>
      <c r="KY5" s="339" t="s">
        <v>1016</v>
      </c>
      <c r="KZ5" s="339" t="s">
        <v>1017</v>
      </c>
      <c r="LA5" s="339" t="s">
        <v>690</v>
      </c>
      <c r="LB5" s="339" t="s">
        <v>691</v>
      </c>
      <c r="LC5" s="339" t="s">
        <v>1018</v>
      </c>
      <c r="LD5" s="339" t="s">
        <v>1019</v>
      </c>
      <c r="LE5" s="339" t="s">
        <v>1020</v>
      </c>
      <c r="LF5" s="339" t="s">
        <v>693</v>
      </c>
      <c r="LG5" s="339" t="s">
        <v>694</v>
      </c>
      <c r="LH5" s="339" t="s">
        <v>1021</v>
      </c>
      <c r="LI5" s="339" t="s">
        <v>1022</v>
      </c>
      <c r="LJ5" s="339" t="s">
        <v>1023</v>
      </c>
      <c r="LK5" s="339" t="s">
        <v>1024</v>
      </c>
      <c r="LL5" s="339" t="s">
        <v>1025</v>
      </c>
      <c r="LM5" s="339" t="s">
        <v>1026</v>
      </c>
      <c r="LN5" s="339" t="s">
        <v>1027</v>
      </c>
      <c r="LO5" s="339" t="s">
        <v>1028</v>
      </c>
      <c r="LP5" s="339" t="s">
        <v>1029</v>
      </c>
      <c r="LQ5" s="340" t="s">
        <v>1030</v>
      </c>
      <c r="LR5" s="13" t="s">
        <v>833</v>
      </c>
      <c r="LS5" s="13" t="s">
        <v>703</v>
      </c>
      <c r="LT5" s="13" t="s">
        <v>704</v>
      </c>
      <c r="LU5" s="13" t="s">
        <v>705</v>
      </c>
      <c r="LV5" s="13" t="s">
        <v>706</v>
      </c>
      <c r="LW5" s="13" t="s">
        <v>707</v>
      </c>
      <c r="LX5" s="13" t="s">
        <v>708</v>
      </c>
      <c r="LY5" s="13" t="s">
        <v>709</v>
      </c>
      <c r="LZ5" s="13" t="s">
        <v>710</v>
      </c>
      <c r="MA5" s="13" t="s">
        <v>711</v>
      </c>
      <c r="MB5" s="13" t="s">
        <v>712</v>
      </c>
      <c r="MC5" s="13" t="s">
        <v>713</v>
      </c>
      <c r="MD5" s="13" t="s">
        <v>714</v>
      </c>
      <c r="ME5" s="13" t="s">
        <v>715</v>
      </c>
      <c r="MF5" s="13" t="s">
        <v>716</v>
      </c>
      <c r="MG5" s="13" t="s">
        <v>717</v>
      </c>
      <c r="MH5" s="13" t="s">
        <v>718</v>
      </c>
      <c r="MI5" s="13" t="s">
        <v>719</v>
      </c>
      <c r="MJ5" s="13" t="s">
        <v>720</v>
      </c>
      <c r="MK5" s="13" t="s">
        <v>721</v>
      </c>
      <c r="ML5" s="13" t="s">
        <v>722</v>
      </c>
      <c r="MM5" s="13" t="s">
        <v>723</v>
      </c>
      <c r="MN5" s="14" t="s">
        <v>724</v>
      </c>
      <c r="MO5" s="13" t="s">
        <v>918</v>
      </c>
      <c r="MP5" s="13" t="s">
        <v>919</v>
      </c>
      <c r="MQ5" s="13" t="s">
        <v>920</v>
      </c>
      <c r="MR5" s="13" t="s">
        <v>921</v>
      </c>
      <c r="MS5" s="13" t="s">
        <v>922</v>
      </c>
      <c r="MT5" s="13" t="s">
        <v>923</v>
      </c>
      <c r="MU5" s="13" t="s">
        <v>924</v>
      </c>
      <c r="MV5" s="13" t="s">
        <v>925</v>
      </c>
      <c r="MW5" s="13" t="s">
        <v>926</v>
      </c>
      <c r="MX5" s="13" t="s">
        <v>927</v>
      </c>
      <c r="MY5" s="13" t="s">
        <v>928</v>
      </c>
      <c r="MZ5" s="13" t="s">
        <v>929</v>
      </c>
      <c r="NA5" s="13" t="s">
        <v>930</v>
      </c>
      <c r="NB5" s="13" t="s">
        <v>931</v>
      </c>
      <c r="NC5" s="13" t="s">
        <v>932</v>
      </c>
      <c r="ND5" s="13" t="s">
        <v>933</v>
      </c>
      <c r="NE5" s="13" t="s">
        <v>934</v>
      </c>
      <c r="NF5" s="13" t="s">
        <v>935</v>
      </c>
      <c r="NG5" s="13" t="s">
        <v>936</v>
      </c>
      <c r="NH5" s="13" t="s">
        <v>937</v>
      </c>
      <c r="NI5" s="13" t="s">
        <v>938</v>
      </c>
      <c r="NJ5" s="13" t="s">
        <v>940</v>
      </c>
      <c r="NK5" s="13" t="s">
        <v>941</v>
      </c>
      <c r="NL5" s="13" t="s">
        <v>942</v>
      </c>
      <c r="NM5" s="13" t="s">
        <v>943</v>
      </c>
      <c r="NN5" s="13" t="s">
        <v>944</v>
      </c>
      <c r="NO5" s="13" t="s">
        <v>945</v>
      </c>
      <c r="NP5" s="13" t="s">
        <v>946</v>
      </c>
      <c r="NQ5" s="13" t="s">
        <v>947</v>
      </c>
      <c r="NR5" s="13" t="s">
        <v>948</v>
      </c>
      <c r="NS5" s="13" t="s">
        <v>949</v>
      </c>
      <c r="NT5" s="13" t="s">
        <v>939</v>
      </c>
      <c r="NU5" s="13" t="s">
        <v>950</v>
      </c>
      <c r="NV5" s="13" t="s">
        <v>951</v>
      </c>
      <c r="NW5" s="13" t="s">
        <v>952</v>
      </c>
      <c r="NX5" s="13" t="s">
        <v>953</v>
      </c>
      <c r="NY5" s="13" t="s">
        <v>954</v>
      </c>
      <c r="NZ5" s="13" t="s">
        <v>955</v>
      </c>
      <c r="OA5" s="14" t="s">
        <v>956</v>
      </c>
    </row>
    <row r="6" spans="1:391" s="3" customFormat="1" ht="12.75" customHeight="1" x14ac:dyDescent="0.2">
      <c r="A6" s="11" t="s">
        <v>33</v>
      </c>
      <c r="B6" s="8">
        <v>1</v>
      </c>
      <c r="C6" s="11" t="s">
        <v>140</v>
      </c>
      <c r="D6" s="11" t="s">
        <v>141</v>
      </c>
      <c r="E6" s="11" t="s">
        <v>287</v>
      </c>
      <c r="F6" s="11" t="s">
        <v>287</v>
      </c>
      <c r="G6" s="11" t="s">
        <v>142</v>
      </c>
      <c r="H6" s="11" t="s">
        <v>73</v>
      </c>
      <c r="I6" s="11" t="s">
        <v>399</v>
      </c>
      <c r="J6" s="11" t="s">
        <v>269</v>
      </c>
      <c r="K6" s="11" t="s">
        <v>367</v>
      </c>
      <c r="L6" s="11" t="s">
        <v>272</v>
      </c>
      <c r="M6" s="11" t="s">
        <v>331</v>
      </c>
      <c r="N6" s="3" t="s">
        <v>401</v>
      </c>
      <c r="O6" s="11">
        <v>522547</v>
      </c>
      <c r="P6" s="11">
        <v>105509</v>
      </c>
      <c r="Q6" s="128">
        <v>21691</v>
      </c>
      <c r="R6" s="128">
        <v>80191</v>
      </c>
      <c r="S6" s="400" t="s">
        <v>817</v>
      </c>
      <c r="T6" s="38">
        <v>14160</v>
      </c>
      <c r="U6" s="39">
        <v>14375</v>
      </c>
      <c r="V6" s="39">
        <v>14435</v>
      </c>
      <c r="W6" s="39">
        <v>14450</v>
      </c>
      <c r="X6" s="39">
        <v>14610</v>
      </c>
      <c r="Y6" s="39">
        <v>14625</v>
      </c>
      <c r="Z6" s="39">
        <v>14590</v>
      </c>
      <c r="AA6" s="39">
        <v>14850</v>
      </c>
      <c r="AB6" s="39">
        <v>15185</v>
      </c>
      <c r="AC6" s="44">
        <v>15368</v>
      </c>
      <c r="AD6" s="38">
        <v>775</v>
      </c>
      <c r="AE6" s="39">
        <v>805</v>
      </c>
      <c r="AF6" s="39">
        <v>800</v>
      </c>
      <c r="AG6" s="39">
        <v>830</v>
      </c>
      <c r="AH6" s="39">
        <v>815</v>
      </c>
      <c r="AI6" s="39">
        <v>860</v>
      </c>
      <c r="AJ6" s="39">
        <v>905</v>
      </c>
      <c r="AK6" s="39">
        <v>945</v>
      </c>
      <c r="AL6" s="39">
        <v>990</v>
      </c>
      <c r="AM6" s="44">
        <v>1022</v>
      </c>
      <c r="AN6" s="15">
        <v>892</v>
      </c>
      <c r="AO6" s="3">
        <v>802</v>
      </c>
      <c r="AP6" s="3">
        <v>19</v>
      </c>
      <c r="AQ6" s="3">
        <v>42</v>
      </c>
      <c r="AR6" s="3">
        <v>25</v>
      </c>
      <c r="AS6" s="3">
        <v>0</v>
      </c>
      <c r="AT6" s="3">
        <v>4</v>
      </c>
      <c r="AU6" s="11">
        <v>90</v>
      </c>
      <c r="AV6" s="18">
        <v>0.89910313901345296</v>
      </c>
      <c r="AW6" s="19">
        <v>2.1300448430493273E-2</v>
      </c>
      <c r="AX6" s="19">
        <v>4.708520179372197E-2</v>
      </c>
      <c r="AY6" s="19">
        <v>2.8026905829596414E-2</v>
      </c>
      <c r="AZ6" s="19">
        <v>0</v>
      </c>
      <c r="BA6" s="19">
        <v>4.4843049327354259E-3</v>
      </c>
      <c r="BB6" s="20">
        <v>0.10089686098654704</v>
      </c>
      <c r="BC6" s="15">
        <v>2048</v>
      </c>
      <c r="BD6" s="3">
        <v>2022</v>
      </c>
      <c r="BE6" s="3">
        <v>26</v>
      </c>
      <c r="BF6" s="3">
        <v>22</v>
      </c>
      <c r="BG6" s="3">
        <v>4</v>
      </c>
      <c r="BH6" s="19">
        <v>0.84615384615384615</v>
      </c>
      <c r="BI6" s="20">
        <v>0.15384615384615385</v>
      </c>
      <c r="BJ6" s="15">
        <v>1659</v>
      </c>
      <c r="BK6" s="19">
        <v>0.59975889089813139</v>
      </c>
      <c r="BL6" s="19">
        <v>0.20253164556962025</v>
      </c>
      <c r="BM6" s="20">
        <v>0.19770946353224833</v>
      </c>
      <c r="BN6" s="38">
        <v>4255</v>
      </c>
      <c r="BO6" s="39">
        <v>299</v>
      </c>
      <c r="BP6" s="39">
        <v>296</v>
      </c>
      <c r="BQ6" s="39">
        <v>106</v>
      </c>
      <c r="BR6" s="39">
        <v>2930</v>
      </c>
      <c r="BS6" s="39">
        <v>1701</v>
      </c>
      <c r="BT6" s="20">
        <v>0.11169900058788948</v>
      </c>
      <c r="BU6" s="38">
        <v>897</v>
      </c>
      <c r="BV6" s="39">
        <v>3</v>
      </c>
      <c r="BW6" s="39">
        <v>278</v>
      </c>
      <c r="BX6" s="39">
        <v>406</v>
      </c>
      <c r="BY6" s="39">
        <v>124</v>
      </c>
      <c r="BZ6" s="40">
        <v>1708</v>
      </c>
      <c r="CA6" s="39">
        <v>706</v>
      </c>
      <c r="CB6" s="39">
        <v>573</v>
      </c>
      <c r="CC6" s="39">
        <v>132</v>
      </c>
      <c r="CD6" s="39">
        <v>133</v>
      </c>
      <c r="CE6" s="19">
        <v>0.18696883852691218</v>
      </c>
      <c r="CF6" s="104">
        <v>0.18838526912181303</v>
      </c>
      <c r="CG6" s="39">
        <v>130</v>
      </c>
      <c r="CH6" s="39">
        <v>90</v>
      </c>
      <c r="CI6" s="39">
        <v>105</v>
      </c>
      <c r="CJ6" s="39">
        <v>80</v>
      </c>
      <c r="CK6" s="44">
        <v>105</v>
      </c>
      <c r="CL6" s="38">
        <v>405</v>
      </c>
      <c r="CM6" s="39">
        <v>156</v>
      </c>
      <c r="CN6" s="19">
        <v>0.38518518518518519</v>
      </c>
      <c r="CO6" s="40">
        <v>30</v>
      </c>
      <c r="CP6" s="39">
        <v>151</v>
      </c>
      <c r="CQ6" s="39">
        <v>167</v>
      </c>
      <c r="CR6" s="39">
        <v>168</v>
      </c>
      <c r="CS6" s="39">
        <v>178</v>
      </c>
      <c r="CT6" s="39">
        <v>202</v>
      </c>
      <c r="CU6" s="124" t="s">
        <v>474</v>
      </c>
      <c r="CV6" s="39">
        <v>8</v>
      </c>
      <c r="CW6" s="39">
        <v>5</v>
      </c>
      <c r="CX6" s="39">
        <v>7</v>
      </c>
      <c r="CY6" s="39">
        <v>4</v>
      </c>
      <c r="CZ6" s="39">
        <v>6</v>
      </c>
      <c r="DA6" s="120" t="s">
        <v>474</v>
      </c>
      <c r="DB6" s="15">
        <v>9</v>
      </c>
      <c r="DC6" s="15">
        <v>16</v>
      </c>
      <c r="DD6" s="19">
        <v>7.9207920792079209E-2</v>
      </c>
      <c r="DE6" s="19">
        <v>4.9341090217535556E-2</v>
      </c>
      <c r="DF6" s="20">
        <v>0.12478058102419014</v>
      </c>
      <c r="DG6" s="15">
        <v>22</v>
      </c>
      <c r="DH6" s="20">
        <v>2.4663677130044841E-2</v>
      </c>
      <c r="DI6" s="423">
        <v>3</v>
      </c>
      <c r="DJ6" s="428">
        <v>3</v>
      </c>
      <c r="DK6" s="3">
        <v>345</v>
      </c>
      <c r="DL6" s="20">
        <v>5.3889409559512651E-2</v>
      </c>
      <c r="DM6" s="15">
        <v>165</v>
      </c>
      <c r="DN6" s="3">
        <v>165</v>
      </c>
      <c r="DO6" s="3">
        <v>155</v>
      </c>
      <c r="DP6" s="3">
        <v>155</v>
      </c>
      <c r="DQ6" s="11">
        <v>115</v>
      </c>
      <c r="DR6" s="15">
        <v>145</v>
      </c>
      <c r="DS6" s="19">
        <v>0.17901234567901234</v>
      </c>
      <c r="DT6" s="19">
        <v>0.15414559991681143</v>
      </c>
      <c r="DU6" s="19">
        <v>0.20690931518482067</v>
      </c>
      <c r="DV6" s="3">
        <v>145</v>
      </c>
      <c r="DW6" s="19">
        <v>0.18124999999999999</v>
      </c>
      <c r="DX6" s="19">
        <v>0.15609934500085099</v>
      </c>
      <c r="DY6" s="19">
        <v>0.20944718858026748</v>
      </c>
      <c r="DZ6" s="3">
        <v>165</v>
      </c>
      <c r="EA6" s="19">
        <v>0.2</v>
      </c>
      <c r="EB6" s="19">
        <v>0.17412339695141124</v>
      </c>
      <c r="EC6" s="19">
        <v>0.22865744281943703</v>
      </c>
      <c r="ED6" s="3">
        <v>150</v>
      </c>
      <c r="EE6" s="19">
        <v>0.17543859649122806</v>
      </c>
      <c r="EF6" s="19">
        <v>0.15141192884865326</v>
      </c>
      <c r="EG6" s="19">
        <v>0.20236868537310274</v>
      </c>
      <c r="EH6" s="3">
        <v>145</v>
      </c>
      <c r="EI6" s="20">
        <v>0.16292134831460675</v>
      </c>
      <c r="EJ6" s="20">
        <v>0.14011697451170044</v>
      </c>
      <c r="EK6" s="20">
        <v>0.18862304523226978</v>
      </c>
      <c r="EL6" s="438">
        <v>145</v>
      </c>
      <c r="EM6" s="20">
        <v>0.16022099447513813</v>
      </c>
      <c r="EN6" s="20">
        <v>0.13776626878938375</v>
      </c>
      <c r="EO6" s="104">
        <v>0.18554805184249037</v>
      </c>
      <c r="EP6" s="38">
        <v>420</v>
      </c>
      <c r="EQ6" s="20">
        <v>0.16438356164383561</v>
      </c>
      <c r="ER6" s="44">
        <v>420</v>
      </c>
      <c r="ES6" s="20">
        <v>0.16470588235294117</v>
      </c>
      <c r="ET6" s="44">
        <v>425</v>
      </c>
      <c r="EU6" s="20">
        <v>0.16569200779727095</v>
      </c>
      <c r="EV6" s="44">
        <v>415</v>
      </c>
      <c r="EW6" s="20">
        <v>0.162109375</v>
      </c>
      <c r="EX6" s="44">
        <v>435</v>
      </c>
      <c r="EY6" s="20">
        <v>0.16322701688555347</v>
      </c>
      <c r="EZ6" s="44">
        <v>415</v>
      </c>
      <c r="FA6" s="104">
        <v>0.14981949458483754</v>
      </c>
      <c r="FB6" s="3">
        <v>181</v>
      </c>
      <c r="FC6" s="3">
        <v>5</v>
      </c>
      <c r="FD6" s="3">
        <v>176</v>
      </c>
      <c r="FE6" s="19">
        <v>0.97237569060773477</v>
      </c>
      <c r="FF6" s="3">
        <v>73</v>
      </c>
      <c r="FG6" s="3">
        <v>95</v>
      </c>
      <c r="FH6" s="19">
        <v>0.41477272727272729</v>
      </c>
      <c r="FI6" s="19">
        <v>0.53977272727272729</v>
      </c>
      <c r="FJ6" s="19">
        <v>0.34456265326077334</v>
      </c>
      <c r="FK6" s="19">
        <v>0.48862388422554792</v>
      </c>
      <c r="FL6" s="19">
        <v>0.4660727025222357</v>
      </c>
      <c r="FM6" s="104">
        <v>0.61177357998414772</v>
      </c>
      <c r="FN6" s="438">
        <v>154</v>
      </c>
      <c r="FO6" s="438">
        <v>66</v>
      </c>
      <c r="FP6" s="438">
        <v>34</v>
      </c>
      <c r="FQ6" s="438">
        <v>100</v>
      </c>
      <c r="FR6" s="497">
        <v>0.42857142857142855</v>
      </c>
      <c r="FS6" s="497">
        <v>0.64935064935064934</v>
      </c>
      <c r="FT6" s="497">
        <v>0.35308796768751771</v>
      </c>
      <c r="FU6" s="497">
        <v>0.50753166821567219</v>
      </c>
      <c r="FV6" s="497">
        <v>0.57118588919922308</v>
      </c>
      <c r="FW6" s="104">
        <v>0.72024578118501614</v>
      </c>
      <c r="FX6" s="438">
        <v>288</v>
      </c>
      <c r="FY6" s="438">
        <v>35</v>
      </c>
      <c r="FZ6" s="438">
        <v>253</v>
      </c>
      <c r="GA6" s="497">
        <v>0.87847222222222221</v>
      </c>
      <c r="GB6" s="438">
        <v>112</v>
      </c>
      <c r="GC6" s="438">
        <v>47</v>
      </c>
      <c r="GD6" s="438">
        <v>159</v>
      </c>
      <c r="GE6" s="497">
        <v>0.44268774703557312</v>
      </c>
      <c r="GF6" s="497">
        <v>0.62845849802371545</v>
      </c>
      <c r="GG6" s="497">
        <v>0.38279346734822417</v>
      </c>
      <c r="GH6" s="497">
        <v>0.50429641240422862</v>
      </c>
      <c r="GI6" s="497">
        <v>0.56741006038465602</v>
      </c>
      <c r="GJ6" s="104">
        <v>0.68566434706674273</v>
      </c>
      <c r="GK6" s="3">
        <v>128</v>
      </c>
      <c r="GL6" s="3">
        <v>6</v>
      </c>
      <c r="GM6" s="19">
        <v>4.6875E-2</v>
      </c>
      <c r="GN6" s="19">
        <v>2.1657844171923776E-2</v>
      </c>
      <c r="GO6" s="19">
        <v>9.8497522450943217E-2</v>
      </c>
      <c r="GP6" s="353" t="s">
        <v>725</v>
      </c>
      <c r="GQ6" s="3">
        <v>156</v>
      </c>
      <c r="GR6" s="3">
        <v>9</v>
      </c>
      <c r="GS6" s="19">
        <v>5.7692307692307696E-2</v>
      </c>
      <c r="GT6" s="19">
        <v>3.0645742163795515E-2</v>
      </c>
      <c r="GU6" s="19">
        <v>0.10599877410776384</v>
      </c>
      <c r="GV6" s="3" t="s">
        <v>725</v>
      </c>
      <c r="GW6" s="3">
        <v>132</v>
      </c>
      <c r="GX6" s="3">
        <v>9</v>
      </c>
      <c r="GY6" s="19">
        <v>6.8181818181818177E-2</v>
      </c>
      <c r="GZ6" s="19">
        <v>3.6282334854811568E-2</v>
      </c>
      <c r="HA6" s="19">
        <v>0.12450406283489571</v>
      </c>
      <c r="HB6" s="3" t="s">
        <v>725</v>
      </c>
      <c r="HC6" s="3">
        <v>165</v>
      </c>
      <c r="HD6" s="3">
        <v>17</v>
      </c>
      <c r="HE6" s="19">
        <v>0.10303030303030303</v>
      </c>
      <c r="HF6" s="19">
        <v>6.5326799711821093E-2</v>
      </c>
      <c r="HG6" s="19">
        <v>0.15879741175262088</v>
      </c>
      <c r="HH6" s="3" t="s">
        <v>725</v>
      </c>
      <c r="HI6" s="3">
        <v>115</v>
      </c>
      <c r="HJ6" s="3">
        <v>12</v>
      </c>
      <c r="HK6" s="19">
        <v>0.10434782608695652</v>
      </c>
      <c r="HL6" s="19">
        <v>6.0705034420564269E-2</v>
      </c>
      <c r="HM6" s="19">
        <v>0.17356892263932694</v>
      </c>
      <c r="HN6" s="11" t="s">
        <v>725</v>
      </c>
      <c r="HO6" s="11">
        <v>168</v>
      </c>
      <c r="HP6" s="11">
        <v>4</v>
      </c>
      <c r="HQ6" s="497">
        <v>2.3809523809523808E-2</v>
      </c>
      <c r="HR6" s="497">
        <v>9.2971194913950405E-3</v>
      </c>
      <c r="HS6" s="497">
        <v>5.9612088460860239E-2</v>
      </c>
      <c r="HT6" s="8" t="str">
        <f>IF(HR6&gt;$HS$78, "Sig worse than Eng.", IF(HS6&lt;$HR$78,"Sig better than Eng.", "No Sig diff"))</f>
        <v>Sig better than Eng.</v>
      </c>
      <c r="HU6" s="3">
        <v>135</v>
      </c>
      <c r="HV6" s="3">
        <v>25</v>
      </c>
      <c r="HW6" s="19">
        <v>0.18518518518518517</v>
      </c>
      <c r="HX6" s="19">
        <v>0.12869783265528051</v>
      </c>
      <c r="HY6" s="19">
        <v>0.25909310009649444</v>
      </c>
      <c r="HZ6" s="3" t="s">
        <v>725</v>
      </c>
      <c r="IA6" s="3">
        <v>120</v>
      </c>
      <c r="IB6" s="3">
        <v>27</v>
      </c>
      <c r="IC6" s="19">
        <v>0.22500000000000001</v>
      </c>
      <c r="ID6" s="19">
        <v>0.15949154668383531</v>
      </c>
      <c r="IE6" s="19">
        <v>0.30756899484645162</v>
      </c>
      <c r="IF6" s="3" t="s">
        <v>725</v>
      </c>
      <c r="IG6" s="3">
        <v>121</v>
      </c>
      <c r="IH6" s="3">
        <v>18</v>
      </c>
      <c r="II6" s="19">
        <v>0.1487603305785124</v>
      </c>
      <c r="IJ6" s="19">
        <v>9.6217408704644847E-2</v>
      </c>
      <c r="IK6" s="19">
        <v>0.22291903200226135</v>
      </c>
      <c r="IL6" s="3" t="s">
        <v>725</v>
      </c>
      <c r="IM6" s="3">
        <v>125</v>
      </c>
      <c r="IN6" s="3">
        <v>27</v>
      </c>
      <c r="IO6" s="19">
        <v>0.216</v>
      </c>
      <c r="IP6" s="19">
        <v>0.15290810140879452</v>
      </c>
      <c r="IQ6" s="19">
        <v>0.2960270422175349</v>
      </c>
      <c r="IR6" s="3" t="s">
        <v>725</v>
      </c>
      <c r="IS6" s="3">
        <v>117</v>
      </c>
      <c r="IT6" s="3">
        <v>22</v>
      </c>
      <c r="IU6" s="19">
        <v>0.18803418803418803</v>
      </c>
      <c r="IV6" s="19">
        <v>0.12758198294157502</v>
      </c>
      <c r="IW6" s="19">
        <v>0.2683207087967116</v>
      </c>
      <c r="IX6" s="580" t="s">
        <v>725</v>
      </c>
      <c r="IY6" s="580">
        <v>131</v>
      </c>
      <c r="IZ6" s="580">
        <v>23</v>
      </c>
      <c r="JA6" s="497">
        <v>0.17557251908396945</v>
      </c>
      <c r="JB6" s="497">
        <v>0.11993766480499095</v>
      </c>
      <c r="JC6" s="497">
        <v>0.24969241229889863</v>
      </c>
      <c r="JD6" s="371" t="str">
        <f>IF(JB6&gt;$JC$78,"Sig worse than Eng.",IF(JC6&lt;$JB$78,"Sig better than Eng.","No sig diff"))</f>
        <v>Sig better than Eng.</v>
      </c>
      <c r="JE6" s="3">
        <v>179</v>
      </c>
      <c r="JF6" s="3">
        <v>88</v>
      </c>
      <c r="JG6" s="19">
        <v>0.49162011173184356</v>
      </c>
      <c r="JH6" s="19">
        <v>0.41933238292420277</v>
      </c>
      <c r="JI6" s="19">
        <v>0.56425995975699406</v>
      </c>
      <c r="JJ6" s="3">
        <v>179</v>
      </c>
      <c r="JK6" s="3">
        <v>34</v>
      </c>
      <c r="JL6" s="3">
        <v>35</v>
      </c>
      <c r="JM6" s="383">
        <v>23.971428571428568</v>
      </c>
      <c r="JN6" s="19">
        <v>0.29495798319327743</v>
      </c>
      <c r="JO6" s="3">
        <v>172</v>
      </c>
      <c r="JP6" s="3">
        <v>106</v>
      </c>
      <c r="JQ6" s="19">
        <v>0.61627906976744184</v>
      </c>
      <c r="JR6" s="19">
        <v>0.5418179440123243</v>
      </c>
      <c r="JS6" s="19">
        <v>0.6856596956084211</v>
      </c>
      <c r="JT6" s="3">
        <v>172</v>
      </c>
      <c r="JU6" s="3">
        <v>34</v>
      </c>
      <c r="JV6" s="3">
        <v>34</v>
      </c>
      <c r="JW6" s="383">
        <v>26.941176470588232</v>
      </c>
      <c r="JX6" s="20">
        <v>0.20761245674740494</v>
      </c>
      <c r="JY6" s="44">
        <v>190</v>
      </c>
      <c r="JZ6" s="44">
        <v>137</v>
      </c>
      <c r="KA6" s="20">
        <v>0.72105263157894739</v>
      </c>
      <c r="KB6" s="20">
        <v>0.65338523334178444</v>
      </c>
      <c r="KC6" s="20">
        <v>0.77995859573918158</v>
      </c>
      <c r="KD6" s="438">
        <v>34</v>
      </c>
      <c r="KE6" s="438">
        <v>38</v>
      </c>
      <c r="KF6" s="384">
        <v>26.6</v>
      </c>
      <c r="KG6" s="490">
        <v>0.216</v>
      </c>
      <c r="KH6" s="19">
        <v>0.92550505050505061</v>
      </c>
      <c r="KI6" s="19">
        <v>7.4494949494949489E-2</v>
      </c>
      <c r="KJ6" s="19">
        <v>4.283011146065737E-2</v>
      </c>
      <c r="KK6" s="19">
        <v>0.15590067811002259</v>
      </c>
      <c r="KL6" s="19">
        <v>0.9412878787878789</v>
      </c>
      <c r="KM6" s="19">
        <v>5.8712121212121209E-2</v>
      </c>
      <c r="KN6" s="19">
        <v>2.8956279687604513E-2</v>
      </c>
      <c r="KO6" s="19">
        <v>0.12971104936160943</v>
      </c>
      <c r="KP6" s="19">
        <v>0.93118686868686884</v>
      </c>
      <c r="KQ6" s="19">
        <v>6.8813131313131312E-2</v>
      </c>
      <c r="KR6" s="19">
        <v>3.5767126237989492E-2</v>
      </c>
      <c r="KS6" s="19">
        <v>0.14293193307195745</v>
      </c>
      <c r="KT6" s="19">
        <v>0.79608585858585845</v>
      </c>
      <c r="KU6" s="19">
        <v>0.20391414141414141</v>
      </c>
      <c r="KV6" s="19">
        <v>0.14776236248775229</v>
      </c>
      <c r="KW6" s="104">
        <v>0.31138092047245669</v>
      </c>
      <c r="KX6" s="438">
        <v>8</v>
      </c>
      <c r="KY6" s="438">
        <v>52</v>
      </c>
      <c r="KZ6" s="497">
        <v>0.15384615384615385</v>
      </c>
      <c r="LA6" s="497">
        <v>8.0076850167803207E-2</v>
      </c>
      <c r="LB6" s="497">
        <v>0.27524085176410146</v>
      </c>
      <c r="LC6" s="438">
        <v>5</v>
      </c>
      <c r="LD6" s="438">
        <v>52</v>
      </c>
      <c r="LE6" s="497">
        <v>9.6153846153846159E-2</v>
      </c>
      <c r="LF6" s="497">
        <v>4.1774351052572475E-2</v>
      </c>
      <c r="LG6" s="497">
        <v>0.20609630120131633</v>
      </c>
      <c r="LH6" s="438">
        <v>5</v>
      </c>
      <c r="LI6" s="438">
        <v>52</v>
      </c>
      <c r="LJ6" s="497">
        <v>9.6153846153846159E-2</v>
      </c>
      <c r="LK6" s="497">
        <v>4.1774351052572475E-2</v>
      </c>
      <c r="LL6" s="497">
        <v>0.20609630120131633</v>
      </c>
      <c r="LM6" s="438">
        <v>9</v>
      </c>
      <c r="LN6" s="438">
        <v>51</v>
      </c>
      <c r="LO6" s="497">
        <v>0.17647058823529413</v>
      </c>
      <c r="LP6" s="497">
        <v>9.5724034691263171E-2</v>
      </c>
      <c r="LQ6" s="104">
        <v>0.3025414252430807</v>
      </c>
      <c r="LR6" s="3">
        <v>57</v>
      </c>
      <c r="LS6" s="3">
        <v>52</v>
      </c>
      <c r="LT6" s="3">
        <v>53</v>
      </c>
      <c r="LU6" s="3">
        <v>55</v>
      </c>
      <c r="LV6" s="3">
        <v>53</v>
      </c>
      <c r="LW6" s="3">
        <v>42</v>
      </c>
      <c r="LX6" s="3">
        <v>40</v>
      </c>
      <c r="LY6" s="3">
        <v>41</v>
      </c>
      <c r="LZ6" s="3">
        <v>40</v>
      </c>
      <c r="MA6" s="3">
        <v>41</v>
      </c>
      <c r="MB6" s="3">
        <v>41</v>
      </c>
      <c r="MC6" s="3">
        <v>40</v>
      </c>
      <c r="MD6" s="3">
        <v>41</v>
      </c>
      <c r="ME6" s="3">
        <v>41</v>
      </c>
      <c r="MF6" s="3">
        <v>38</v>
      </c>
      <c r="MG6" s="3">
        <v>37</v>
      </c>
      <c r="MH6" s="3">
        <v>37</v>
      </c>
      <c r="MI6" s="3">
        <v>37</v>
      </c>
      <c r="MJ6" s="3">
        <v>38</v>
      </c>
      <c r="MK6" s="3">
        <v>36</v>
      </c>
      <c r="ML6" s="3">
        <v>37</v>
      </c>
      <c r="MM6" s="3">
        <v>36</v>
      </c>
      <c r="MN6" s="8">
        <v>38</v>
      </c>
      <c r="MO6" s="3">
        <v>286</v>
      </c>
      <c r="MP6" s="24">
        <v>0.94799999999999995</v>
      </c>
      <c r="MQ6" s="24">
        <v>7.0000000000000001E-3</v>
      </c>
      <c r="MR6" s="24">
        <v>0.93400000000000005</v>
      </c>
      <c r="MS6" s="3">
        <v>271</v>
      </c>
      <c r="MT6" s="3">
        <v>2</v>
      </c>
      <c r="MU6" s="3">
        <v>267</v>
      </c>
      <c r="MV6" s="3">
        <v>300</v>
      </c>
      <c r="MW6" s="24">
        <v>0.96699999999999997</v>
      </c>
      <c r="MX6" s="24">
        <v>0.92700000000000005</v>
      </c>
      <c r="MY6" s="24">
        <v>0.96699999999999997</v>
      </c>
      <c r="MZ6" s="24">
        <v>0.94</v>
      </c>
      <c r="NA6" s="24">
        <v>0.94</v>
      </c>
      <c r="NB6" s="3">
        <v>290</v>
      </c>
      <c r="NC6" s="3">
        <v>278</v>
      </c>
      <c r="ND6" s="3">
        <v>290</v>
      </c>
      <c r="NE6" s="3">
        <v>282</v>
      </c>
      <c r="NF6" s="3">
        <v>282</v>
      </c>
      <c r="NG6" s="3">
        <v>302</v>
      </c>
      <c r="NH6" s="24">
        <v>0.96699999999999997</v>
      </c>
      <c r="NI6" s="24">
        <v>0.92400000000000004</v>
      </c>
      <c r="NJ6" s="24">
        <v>0.96699999999999997</v>
      </c>
      <c r="NK6" s="24">
        <v>0.96699999999999997</v>
      </c>
      <c r="NL6" s="24">
        <v>0.97399999999999998</v>
      </c>
      <c r="NM6" s="24">
        <v>0.90700000000000003</v>
      </c>
      <c r="NN6" s="24">
        <v>0.95</v>
      </c>
      <c r="NO6" s="24">
        <v>0.94699999999999995</v>
      </c>
      <c r="NP6" s="24">
        <v>0.97</v>
      </c>
      <c r="NQ6" s="24">
        <v>0.92400000000000004</v>
      </c>
      <c r="NR6" s="3">
        <v>292</v>
      </c>
      <c r="NS6" s="3">
        <v>279</v>
      </c>
      <c r="NT6" s="3">
        <v>292</v>
      </c>
      <c r="NU6" s="3">
        <v>292</v>
      </c>
      <c r="NV6" s="3">
        <v>294</v>
      </c>
      <c r="NW6" s="3">
        <v>274</v>
      </c>
      <c r="NX6" s="3">
        <v>287</v>
      </c>
      <c r="NY6" s="3">
        <v>286</v>
      </c>
      <c r="NZ6" s="3">
        <v>293</v>
      </c>
      <c r="OA6" s="8">
        <v>279</v>
      </c>
    </row>
    <row r="7" spans="1:391" s="3" customFormat="1" ht="12.75" customHeight="1" x14ac:dyDescent="0.2">
      <c r="A7" s="11" t="s">
        <v>34</v>
      </c>
      <c r="B7" s="8">
        <v>2</v>
      </c>
      <c r="C7" s="11" t="s">
        <v>143</v>
      </c>
      <c r="D7" s="11" t="s">
        <v>144</v>
      </c>
      <c r="E7" s="11" t="s">
        <v>287</v>
      </c>
      <c r="F7" s="11" t="s">
        <v>287</v>
      </c>
      <c r="G7" s="11" t="s">
        <v>145</v>
      </c>
      <c r="H7" s="11" t="s">
        <v>73</v>
      </c>
      <c r="I7" s="11" t="s">
        <v>399</v>
      </c>
      <c r="J7" s="11" t="s">
        <v>269</v>
      </c>
      <c r="K7" s="11" t="s">
        <v>367</v>
      </c>
      <c r="L7" s="11" t="s">
        <v>272</v>
      </c>
      <c r="M7" s="11" t="s">
        <v>332</v>
      </c>
      <c r="N7" s="3" t="s">
        <v>401</v>
      </c>
      <c r="O7" s="11">
        <v>525280</v>
      </c>
      <c r="P7" s="11">
        <v>105246</v>
      </c>
      <c r="Q7" s="128">
        <v>22926</v>
      </c>
      <c r="R7" s="128">
        <v>80191</v>
      </c>
      <c r="S7" s="400" t="s">
        <v>817</v>
      </c>
      <c r="T7" s="38">
        <v>13040</v>
      </c>
      <c r="U7" s="39">
        <v>13085</v>
      </c>
      <c r="V7" s="39">
        <v>13055</v>
      </c>
      <c r="W7" s="39">
        <v>13065</v>
      </c>
      <c r="X7" s="39">
        <v>13160</v>
      </c>
      <c r="Y7" s="39">
        <v>13195</v>
      </c>
      <c r="Z7" s="39">
        <v>13265</v>
      </c>
      <c r="AA7" s="39">
        <v>13280</v>
      </c>
      <c r="AB7" s="39">
        <v>13390</v>
      </c>
      <c r="AC7" s="44">
        <v>13516</v>
      </c>
      <c r="AD7" s="38">
        <v>680</v>
      </c>
      <c r="AE7" s="39">
        <v>705</v>
      </c>
      <c r="AF7" s="39">
        <v>710</v>
      </c>
      <c r="AG7" s="39">
        <v>735</v>
      </c>
      <c r="AH7" s="39">
        <v>775</v>
      </c>
      <c r="AI7" s="39">
        <v>775</v>
      </c>
      <c r="AJ7" s="39">
        <v>805</v>
      </c>
      <c r="AK7" s="39">
        <v>825</v>
      </c>
      <c r="AL7" s="39">
        <v>830</v>
      </c>
      <c r="AM7" s="44">
        <v>858</v>
      </c>
      <c r="AN7" s="15">
        <v>804</v>
      </c>
      <c r="AO7" s="3">
        <v>715</v>
      </c>
      <c r="AP7" s="3">
        <v>15</v>
      </c>
      <c r="AQ7" s="3">
        <v>27</v>
      </c>
      <c r="AR7" s="3">
        <v>25</v>
      </c>
      <c r="AS7" s="3">
        <v>6</v>
      </c>
      <c r="AT7" s="3">
        <v>16</v>
      </c>
      <c r="AU7" s="11">
        <v>89</v>
      </c>
      <c r="AV7" s="18">
        <v>0.88930348258706471</v>
      </c>
      <c r="AW7" s="19">
        <v>1.8656716417910446E-2</v>
      </c>
      <c r="AX7" s="19">
        <v>3.3582089552238806E-2</v>
      </c>
      <c r="AY7" s="19">
        <v>3.109452736318408E-2</v>
      </c>
      <c r="AZ7" s="19">
        <v>7.462686567164179E-3</v>
      </c>
      <c r="BA7" s="19">
        <v>1.9900497512437811E-2</v>
      </c>
      <c r="BB7" s="20">
        <v>0.11069651741293529</v>
      </c>
      <c r="BC7" s="15">
        <v>2004</v>
      </c>
      <c r="BD7" s="3">
        <v>1951</v>
      </c>
      <c r="BE7" s="3">
        <v>53</v>
      </c>
      <c r="BF7" s="3">
        <v>51</v>
      </c>
      <c r="BG7" s="3">
        <v>2</v>
      </c>
      <c r="BH7" s="19">
        <v>0.96226415094339623</v>
      </c>
      <c r="BI7" s="20">
        <v>3.7735849056603772E-2</v>
      </c>
      <c r="BJ7" s="15">
        <v>1549</v>
      </c>
      <c r="BK7" s="19">
        <v>0.59199483537766295</v>
      </c>
      <c r="BL7" s="19">
        <v>0.20787604906391219</v>
      </c>
      <c r="BM7" s="20">
        <v>0.2001291155584248</v>
      </c>
      <c r="BN7" s="38">
        <v>3894</v>
      </c>
      <c r="BO7" s="39">
        <v>256</v>
      </c>
      <c r="BP7" s="39">
        <v>276</v>
      </c>
      <c r="BQ7" s="39">
        <v>106</v>
      </c>
      <c r="BR7" s="39">
        <v>2857</v>
      </c>
      <c r="BS7" s="39">
        <v>1665</v>
      </c>
      <c r="BT7" s="20">
        <v>0.12672672672672672</v>
      </c>
      <c r="BU7" s="38">
        <v>843</v>
      </c>
      <c r="BV7" s="39">
        <v>1</v>
      </c>
      <c r="BW7" s="39">
        <v>307</v>
      </c>
      <c r="BX7" s="39">
        <v>384</v>
      </c>
      <c r="BY7" s="39">
        <v>135</v>
      </c>
      <c r="BZ7" s="40">
        <v>1670</v>
      </c>
      <c r="CA7" s="39">
        <v>640</v>
      </c>
      <c r="CB7" s="39">
        <v>492</v>
      </c>
      <c r="CC7" s="39">
        <v>147</v>
      </c>
      <c r="CD7" s="39">
        <v>148</v>
      </c>
      <c r="CE7" s="19">
        <v>0.22968749999999999</v>
      </c>
      <c r="CF7" s="104">
        <v>0.23125000000000001</v>
      </c>
      <c r="CG7" s="39">
        <v>140</v>
      </c>
      <c r="CH7" s="39">
        <v>130</v>
      </c>
      <c r="CI7" s="39">
        <v>115</v>
      </c>
      <c r="CJ7" s="39">
        <v>115</v>
      </c>
      <c r="CK7" s="44">
        <v>105</v>
      </c>
      <c r="CL7" s="38">
        <v>384</v>
      </c>
      <c r="CM7" s="39">
        <v>151</v>
      </c>
      <c r="CN7" s="19">
        <v>0.39322916666666669</v>
      </c>
      <c r="CO7" s="40">
        <v>34</v>
      </c>
      <c r="CP7" s="39">
        <v>106</v>
      </c>
      <c r="CQ7" s="39">
        <v>127</v>
      </c>
      <c r="CR7" s="39">
        <v>106</v>
      </c>
      <c r="CS7" s="39">
        <v>138</v>
      </c>
      <c r="CT7" s="39">
        <v>115</v>
      </c>
      <c r="CU7" s="124" t="s">
        <v>474</v>
      </c>
      <c r="CV7" s="39">
        <v>9</v>
      </c>
      <c r="CW7" s="39">
        <v>8</v>
      </c>
      <c r="CX7" s="39">
        <v>5</v>
      </c>
      <c r="CY7" s="39">
        <v>7</v>
      </c>
      <c r="CZ7" s="39">
        <v>7</v>
      </c>
      <c r="DA7" s="120" t="s">
        <v>474</v>
      </c>
      <c r="DB7" s="15">
        <v>15</v>
      </c>
      <c r="DC7" s="15">
        <v>5</v>
      </c>
      <c r="DD7" s="19">
        <v>4.3478260869565216E-2</v>
      </c>
      <c r="DE7" s="19">
        <v>1.8712101106831382E-2</v>
      </c>
      <c r="DF7" s="20">
        <v>9.7757849346889233E-2</v>
      </c>
      <c r="DG7" s="15">
        <v>26</v>
      </c>
      <c r="DH7" s="20">
        <v>3.2338308457711441E-2</v>
      </c>
      <c r="DI7" s="423">
        <v>2</v>
      </c>
      <c r="DJ7" s="428">
        <v>2</v>
      </c>
      <c r="DK7" s="3">
        <v>300</v>
      </c>
      <c r="DL7" s="20">
        <v>5.3229240596167494E-2</v>
      </c>
      <c r="DM7" s="15">
        <v>215</v>
      </c>
      <c r="DN7" s="3">
        <v>210</v>
      </c>
      <c r="DO7" s="3">
        <v>215</v>
      </c>
      <c r="DP7" s="3">
        <v>185</v>
      </c>
      <c r="DQ7" s="11">
        <v>180</v>
      </c>
      <c r="DR7" s="15">
        <v>175</v>
      </c>
      <c r="DS7" s="19">
        <v>0.2348993288590604</v>
      </c>
      <c r="DT7" s="19">
        <v>0.20586521665752222</v>
      </c>
      <c r="DU7" s="19">
        <v>0.2666533046566395</v>
      </c>
      <c r="DV7" s="3">
        <v>205</v>
      </c>
      <c r="DW7" s="19">
        <v>0.26797385620915032</v>
      </c>
      <c r="DX7" s="19">
        <v>0.23780486242152346</v>
      </c>
      <c r="DY7" s="19">
        <v>0.30046145252912287</v>
      </c>
      <c r="DZ7" s="3">
        <v>185</v>
      </c>
      <c r="EA7" s="19">
        <v>0.23717948717948717</v>
      </c>
      <c r="EB7" s="19">
        <v>0.20866248588366965</v>
      </c>
      <c r="EC7" s="19">
        <v>0.26827255578042708</v>
      </c>
      <c r="ED7" s="3">
        <v>190</v>
      </c>
      <c r="EE7" s="19">
        <v>0.2389937106918239</v>
      </c>
      <c r="EF7" s="19">
        <v>0.21064854714886772</v>
      </c>
      <c r="EG7" s="19">
        <v>0.26984912179704285</v>
      </c>
      <c r="EH7" s="3">
        <v>200</v>
      </c>
      <c r="EI7" s="20">
        <v>0.23952095808383234</v>
      </c>
      <c r="EJ7" s="20">
        <v>0.21180744220700884</v>
      </c>
      <c r="EK7" s="20">
        <v>0.26962019179244151</v>
      </c>
      <c r="EL7" s="438">
        <v>165</v>
      </c>
      <c r="EM7" s="20">
        <v>0.19879518072289157</v>
      </c>
      <c r="EN7" s="20">
        <v>0.17305903891802601</v>
      </c>
      <c r="EO7" s="104">
        <v>0.22730658849134708</v>
      </c>
      <c r="EP7" s="38">
        <v>515</v>
      </c>
      <c r="EQ7" s="20">
        <v>0.20724346076458752</v>
      </c>
      <c r="ER7" s="44">
        <v>555</v>
      </c>
      <c r="ES7" s="20">
        <v>0.222</v>
      </c>
      <c r="ET7" s="44">
        <v>480</v>
      </c>
      <c r="EU7" s="20">
        <v>0.1955193482688391</v>
      </c>
      <c r="EV7" s="44">
        <v>480</v>
      </c>
      <c r="EW7" s="20">
        <v>0.1947261663286004</v>
      </c>
      <c r="EX7" s="44">
        <v>495</v>
      </c>
      <c r="EY7" s="20">
        <v>0.19919517102615694</v>
      </c>
      <c r="EZ7" s="44">
        <v>450</v>
      </c>
      <c r="FA7" s="104">
        <v>0.17892644135188868</v>
      </c>
      <c r="FB7" s="3">
        <v>138</v>
      </c>
      <c r="FC7" s="3">
        <v>15</v>
      </c>
      <c r="FD7" s="3">
        <v>123</v>
      </c>
      <c r="FE7" s="19">
        <v>0.89130434782608692</v>
      </c>
      <c r="FF7" s="3">
        <v>51</v>
      </c>
      <c r="FG7" s="3">
        <v>71</v>
      </c>
      <c r="FH7" s="19">
        <v>0.41463414634146339</v>
      </c>
      <c r="FI7" s="19">
        <v>0.57723577235772361</v>
      </c>
      <c r="FJ7" s="19">
        <v>0.33144299050634901</v>
      </c>
      <c r="FK7" s="19">
        <v>0.50299618402314283</v>
      </c>
      <c r="FL7" s="19">
        <v>0.48889394915995515</v>
      </c>
      <c r="FM7" s="104">
        <v>0.66089917864669501</v>
      </c>
      <c r="FN7" s="438">
        <v>102</v>
      </c>
      <c r="FO7" s="438">
        <v>37</v>
      </c>
      <c r="FP7" s="438">
        <v>14</v>
      </c>
      <c r="FQ7" s="438">
        <v>51</v>
      </c>
      <c r="FR7" s="497">
        <v>0.36274509803921567</v>
      </c>
      <c r="FS7" s="497">
        <v>0.5</v>
      </c>
      <c r="FT7" s="497">
        <v>0.27599510544732719</v>
      </c>
      <c r="FU7" s="497">
        <v>0.45945827631836861</v>
      </c>
      <c r="FV7" s="497">
        <v>0.40474447240912587</v>
      </c>
      <c r="FW7" s="104">
        <v>0.59525552759087419</v>
      </c>
      <c r="FX7" s="438">
        <v>103</v>
      </c>
      <c r="FY7" s="438">
        <v>17</v>
      </c>
      <c r="FZ7" s="438">
        <v>86</v>
      </c>
      <c r="GA7" s="497">
        <v>0.83495145631067957</v>
      </c>
      <c r="GB7" s="438">
        <v>30</v>
      </c>
      <c r="GC7" s="438">
        <v>12</v>
      </c>
      <c r="GD7" s="438">
        <v>42</v>
      </c>
      <c r="GE7" s="497">
        <v>0.34883720930232559</v>
      </c>
      <c r="GF7" s="497">
        <v>0.48837209302325579</v>
      </c>
      <c r="GG7" s="497">
        <v>0.25653683548009842</v>
      </c>
      <c r="GH7" s="497">
        <v>0.45406447997838167</v>
      </c>
      <c r="GI7" s="497">
        <v>0.38550577108134865</v>
      </c>
      <c r="GJ7" s="104">
        <v>0.59223279164622677</v>
      </c>
      <c r="GK7" s="3">
        <v>85</v>
      </c>
      <c r="GL7" s="3">
        <v>4</v>
      </c>
      <c r="GM7" s="19">
        <v>4.7058823529411764E-2</v>
      </c>
      <c r="GN7" s="19">
        <v>1.8450260833070709E-2</v>
      </c>
      <c r="GO7" s="19">
        <v>0.11483727156318768</v>
      </c>
      <c r="GP7" s="353" t="s">
        <v>725</v>
      </c>
      <c r="GQ7" s="3">
        <v>120</v>
      </c>
      <c r="GR7" s="3">
        <v>6</v>
      </c>
      <c r="GS7" s="19">
        <v>0.05</v>
      </c>
      <c r="GT7" s="19">
        <v>2.3114364414465797E-2</v>
      </c>
      <c r="GU7" s="19">
        <v>0.10480288536236734</v>
      </c>
      <c r="GV7" s="3" t="s">
        <v>725</v>
      </c>
      <c r="GW7" s="3">
        <v>92</v>
      </c>
      <c r="GX7" s="3">
        <v>13</v>
      </c>
      <c r="GY7" s="19">
        <v>0.14130434782608695</v>
      </c>
      <c r="GZ7" s="19">
        <v>8.4476933783828992E-2</v>
      </c>
      <c r="HA7" s="19">
        <v>0.22688580200803002</v>
      </c>
      <c r="HB7" s="3" t="s">
        <v>725</v>
      </c>
      <c r="HC7" s="3">
        <v>114</v>
      </c>
      <c r="HD7" s="3">
        <v>11</v>
      </c>
      <c r="HE7" s="19">
        <v>9.6491228070175433E-2</v>
      </c>
      <c r="HF7" s="19">
        <v>5.4736149045213803E-2</v>
      </c>
      <c r="HG7" s="19">
        <v>0.16455389606543028</v>
      </c>
      <c r="HH7" s="3" t="s">
        <v>725</v>
      </c>
      <c r="HI7" s="3">
        <v>83</v>
      </c>
      <c r="HJ7" s="3">
        <v>9</v>
      </c>
      <c r="HK7" s="19">
        <v>0.10843373493975904</v>
      </c>
      <c r="HL7" s="19">
        <v>5.8104915192981173E-2</v>
      </c>
      <c r="HM7" s="19">
        <v>0.19340466464711878</v>
      </c>
      <c r="HN7" s="11" t="s">
        <v>725</v>
      </c>
      <c r="HO7" s="11">
        <v>126</v>
      </c>
      <c r="HP7" s="11">
        <v>8</v>
      </c>
      <c r="HQ7" s="497">
        <v>6.3492063492063489E-2</v>
      </c>
      <c r="HR7" s="497">
        <v>3.2520539972782904E-2</v>
      </c>
      <c r="HS7" s="497">
        <v>0.12029242901961254</v>
      </c>
      <c r="HT7" s="8" t="str">
        <f t="shared" ref="HT7:HT70" si="0">IF(HR7&gt;$HS$78, "Sig worse than Eng.", IF(HS7&lt;$HR$78,"Sig better than Eng.", "No Sig diff"))</f>
        <v>No Sig diff</v>
      </c>
      <c r="HU7" s="3">
        <v>103</v>
      </c>
      <c r="HV7" s="3">
        <v>19</v>
      </c>
      <c r="HW7" s="19">
        <v>0.18446601941747573</v>
      </c>
      <c r="HX7" s="19">
        <v>0.12139537223023854</v>
      </c>
      <c r="HY7" s="19">
        <v>0.27022656257424815</v>
      </c>
      <c r="HZ7" s="3" t="s">
        <v>725</v>
      </c>
      <c r="IA7" s="3">
        <v>94</v>
      </c>
      <c r="IB7" s="3">
        <v>19</v>
      </c>
      <c r="IC7" s="19">
        <v>0.20212765957446807</v>
      </c>
      <c r="ID7" s="19">
        <v>0.1333948198921881</v>
      </c>
      <c r="IE7" s="19">
        <v>0.29425067236660452</v>
      </c>
      <c r="IF7" s="3" t="s">
        <v>725</v>
      </c>
      <c r="IG7" s="3">
        <v>97</v>
      </c>
      <c r="IH7" s="3">
        <v>18</v>
      </c>
      <c r="II7" s="19">
        <v>0.18556701030927836</v>
      </c>
      <c r="IJ7" s="19">
        <v>0.12072903379332831</v>
      </c>
      <c r="IK7" s="19">
        <v>0.27436103418690677</v>
      </c>
      <c r="IL7" s="3" t="s">
        <v>725</v>
      </c>
      <c r="IM7" s="3">
        <v>90</v>
      </c>
      <c r="IN7" s="3">
        <v>19</v>
      </c>
      <c r="IO7" s="19">
        <v>0.21111111111111111</v>
      </c>
      <c r="IP7" s="19">
        <v>0.13952592118014923</v>
      </c>
      <c r="IQ7" s="19">
        <v>0.30634799581257288</v>
      </c>
      <c r="IR7" s="3" t="s">
        <v>725</v>
      </c>
      <c r="IS7" s="3">
        <v>111</v>
      </c>
      <c r="IT7" s="3">
        <v>9</v>
      </c>
      <c r="IU7" s="19">
        <v>8.1081081081081086E-2</v>
      </c>
      <c r="IV7" s="19">
        <v>4.3242002584565523E-2</v>
      </c>
      <c r="IW7" s="19">
        <v>0.14694592296935774</v>
      </c>
      <c r="IX7" s="580" t="s">
        <v>726</v>
      </c>
      <c r="IY7" s="580">
        <v>102</v>
      </c>
      <c r="IZ7" s="580">
        <v>22</v>
      </c>
      <c r="JA7" s="497">
        <v>0.21568627450980393</v>
      </c>
      <c r="JB7" s="497">
        <v>0.1469720019825288</v>
      </c>
      <c r="JC7" s="497">
        <v>0.30503857453212674</v>
      </c>
      <c r="JD7" s="371" t="str">
        <f t="shared" ref="JD7:JD70" si="1">IF(JB7&gt;$JC$78,"Sig worse than Eng.",IF(JC7&lt;$JB$78,"Sig better than Eng.","No sig diff"))</f>
        <v>Sig better than Eng.</v>
      </c>
      <c r="JE7" s="3">
        <v>135</v>
      </c>
      <c r="JF7" s="3">
        <v>68</v>
      </c>
      <c r="JG7" s="19">
        <v>0.50370370370370365</v>
      </c>
      <c r="JH7" s="19">
        <v>0.42043501688207358</v>
      </c>
      <c r="JI7" s="19">
        <v>0.5867674427326115</v>
      </c>
      <c r="JJ7" s="3">
        <v>135</v>
      </c>
      <c r="JK7" s="3">
        <v>34</v>
      </c>
      <c r="JL7" s="3">
        <v>27</v>
      </c>
      <c r="JM7" s="383">
        <v>21.518518518518519</v>
      </c>
      <c r="JN7" s="19">
        <v>0.36710239651416121</v>
      </c>
      <c r="JO7" s="3">
        <v>122</v>
      </c>
      <c r="JP7" s="3">
        <v>68</v>
      </c>
      <c r="JQ7" s="19">
        <v>0.55737704918032782</v>
      </c>
      <c r="JR7" s="19">
        <v>0.46882625948307327</v>
      </c>
      <c r="JS7" s="19">
        <v>0.64242483480015478</v>
      </c>
      <c r="JT7" s="3">
        <v>122</v>
      </c>
      <c r="JU7" s="3">
        <v>34</v>
      </c>
      <c r="JV7" s="3">
        <v>24</v>
      </c>
      <c r="JW7" s="383">
        <v>23.166666666666668</v>
      </c>
      <c r="JX7" s="20">
        <v>0.31862745098039202</v>
      </c>
      <c r="JY7" s="44">
        <v>143</v>
      </c>
      <c r="JZ7" s="44">
        <v>91</v>
      </c>
      <c r="KA7" s="20">
        <v>0.63636363636363635</v>
      </c>
      <c r="KB7" s="20">
        <v>0.55490908524212357</v>
      </c>
      <c r="KC7" s="20">
        <v>0.71068348182452701</v>
      </c>
      <c r="KD7" s="438">
        <v>34</v>
      </c>
      <c r="KE7" s="438">
        <v>28</v>
      </c>
      <c r="KF7" s="384">
        <v>21.9</v>
      </c>
      <c r="KG7" s="104">
        <v>0.35499999999999998</v>
      </c>
      <c r="KH7" s="19">
        <v>0.93227513227513237</v>
      </c>
      <c r="KI7" s="19">
        <v>6.7724867724867729E-2</v>
      </c>
      <c r="KJ7" s="19">
        <v>5.315354431925607E-2</v>
      </c>
      <c r="KK7" s="19">
        <v>0.20601533031468619</v>
      </c>
      <c r="KL7" s="19">
        <v>0.84338624338624335</v>
      </c>
      <c r="KM7" s="19">
        <v>0.15661375661375662</v>
      </c>
      <c r="KN7" s="19">
        <v>4.2994504137461961E-2</v>
      </c>
      <c r="KO7" s="19">
        <v>0.18712216950173294</v>
      </c>
      <c r="KP7" s="19">
        <v>0.81005291005291002</v>
      </c>
      <c r="KQ7" s="19">
        <v>0.18994708994708998</v>
      </c>
      <c r="KR7" s="19">
        <v>7.459006187684232E-2</v>
      </c>
      <c r="KS7" s="19">
        <v>0.24268321474659466</v>
      </c>
      <c r="KT7" s="19">
        <v>0.78822751322751317</v>
      </c>
      <c r="KU7" s="19">
        <v>0.21177248677248675</v>
      </c>
      <c r="KV7" s="19">
        <v>0.17018055060319134</v>
      </c>
      <c r="KW7" s="104">
        <v>0.37951033397822453</v>
      </c>
      <c r="KX7" s="438">
        <v>4</v>
      </c>
      <c r="KY7" s="438">
        <v>29</v>
      </c>
      <c r="KZ7" s="497">
        <v>0.13793103448275862</v>
      </c>
      <c r="LA7" s="497">
        <v>5.4974399641119644E-2</v>
      </c>
      <c r="LB7" s="497">
        <v>0.30558993720352018</v>
      </c>
      <c r="LC7" s="438">
        <v>3</v>
      </c>
      <c r="LD7" s="438">
        <v>29</v>
      </c>
      <c r="LE7" s="497">
        <v>0.10344827586206896</v>
      </c>
      <c r="LF7" s="497">
        <v>3.5814891350677058E-2</v>
      </c>
      <c r="LG7" s="497">
        <v>0.26385081090773799</v>
      </c>
      <c r="LH7" s="438">
        <v>5</v>
      </c>
      <c r="LI7" s="438">
        <v>29</v>
      </c>
      <c r="LJ7" s="497">
        <v>0.17241379310344829</v>
      </c>
      <c r="LK7" s="497">
        <v>7.5978572528912269E-2</v>
      </c>
      <c r="LL7" s="497">
        <v>0.34548439890195237</v>
      </c>
      <c r="LM7" s="438">
        <v>8</v>
      </c>
      <c r="LN7" s="438">
        <v>29</v>
      </c>
      <c r="LO7" s="497">
        <v>0.27586206896551724</v>
      </c>
      <c r="LP7" s="497">
        <v>0.14698755102087954</v>
      </c>
      <c r="LQ7" s="104">
        <v>0.45717132416865935</v>
      </c>
      <c r="LR7" s="3">
        <v>36</v>
      </c>
      <c r="LS7" s="3">
        <v>33</v>
      </c>
      <c r="LT7" s="3">
        <v>33</v>
      </c>
      <c r="LU7" s="3">
        <v>33</v>
      </c>
      <c r="LV7" s="3">
        <v>33</v>
      </c>
      <c r="LW7" s="3">
        <v>24</v>
      </c>
      <c r="LX7" s="3">
        <v>24</v>
      </c>
      <c r="LY7" s="3">
        <v>24</v>
      </c>
      <c r="LZ7" s="3">
        <v>22</v>
      </c>
      <c r="MA7" s="3">
        <v>24</v>
      </c>
      <c r="MB7" s="3">
        <v>24</v>
      </c>
      <c r="MC7" s="3">
        <v>22</v>
      </c>
      <c r="MD7" s="3">
        <v>24</v>
      </c>
      <c r="ME7" s="3">
        <v>30</v>
      </c>
      <c r="MF7" s="3">
        <v>29</v>
      </c>
      <c r="MG7" s="3">
        <v>30</v>
      </c>
      <c r="MH7" s="3">
        <v>27</v>
      </c>
      <c r="MI7" s="3">
        <v>30</v>
      </c>
      <c r="MJ7" s="3">
        <v>30</v>
      </c>
      <c r="MK7" s="3">
        <v>27</v>
      </c>
      <c r="ML7" s="3">
        <v>29</v>
      </c>
      <c r="MM7" s="3">
        <v>27</v>
      </c>
      <c r="MN7" s="8">
        <v>30</v>
      </c>
      <c r="MO7" s="3">
        <v>111</v>
      </c>
      <c r="MP7" s="24">
        <v>0.97299999999999998</v>
      </c>
      <c r="MQ7" s="24">
        <v>8.9999999999999993E-3</v>
      </c>
      <c r="MR7" s="24">
        <v>0.96399999999999997</v>
      </c>
      <c r="MS7" s="3">
        <v>108</v>
      </c>
      <c r="MT7" s="3">
        <v>1</v>
      </c>
      <c r="MU7" s="3">
        <v>107</v>
      </c>
      <c r="MV7" s="3">
        <v>139</v>
      </c>
      <c r="MW7" s="24">
        <v>0.94199999999999995</v>
      </c>
      <c r="MX7" s="24">
        <v>0.89200000000000002</v>
      </c>
      <c r="MY7" s="24">
        <v>0.91400000000000003</v>
      </c>
      <c r="MZ7" s="24">
        <v>0.89900000000000002</v>
      </c>
      <c r="NA7" s="24">
        <v>0.89200000000000002</v>
      </c>
      <c r="NB7" s="3">
        <v>131</v>
      </c>
      <c r="NC7" s="3">
        <v>124</v>
      </c>
      <c r="ND7" s="3">
        <v>127</v>
      </c>
      <c r="NE7" s="3">
        <v>125</v>
      </c>
      <c r="NF7" s="3">
        <v>124</v>
      </c>
      <c r="NG7" s="3">
        <v>114</v>
      </c>
      <c r="NH7" s="24">
        <v>0.98199999999999998</v>
      </c>
      <c r="NI7" s="24">
        <v>0.94699999999999995</v>
      </c>
      <c r="NJ7" s="24">
        <v>0.98199999999999998</v>
      </c>
      <c r="NK7" s="24">
        <v>0.98199999999999998</v>
      </c>
      <c r="NL7" s="24">
        <v>0.97399999999999998</v>
      </c>
      <c r="NM7" s="24">
        <v>0.93</v>
      </c>
      <c r="NN7" s="24">
        <v>0.97399999999999998</v>
      </c>
      <c r="NO7" s="24">
        <v>0.95599999999999996</v>
      </c>
      <c r="NP7" s="24">
        <v>0.98199999999999998</v>
      </c>
      <c r="NQ7" s="24">
        <v>0.97399999999999998</v>
      </c>
      <c r="NR7" s="3">
        <v>112</v>
      </c>
      <c r="NS7" s="3">
        <v>108</v>
      </c>
      <c r="NT7" s="3">
        <v>112</v>
      </c>
      <c r="NU7" s="3">
        <v>112</v>
      </c>
      <c r="NV7" s="3">
        <v>111</v>
      </c>
      <c r="NW7" s="3">
        <v>106</v>
      </c>
      <c r="NX7" s="3">
        <v>111</v>
      </c>
      <c r="NY7" s="3">
        <v>109</v>
      </c>
      <c r="NZ7" s="3">
        <v>112</v>
      </c>
      <c r="OA7" s="8">
        <v>111</v>
      </c>
    </row>
    <row r="8" spans="1:391" s="3" customFormat="1" ht="12.75" x14ac:dyDescent="0.2">
      <c r="A8" s="11" t="s">
        <v>35</v>
      </c>
      <c r="B8" s="8">
        <v>3</v>
      </c>
      <c r="C8" s="11" t="s">
        <v>146</v>
      </c>
      <c r="D8" s="11" t="s">
        <v>147</v>
      </c>
      <c r="E8" s="11" t="s">
        <v>287</v>
      </c>
      <c r="F8" s="11" t="s">
        <v>287</v>
      </c>
      <c r="G8" s="11" t="s">
        <v>148</v>
      </c>
      <c r="H8" s="11" t="s">
        <v>74</v>
      </c>
      <c r="I8" s="11" t="s">
        <v>399</v>
      </c>
      <c r="J8" s="11" t="s">
        <v>269</v>
      </c>
      <c r="K8" s="11" t="s">
        <v>36</v>
      </c>
      <c r="L8" s="11" t="s">
        <v>272</v>
      </c>
      <c r="M8" s="11" t="s">
        <v>333</v>
      </c>
      <c r="N8" s="3" t="s">
        <v>401</v>
      </c>
      <c r="O8" s="11">
        <v>517682</v>
      </c>
      <c r="P8" s="11">
        <v>105206</v>
      </c>
      <c r="Q8" s="128" t="s">
        <v>287</v>
      </c>
      <c r="R8" s="128" t="s">
        <v>287</v>
      </c>
      <c r="S8" s="128" t="s">
        <v>287</v>
      </c>
      <c r="T8" s="38">
        <v>15800</v>
      </c>
      <c r="U8" s="39">
        <v>15880</v>
      </c>
      <c r="V8" s="39">
        <v>15870</v>
      </c>
      <c r="W8" s="39">
        <v>15825</v>
      </c>
      <c r="X8" s="39">
        <v>15785</v>
      </c>
      <c r="Y8" s="39">
        <v>15830</v>
      </c>
      <c r="Z8" s="39">
        <v>15875</v>
      </c>
      <c r="AA8" s="39">
        <v>16025</v>
      </c>
      <c r="AB8" s="39">
        <v>16035</v>
      </c>
      <c r="AC8" s="44">
        <v>16238</v>
      </c>
      <c r="AD8" s="38">
        <v>785</v>
      </c>
      <c r="AE8" s="39">
        <v>780</v>
      </c>
      <c r="AF8" s="39">
        <v>805</v>
      </c>
      <c r="AG8" s="39">
        <v>795</v>
      </c>
      <c r="AH8" s="39">
        <v>830</v>
      </c>
      <c r="AI8" s="39">
        <v>875</v>
      </c>
      <c r="AJ8" s="39">
        <v>875</v>
      </c>
      <c r="AK8" s="39">
        <v>900</v>
      </c>
      <c r="AL8" s="39">
        <v>890</v>
      </c>
      <c r="AM8" s="44">
        <v>972</v>
      </c>
      <c r="AN8" s="15">
        <v>871</v>
      </c>
      <c r="AO8" s="3">
        <v>790</v>
      </c>
      <c r="AP8" s="3">
        <v>27</v>
      </c>
      <c r="AQ8" s="3">
        <v>34</v>
      </c>
      <c r="AR8" s="3">
        <v>14</v>
      </c>
      <c r="AS8" s="3">
        <v>2</v>
      </c>
      <c r="AT8" s="3">
        <v>4</v>
      </c>
      <c r="AU8" s="11">
        <v>81</v>
      </c>
      <c r="AV8" s="18">
        <v>0.90700344431687718</v>
      </c>
      <c r="AW8" s="19">
        <v>3.0998851894374284E-2</v>
      </c>
      <c r="AX8" s="19">
        <v>3.9035591274397242E-2</v>
      </c>
      <c r="AY8" s="19">
        <v>1.6073478760045924E-2</v>
      </c>
      <c r="AZ8" s="19">
        <v>2.2962112514351321E-3</v>
      </c>
      <c r="BA8" s="19">
        <v>4.5924225028702642E-3</v>
      </c>
      <c r="BB8" s="20">
        <v>9.2996555683122817E-2</v>
      </c>
      <c r="BC8" s="15">
        <v>2109</v>
      </c>
      <c r="BD8" s="3">
        <v>2086</v>
      </c>
      <c r="BE8" s="3">
        <v>23</v>
      </c>
      <c r="BF8" s="3">
        <v>19</v>
      </c>
      <c r="BG8" s="3">
        <v>4</v>
      </c>
      <c r="BH8" s="19">
        <v>0.82608695652173914</v>
      </c>
      <c r="BI8" s="20">
        <v>0.17391304347826086</v>
      </c>
      <c r="BJ8" s="15">
        <v>1630</v>
      </c>
      <c r="BK8" s="19">
        <v>0.62208588957055211</v>
      </c>
      <c r="BL8" s="19">
        <v>0.2</v>
      </c>
      <c r="BM8" s="20">
        <v>0.17791411042944785</v>
      </c>
      <c r="BN8" s="38">
        <v>4772</v>
      </c>
      <c r="BO8" s="39">
        <v>273</v>
      </c>
      <c r="BP8" s="39">
        <v>263</v>
      </c>
      <c r="BQ8" s="39">
        <v>144</v>
      </c>
      <c r="BR8" s="39">
        <v>2988</v>
      </c>
      <c r="BS8" s="39">
        <v>1701</v>
      </c>
      <c r="BT8" s="20">
        <v>0.14285714285714285</v>
      </c>
      <c r="BU8" s="38">
        <v>881</v>
      </c>
      <c r="BV8" s="39">
        <v>2</v>
      </c>
      <c r="BW8" s="39">
        <v>268</v>
      </c>
      <c r="BX8" s="39">
        <v>414</v>
      </c>
      <c r="BY8" s="39">
        <v>150</v>
      </c>
      <c r="BZ8" s="40">
        <v>1715</v>
      </c>
      <c r="CA8" s="39">
        <v>684</v>
      </c>
      <c r="CB8" s="39">
        <v>550</v>
      </c>
      <c r="CC8" s="39">
        <v>132</v>
      </c>
      <c r="CD8" s="39">
        <v>134</v>
      </c>
      <c r="CE8" s="19">
        <v>0.19298245614035087</v>
      </c>
      <c r="CF8" s="104">
        <v>0.195906432748538</v>
      </c>
      <c r="CG8" s="39">
        <v>145</v>
      </c>
      <c r="CH8" s="39">
        <v>135</v>
      </c>
      <c r="CI8" s="39">
        <v>120</v>
      </c>
      <c r="CJ8" s="39">
        <v>85</v>
      </c>
      <c r="CK8" s="44">
        <v>95</v>
      </c>
      <c r="CL8" s="38">
        <v>414</v>
      </c>
      <c r="CM8" s="39">
        <v>173</v>
      </c>
      <c r="CN8" s="19">
        <v>0.41787439613526572</v>
      </c>
      <c r="CO8" s="40">
        <v>48</v>
      </c>
      <c r="CP8" s="39">
        <v>171</v>
      </c>
      <c r="CQ8" s="39">
        <v>177</v>
      </c>
      <c r="CR8" s="39">
        <v>160</v>
      </c>
      <c r="CS8" s="39">
        <v>182</v>
      </c>
      <c r="CT8" s="39">
        <v>172</v>
      </c>
      <c r="CU8" s="124" t="s">
        <v>474</v>
      </c>
      <c r="CV8" s="39">
        <v>11</v>
      </c>
      <c r="CW8" s="39">
        <v>15</v>
      </c>
      <c r="CX8" s="39">
        <v>8</v>
      </c>
      <c r="CY8" s="39">
        <v>8</v>
      </c>
      <c r="CZ8" s="39">
        <v>3</v>
      </c>
      <c r="DA8" s="120" t="s">
        <v>474</v>
      </c>
      <c r="DB8" s="15">
        <v>13</v>
      </c>
      <c r="DC8" s="15">
        <v>13</v>
      </c>
      <c r="DD8" s="19">
        <v>7.5581395348837205E-2</v>
      </c>
      <c r="DE8" s="19">
        <v>4.4699432822978308E-2</v>
      </c>
      <c r="DF8" s="20">
        <v>0.12500718256130097</v>
      </c>
      <c r="DG8" s="15">
        <v>19</v>
      </c>
      <c r="DH8" s="20">
        <v>2.1814006888633754E-2</v>
      </c>
      <c r="DI8" s="423">
        <v>2</v>
      </c>
      <c r="DJ8" s="428">
        <v>3</v>
      </c>
      <c r="DK8" s="3">
        <v>348</v>
      </c>
      <c r="DL8" s="20">
        <v>4.912478825522304E-2</v>
      </c>
      <c r="DM8" s="15">
        <v>190</v>
      </c>
      <c r="DN8" s="3">
        <v>160</v>
      </c>
      <c r="DO8" s="3">
        <v>155</v>
      </c>
      <c r="DP8" s="3">
        <v>160</v>
      </c>
      <c r="DQ8" s="11">
        <v>140</v>
      </c>
      <c r="DR8" s="15">
        <v>175</v>
      </c>
      <c r="DS8" s="19">
        <v>0.22151898734177214</v>
      </c>
      <c r="DT8" s="19">
        <v>0.19394761394872334</v>
      </c>
      <c r="DU8" s="19">
        <v>0.2517855420725682</v>
      </c>
      <c r="DV8" s="3">
        <v>160</v>
      </c>
      <c r="DW8" s="19">
        <v>0.19631901840490798</v>
      </c>
      <c r="DX8" s="19">
        <v>0.1705000030064921</v>
      </c>
      <c r="DY8" s="19">
        <v>0.2249873716644176</v>
      </c>
      <c r="DZ8" s="3">
        <v>165</v>
      </c>
      <c r="EA8" s="19">
        <v>0.19298245614035087</v>
      </c>
      <c r="EB8" s="19">
        <v>0.16792679855171319</v>
      </c>
      <c r="EC8" s="19">
        <v>0.22078459327967762</v>
      </c>
      <c r="ED8" s="3">
        <v>165</v>
      </c>
      <c r="EE8" s="19">
        <v>0.19298245614035087</v>
      </c>
      <c r="EF8" s="19">
        <v>0.16792679855171319</v>
      </c>
      <c r="EG8" s="19">
        <v>0.22078459327967762</v>
      </c>
      <c r="EH8" s="3">
        <v>135</v>
      </c>
      <c r="EI8" s="20">
        <v>0.14835164835164835</v>
      </c>
      <c r="EJ8" s="20">
        <v>0.1267368394230711</v>
      </c>
      <c r="EK8" s="20">
        <v>0.17292286213400707</v>
      </c>
      <c r="EL8" s="438">
        <v>135</v>
      </c>
      <c r="EM8" s="20">
        <v>0.15517241379310345</v>
      </c>
      <c r="EN8" s="20">
        <v>0.13263430269892901</v>
      </c>
      <c r="EO8" s="104">
        <v>0.18074228988144703</v>
      </c>
      <c r="EP8" s="38">
        <v>510</v>
      </c>
      <c r="EQ8" s="20">
        <v>0.19691119691119691</v>
      </c>
      <c r="ER8" s="44">
        <v>525</v>
      </c>
      <c r="ES8" s="20">
        <v>0.19961977186311788</v>
      </c>
      <c r="ET8" s="44">
        <v>480</v>
      </c>
      <c r="EU8" s="20">
        <v>0.1797752808988764</v>
      </c>
      <c r="EV8" s="44">
        <v>465</v>
      </c>
      <c r="EW8" s="20">
        <v>0.17816091954022989</v>
      </c>
      <c r="EX8" s="44">
        <v>380</v>
      </c>
      <c r="EY8" s="20">
        <v>0.14258911819887429</v>
      </c>
      <c r="EZ8" s="44">
        <v>375</v>
      </c>
      <c r="FA8" s="104">
        <v>0.14423076923076922</v>
      </c>
      <c r="FB8" s="3">
        <v>191</v>
      </c>
      <c r="FC8" s="3">
        <v>12</v>
      </c>
      <c r="FD8" s="3">
        <v>179</v>
      </c>
      <c r="FE8" s="19">
        <v>0.93717277486910999</v>
      </c>
      <c r="FF8" s="3">
        <v>63</v>
      </c>
      <c r="FG8" s="3">
        <v>77</v>
      </c>
      <c r="FH8" s="19">
        <v>0.35195530726256985</v>
      </c>
      <c r="FI8" s="19">
        <v>0.43016759776536312</v>
      </c>
      <c r="FJ8" s="19">
        <v>0.28577066576321652</v>
      </c>
      <c r="FK8" s="19">
        <v>0.42436094542373431</v>
      </c>
      <c r="FL8" s="19">
        <v>0.35985509909603769</v>
      </c>
      <c r="FM8" s="104">
        <v>0.50341452882233539</v>
      </c>
      <c r="FN8" s="438">
        <v>125</v>
      </c>
      <c r="FO8" s="438">
        <v>32</v>
      </c>
      <c r="FP8" s="438">
        <v>17</v>
      </c>
      <c r="FQ8" s="438">
        <v>49</v>
      </c>
      <c r="FR8" s="497">
        <v>0.25600000000000001</v>
      </c>
      <c r="FS8" s="497">
        <v>0.39200000000000002</v>
      </c>
      <c r="FT8" s="497">
        <v>0.18756706920350183</v>
      </c>
      <c r="FU8" s="497">
        <v>0.33898284292616149</v>
      </c>
      <c r="FV8" s="497">
        <v>0.31086100564156294</v>
      </c>
      <c r="FW8" s="104">
        <v>0.47957911939943554</v>
      </c>
      <c r="FX8" s="438">
        <v>163</v>
      </c>
      <c r="FY8" s="438">
        <v>44</v>
      </c>
      <c r="FZ8" s="438">
        <v>119</v>
      </c>
      <c r="GA8" s="497">
        <v>0.73006134969325154</v>
      </c>
      <c r="GB8" s="438">
        <v>29</v>
      </c>
      <c r="GC8" s="438">
        <v>14</v>
      </c>
      <c r="GD8" s="438">
        <v>43</v>
      </c>
      <c r="GE8" s="497">
        <v>0.24369747899159663</v>
      </c>
      <c r="GF8" s="497">
        <v>0.36134453781512604</v>
      </c>
      <c r="GG8" s="497">
        <v>0.17537185114121032</v>
      </c>
      <c r="GH8" s="497">
        <v>0.32805312780633844</v>
      </c>
      <c r="GI8" s="497">
        <v>0.28061871270875605</v>
      </c>
      <c r="GJ8" s="104">
        <v>0.45074234147598352</v>
      </c>
      <c r="GK8" s="3">
        <v>134</v>
      </c>
      <c r="GL8" s="3">
        <v>10</v>
      </c>
      <c r="GM8" s="19">
        <v>7.4626865671641784E-2</v>
      </c>
      <c r="GN8" s="19">
        <v>4.10383252681309E-2</v>
      </c>
      <c r="GO8" s="19">
        <v>0.13192457736414165</v>
      </c>
      <c r="GP8" s="353" t="s">
        <v>725</v>
      </c>
      <c r="GQ8" s="3">
        <v>133</v>
      </c>
      <c r="GR8" s="3">
        <v>16</v>
      </c>
      <c r="GS8" s="19">
        <v>0.12030075187969924</v>
      </c>
      <c r="GT8" s="19">
        <v>7.5421813311987967E-2</v>
      </c>
      <c r="GU8" s="19">
        <v>0.18649777691729955</v>
      </c>
      <c r="GV8" s="3" t="s">
        <v>725</v>
      </c>
      <c r="GW8" s="3">
        <v>145</v>
      </c>
      <c r="GX8" s="3">
        <v>17</v>
      </c>
      <c r="GY8" s="19">
        <v>0.11724137931034483</v>
      </c>
      <c r="GZ8" s="19">
        <v>7.4501409163335197E-2</v>
      </c>
      <c r="HA8" s="19">
        <v>0.17973863336594997</v>
      </c>
      <c r="HB8" s="3" t="s">
        <v>725</v>
      </c>
      <c r="HC8" s="3">
        <v>157</v>
      </c>
      <c r="HD8" s="3">
        <v>12</v>
      </c>
      <c r="HE8" s="19">
        <v>7.6433121019108277E-2</v>
      </c>
      <c r="HF8" s="19">
        <v>4.42610640242889E-2</v>
      </c>
      <c r="HG8" s="19">
        <v>0.12883770680774978</v>
      </c>
      <c r="HH8" s="3" t="s">
        <v>725</v>
      </c>
      <c r="HI8" s="3">
        <v>89</v>
      </c>
      <c r="HJ8" s="3">
        <v>12</v>
      </c>
      <c r="HK8" s="19">
        <v>0.1348314606741573</v>
      </c>
      <c r="HL8" s="19">
        <v>7.8842712007378024E-2</v>
      </c>
      <c r="HM8" s="19">
        <v>0.22103903451348048</v>
      </c>
      <c r="HN8" s="11" t="s">
        <v>725</v>
      </c>
      <c r="HO8" s="11">
        <v>181</v>
      </c>
      <c r="HP8" s="11">
        <v>22</v>
      </c>
      <c r="HQ8" s="497">
        <v>0.12154696132596685</v>
      </c>
      <c r="HR8" s="497">
        <v>8.1653667211610298E-2</v>
      </c>
      <c r="HS8" s="497">
        <v>0.17717061996902073</v>
      </c>
      <c r="HT8" s="8" t="str">
        <f t="shared" si="0"/>
        <v>No Sig diff</v>
      </c>
      <c r="HU8" s="3">
        <v>134</v>
      </c>
      <c r="HV8" s="3">
        <v>21</v>
      </c>
      <c r="HW8" s="19">
        <v>0.15671641791044777</v>
      </c>
      <c r="HX8" s="19">
        <v>0.10484592586579597</v>
      </c>
      <c r="HY8" s="19">
        <v>0.22772062713568716</v>
      </c>
      <c r="HZ8" s="3" t="s">
        <v>725</v>
      </c>
      <c r="IA8" s="3">
        <v>141</v>
      </c>
      <c r="IB8" s="3">
        <v>16</v>
      </c>
      <c r="IC8" s="19">
        <v>0.11347517730496454</v>
      </c>
      <c r="ID8" s="19">
        <v>7.1065842891182035E-2</v>
      </c>
      <c r="IE8" s="19">
        <v>0.17638719377744136</v>
      </c>
      <c r="IF8" s="3" t="s">
        <v>726</v>
      </c>
      <c r="IG8" s="3">
        <v>124</v>
      </c>
      <c r="IH8" s="3">
        <v>23</v>
      </c>
      <c r="II8" s="19">
        <v>0.18548387096774194</v>
      </c>
      <c r="IJ8" s="19">
        <v>0.12689752251284481</v>
      </c>
      <c r="IK8" s="19">
        <v>0.26297176778209758</v>
      </c>
      <c r="IL8" s="3" t="s">
        <v>725</v>
      </c>
      <c r="IM8" s="3">
        <v>120</v>
      </c>
      <c r="IN8" s="3">
        <v>21</v>
      </c>
      <c r="IO8" s="19">
        <v>0.17499999999999999</v>
      </c>
      <c r="IP8" s="19">
        <v>0.1174053594456646</v>
      </c>
      <c r="IQ8" s="19">
        <v>0.2527570987264926</v>
      </c>
      <c r="IR8" s="3" t="s">
        <v>725</v>
      </c>
      <c r="IS8" s="3">
        <v>130</v>
      </c>
      <c r="IT8" s="3">
        <v>29</v>
      </c>
      <c r="IU8" s="19">
        <v>0.22307692307692309</v>
      </c>
      <c r="IV8" s="19">
        <v>0.1600493909503575</v>
      </c>
      <c r="IW8" s="19">
        <v>0.30200070448040445</v>
      </c>
      <c r="IX8" s="580" t="s">
        <v>725</v>
      </c>
      <c r="IY8" s="580">
        <v>138</v>
      </c>
      <c r="IZ8" s="580">
        <v>23</v>
      </c>
      <c r="JA8" s="497">
        <v>0.16666666666666666</v>
      </c>
      <c r="JB8" s="497">
        <v>0.11370238105954379</v>
      </c>
      <c r="JC8" s="497">
        <v>0.23768612858417149</v>
      </c>
      <c r="JD8" s="371" t="str">
        <f t="shared" si="1"/>
        <v>Sig better than Eng.</v>
      </c>
      <c r="JE8" s="3">
        <v>176</v>
      </c>
      <c r="JF8" s="3">
        <v>88</v>
      </c>
      <c r="JG8" s="19">
        <v>0.5</v>
      </c>
      <c r="JH8" s="19">
        <v>0.42692426588174481</v>
      </c>
      <c r="JI8" s="19">
        <v>0.57307573411825519</v>
      </c>
      <c r="JJ8" s="3">
        <v>176</v>
      </c>
      <c r="JK8" s="3">
        <v>34</v>
      </c>
      <c r="JL8" s="3">
        <v>35</v>
      </c>
      <c r="JM8" s="383">
        <v>20.428571428571427</v>
      </c>
      <c r="JN8" s="19">
        <v>0.39915966386554624</v>
      </c>
      <c r="JO8" s="3">
        <v>166</v>
      </c>
      <c r="JP8" s="3">
        <v>94</v>
      </c>
      <c r="JQ8" s="19">
        <v>0.5662650602409639</v>
      </c>
      <c r="JR8" s="19">
        <v>0.49021826324741552</v>
      </c>
      <c r="JS8" s="19">
        <v>0.63931430290432689</v>
      </c>
      <c r="JT8" s="3">
        <v>166</v>
      </c>
      <c r="JU8" s="3">
        <v>34</v>
      </c>
      <c r="JV8" s="3">
        <v>33</v>
      </c>
      <c r="JW8" s="383">
        <v>21.151515151515156</v>
      </c>
      <c r="JX8" s="20">
        <v>0.3778966131907307</v>
      </c>
      <c r="JY8" s="44">
        <v>199</v>
      </c>
      <c r="JZ8" s="44">
        <v>126</v>
      </c>
      <c r="KA8" s="20">
        <v>0.63316582914572861</v>
      </c>
      <c r="KB8" s="20">
        <v>0.56427309626650612</v>
      </c>
      <c r="KC8" s="20">
        <v>0.69701471100986756</v>
      </c>
      <c r="KD8" s="438">
        <v>34</v>
      </c>
      <c r="KE8" s="438">
        <v>39</v>
      </c>
      <c r="KF8" s="384">
        <v>24.7</v>
      </c>
      <c r="KG8" s="104">
        <v>0.27400000000000002</v>
      </c>
      <c r="KH8" s="19">
        <v>0.83149350649350662</v>
      </c>
      <c r="KI8" s="19">
        <v>0.16850649350649349</v>
      </c>
      <c r="KJ8" s="19">
        <v>0.10610728809302103</v>
      </c>
      <c r="KK8" s="19">
        <v>0.26237061298884162</v>
      </c>
      <c r="KL8" s="19">
        <v>0.86493506493506489</v>
      </c>
      <c r="KM8" s="19">
        <v>0.13506493506493505</v>
      </c>
      <c r="KN8" s="19">
        <v>7.9758668273817196E-2</v>
      </c>
      <c r="KO8" s="19">
        <v>0.2233893605061692</v>
      </c>
      <c r="KP8" s="19">
        <v>0.87402597402597404</v>
      </c>
      <c r="KQ8" s="19">
        <v>0.12597402597402596</v>
      </c>
      <c r="KR8" s="19">
        <v>7.1252008979545867E-2</v>
      </c>
      <c r="KS8" s="19">
        <v>0.21011939569981511</v>
      </c>
      <c r="KT8" s="19">
        <v>0.7033549783549784</v>
      </c>
      <c r="KU8" s="19">
        <v>0.29664502164502166</v>
      </c>
      <c r="KV8" s="19">
        <v>0.24027691667974599</v>
      </c>
      <c r="KW8" s="104">
        <v>0.43307372181087261</v>
      </c>
      <c r="KX8" s="438">
        <v>11</v>
      </c>
      <c r="KY8" s="438">
        <v>36</v>
      </c>
      <c r="KZ8" s="497">
        <v>0.30555555555555558</v>
      </c>
      <c r="LA8" s="497">
        <v>0.18004451594829921</v>
      </c>
      <c r="LB8" s="497">
        <v>0.46856272850510333</v>
      </c>
      <c r="LC8" s="438">
        <v>7</v>
      </c>
      <c r="LD8" s="438">
        <v>36</v>
      </c>
      <c r="LE8" s="497">
        <v>0.19444444444444445</v>
      </c>
      <c r="LF8" s="497">
        <v>9.7530954189287283E-2</v>
      </c>
      <c r="LG8" s="497">
        <v>0.35028042995177378</v>
      </c>
      <c r="LH8" s="438">
        <v>8</v>
      </c>
      <c r="LI8" s="438">
        <v>36</v>
      </c>
      <c r="LJ8" s="497">
        <v>0.22222222222222221</v>
      </c>
      <c r="LK8" s="497">
        <v>0.11716331975796461</v>
      </c>
      <c r="LL8" s="497">
        <v>0.38084702946118182</v>
      </c>
      <c r="LM8" s="438">
        <v>8</v>
      </c>
      <c r="LN8" s="438">
        <v>36</v>
      </c>
      <c r="LO8" s="497">
        <v>0.22222222222222221</v>
      </c>
      <c r="LP8" s="497">
        <v>0.11716331975796461</v>
      </c>
      <c r="LQ8" s="104">
        <v>0.38084702946118182</v>
      </c>
      <c r="LR8" s="3">
        <v>43</v>
      </c>
      <c r="LS8" s="3">
        <v>43</v>
      </c>
      <c r="LT8" s="3">
        <v>43</v>
      </c>
      <c r="LU8" s="3">
        <v>43</v>
      </c>
      <c r="LV8" s="3">
        <v>43</v>
      </c>
      <c r="LW8" s="3">
        <v>48</v>
      </c>
      <c r="LX8" s="3">
        <v>47</v>
      </c>
      <c r="LY8" s="3">
        <v>48</v>
      </c>
      <c r="LZ8" s="3">
        <v>48</v>
      </c>
      <c r="MA8" s="3">
        <v>48</v>
      </c>
      <c r="MB8" s="3">
        <v>48</v>
      </c>
      <c r="MC8" s="3">
        <v>47</v>
      </c>
      <c r="MD8" s="3">
        <v>48</v>
      </c>
      <c r="ME8" s="3">
        <v>51</v>
      </c>
      <c r="MF8" s="3">
        <v>50</v>
      </c>
      <c r="MG8" s="3">
        <v>49</v>
      </c>
      <c r="MH8" s="3">
        <v>47</v>
      </c>
      <c r="MI8" s="3">
        <v>49</v>
      </c>
      <c r="MJ8" s="3">
        <v>50</v>
      </c>
      <c r="MK8" s="3">
        <v>49</v>
      </c>
      <c r="ML8" s="3">
        <v>49</v>
      </c>
      <c r="MM8" s="3">
        <v>49</v>
      </c>
      <c r="MN8" s="8">
        <v>49</v>
      </c>
      <c r="MO8" s="3">
        <v>190</v>
      </c>
      <c r="MP8" s="24">
        <v>0.95299999999999996</v>
      </c>
      <c r="MQ8" s="24">
        <v>0</v>
      </c>
      <c r="MR8" s="24">
        <v>0.95299999999999996</v>
      </c>
      <c r="MS8" s="3">
        <v>181</v>
      </c>
      <c r="MT8" s="3">
        <v>0</v>
      </c>
      <c r="MU8" s="3">
        <v>181</v>
      </c>
      <c r="MV8" s="3">
        <v>138</v>
      </c>
      <c r="MW8" s="24">
        <v>0.97799999999999998</v>
      </c>
      <c r="MX8" s="24">
        <v>0.92800000000000005</v>
      </c>
      <c r="MY8" s="24">
        <v>0.95699999999999996</v>
      </c>
      <c r="MZ8" s="24">
        <v>0.91300000000000003</v>
      </c>
      <c r="NA8" s="24">
        <v>0.92</v>
      </c>
      <c r="NB8" s="3">
        <v>135</v>
      </c>
      <c r="NC8" s="3">
        <v>128</v>
      </c>
      <c r="ND8" s="3">
        <v>132</v>
      </c>
      <c r="NE8" s="3">
        <v>126</v>
      </c>
      <c r="NF8" s="3">
        <v>127</v>
      </c>
      <c r="NG8" s="3">
        <v>185</v>
      </c>
      <c r="NH8" s="24">
        <v>0.97299999999999998</v>
      </c>
      <c r="NI8" s="24">
        <v>0.94599999999999995</v>
      </c>
      <c r="NJ8" s="24">
        <v>0.97299999999999998</v>
      </c>
      <c r="NK8" s="24">
        <v>0.97299999999999998</v>
      </c>
      <c r="NL8" s="24">
        <v>0.96799999999999997</v>
      </c>
      <c r="NM8" s="24">
        <v>0.91400000000000003</v>
      </c>
      <c r="NN8" s="24">
        <v>0.94599999999999995</v>
      </c>
      <c r="NO8" s="24">
        <v>0.95099999999999996</v>
      </c>
      <c r="NP8" s="24">
        <v>0.97299999999999998</v>
      </c>
      <c r="NQ8" s="24">
        <v>0.89700000000000002</v>
      </c>
      <c r="NR8" s="3">
        <v>180</v>
      </c>
      <c r="NS8" s="3">
        <v>175</v>
      </c>
      <c r="NT8" s="3">
        <v>180</v>
      </c>
      <c r="NU8" s="3">
        <v>180</v>
      </c>
      <c r="NV8" s="3">
        <v>179</v>
      </c>
      <c r="NW8" s="3">
        <v>169</v>
      </c>
      <c r="NX8" s="3">
        <v>175</v>
      </c>
      <c r="NY8" s="3">
        <v>176</v>
      </c>
      <c r="NZ8" s="3">
        <v>180</v>
      </c>
      <c r="OA8" s="8">
        <v>166</v>
      </c>
    </row>
    <row r="9" spans="1:391" s="3" customFormat="1" ht="12.75" x14ac:dyDescent="0.2">
      <c r="A9" s="11" t="s">
        <v>36</v>
      </c>
      <c r="B9" s="8">
        <v>4</v>
      </c>
      <c r="C9" s="11" t="s">
        <v>149</v>
      </c>
      <c r="D9" s="11" t="s">
        <v>150</v>
      </c>
      <c r="E9" s="11" t="s">
        <v>287</v>
      </c>
      <c r="F9" s="11" t="s">
        <v>287</v>
      </c>
      <c r="G9" s="11" t="s">
        <v>151</v>
      </c>
      <c r="H9" s="11" t="s">
        <v>74</v>
      </c>
      <c r="I9" s="11" t="s">
        <v>399</v>
      </c>
      <c r="J9" s="11" t="s">
        <v>269</v>
      </c>
      <c r="K9" s="11" t="s">
        <v>372</v>
      </c>
      <c r="L9" s="11" t="s">
        <v>272</v>
      </c>
      <c r="M9" s="11" t="s">
        <v>334</v>
      </c>
      <c r="N9" s="3" t="s">
        <v>401</v>
      </c>
      <c r="O9" s="11">
        <v>518254</v>
      </c>
      <c r="P9" s="11">
        <v>104496</v>
      </c>
      <c r="Q9" s="128">
        <v>21735</v>
      </c>
      <c r="R9" s="128">
        <v>80191</v>
      </c>
      <c r="S9" s="400" t="s">
        <v>817</v>
      </c>
      <c r="T9" s="38">
        <v>13885</v>
      </c>
      <c r="U9" s="39">
        <v>14085</v>
      </c>
      <c r="V9" s="39">
        <v>14295</v>
      </c>
      <c r="W9" s="39">
        <v>14475</v>
      </c>
      <c r="X9" s="39">
        <v>14595</v>
      </c>
      <c r="Y9" s="39">
        <v>14705</v>
      </c>
      <c r="Z9" s="39">
        <v>14760</v>
      </c>
      <c r="AA9" s="39">
        <v>14890</v>
      </c>
      <c r="AB9" s="39">
        <v>15055</v>
      </c>
      <c r="AC9" s="44">
        <v>15231</v>
      </c>
      <c r="AD9" s="38">
        <v>650</v>
      </c>
      <c r="AE9" s="39">
        <v>690</v>
      </c>
      <c r="AF9" s="39">
        <v>730</v>
      </c>
      <c r="AG9" s="39">
        <v>725</v>
      </c>
      <c r="AH9" s="39">
        <v>805</v>
      </c>
      <c r="AI9" s="39">
        <v>850</v>
      </c>
      <c r="AJ9" s="39">
        <v>875</v>
      </c>
      <c r="AK9" s="39">
        <v>910</v>
      </c>
      <c r="AL9" s="39">
        <v>955</v>
      </c>
      <c r="AM9" s="44">
        <v>952</v>
      </c>
      <c r="AN9" s="15">
        <v>854</v>
      </c>
      <c r="AO9" s="3">
        <v>753</v>
      </c>
      <c r="AP9" s="3">
        <v>33</v>
      </c>
      <c r="AQ9" s="3">
        <v>40</v>
      </c>
      <c r="AR9" s="3">
        <v>17</v>
      </c>
      <c r="AS9" s="3">
        <v>5</v>
      </c>
      <c r="AT9" s="3">
        <v>6</v>
      </c>
      <c r="AU9" s="11">
        <v>101</v>
      </c>
      <c r="AV9" s="18">
        <v>0.88173302107728335</v>
      </c>
      <c r="AW9" s="19">
        <v>3.864168618266979E-2</v>
      </c>
      <c r="AX9" s="19">
        <v>4.6838407494145202E-2</v>
      </c>
      <c r="AY9" s="19">
        <v>1.9906323185011711E-2</v>
      </c>
      <c r="AZ9" s="19">
        <v>5.8548009367681503E-3</v>
      </c>
      <c r="BA9" s="19">
        <v>7.0257611241217799E-3</v>
      </c>
      <c r="BB9" s="20">
        <v>0.11826697892271665</v>
      </c>
      <c r="BC9" s="15">
        <v>1894</v>
      </c>
      <c r="BD9" s="3">
        <v>1869</v>
      </c>
      <c r="BE9" s="3">
        <v>25</v>
      </c>
      <c r="BF9" s="3">
        <v>20</v>
      </c>
      <c r="BG9" s="3">
        <v>5</v>
      </c>
      <c r="BH9" s="19">
        <v>0.8</v>
      </c>
      <c r="BI9" s="20">
        <v>0.2</v>
      </c>
      <c r="BJ9" s="15">
        <v>1581</v>
      </c>
      <c r="BK9" s="19">
        <v>0.6198608475648324</v>
      </c>
      <c r="BL9" s="19">
        <v>0.12397216951296648</v>
      </c>
      <c r="BM9" s="20">
        <v>0.25616698292220114</v>
      </c>
      <c r="BN9" s="38">
        <v>4325</v>
      </c>
      <c r="BO9" s="39">
        <v>316</v>
      </c>
      <c r="BP9" s="39">
        <v>254</v>
      </c>
      <c r="BQ9" s="39">
        <v>103</v>
      </c>
      <c r="BR9" s="39">
        <v>2755</v>
      </c>
      <c r="BS9" s="39">
        <v>1619</v>
      </c>
      <c r="BT9" s="20">
        <v>0.11735639283508338</v>
      </c>
      <c r="BU9" s="38">
        <v>831</v>
      </c>
      <c r="BV9" s="39">
        <v>0</v>
      </c>
      <c r="BW9" s="39">
        <v>297</v>
      </c>
      <c r="BX9" s="39">
        <v>388</v>
      </c>
      <c r="BY9" s="39">
        <v>117</v>
      </c>
      <c r="BZ9" s="40">
        <v>1633</v>
      </c>
      <c r="CA9" s="39">
        <v>682</v>
      </c>
      <c r="CB9" s="39">
        <v>548</v>
      </c>
      <c r="CC9" s="39">
        <v>128</v>
      </c>
      <c r="CD9" s="39">
        <v>134</v>
      </c>
      <c r="CE9" s="19">
        <v>0.18768328445747801</v>
      </c>
      <c r="CF9" s="104">
        <v>0.19648093841642228</v>
      </c>
      <c r="CG9" s="39">
        <v>125</v>
      </c>
      <c r="CH9" s="39">
        <v>140</v>
      </c>
      <c r="CI9" s="39">
        <v>130</v>
      </c>
      <c r="CJ9" s="39">
        <v>115</v>
      </c>
      <c r="CK9" s="44">
        <v>110</v>
      </c>
      <c r="CL9" s="38">
        <v>388</v>
      </c>
      <c r="CM9" s="39">
        <v>152</v>
      </c>
      <c r="CN9" s="19">
        <v>0.39175257731958762</v>
      </c>
      <c r="CO9" s="40">
        <v>44</v>
      </c>
      <c r="CP9" s="39">
        <v>180</v>
      </c>
      <c r="CQ9" s="39">
        <v>171</v>
      </c>
      <c r="CR9" s="39">
        <v>184</v>
      </c>
      <c r="CS9" s="39">
        <v>195</v>
      </c>
      <c r="CT9" s="39">
        <v>199</v>
      </c>
      <c r="CU9" s="124" t="s">
        <v>474</v>
      </c>
      <c r="CV9" s="39">
        <v>12</v>
      </c>
      <c r="CW9" s="39">
        <v>13</v>
      </c>
      <c r="CX9" s="39">
        <v>6</v>
      </c>
      <c r="CY9" s="39">
        <v>13</v>
      </c>
      <c r="CZ9" s="39">
        <v>8</v>
      </c>
      <c r="DA9" s="120" t="s">
        <v>474</v>
      </c>
      <c r="DB9" s="15">
        <v>14</v>
      </c>
      <c r="DC9" s="15">
        <v>9</v>
      </c>
      <c r="DD9" s="19">
        <v>4.5226130653266333E-2</v>
      </c>
      <c r="DE9" s="19">
        <v>2.3973316045364932E-2</v>
      </c>
      <c r="DF9" s="20">
        <v>8.3704172312679903E-2</v>
      </c>
      <c r="DG9" s="15">
        <v>12</v>
      </c>
      <c r="DH9" s="20">
        <v>1.405152224824356E-2</v>
      </c>
      <c r="DI9" s="423">
        <v>3</v>
      </c>
      <c r="DJ9" s="428">
        <v>4</v>
      </c>
      <c r="DK9" s="3">
        <v>296</v>
      </c>
      <c r="DL9" s="20">
        <v>4.3929949539922825E-2</v>
      </c>
      <c r="DM9" s="15">
        <v>190</v>
      </c>
      <c r="DN9" s="3">
        <v>180</v>
      </c>
      <c r="DO9" s="3">
        <v>200</v>
      </c>
      <c r="DP9" s="3">
        <v>175</v>
      </c>
      <c r="DQ9" s="11">
        <v>155</v>
      </c>
      <c r="DR9" s="15">
        <v>145</v>
      </c>
      <c r="DS9" s="19">
        <v>0.19078947368421054</v>
      </c>
      <c r="DT9" s="19">
        <v>0.16443647098737491</v>
      </c>
      <c r="DU9" s="19">
        <v>0.22025259691731858</v>
      </c>
      <c r="DV9" s="3">
        <v>185</v>
      </c>
      <c r="DW9" s="19">
        <v>0.22155688622754491</v>
      </c>
      <c r="DX9" s="19">
        <v>0.19469935242710709</v>
      </c>
      <c r="DY9" s="19">
        <v>0.25096467012402945</v>
      </c>
      <c r="DZ9" s="3">
        <v>165</v>
      </c>
      <c r="EA9" s="19">
        <v>0.19298245614035087</v>
      </c>
      <c r="EB9" s="19">
        <v>0.16792679855171319</v>
      </c>
      <c r="EC9" s="19">
        <v>0.22078459327967762</v>
      </c>
      <c r="ED9" s="3">
        <v>170</v>
      </c>
      <c r="EE9" s="19">
        <v>0.19209039548022599</v>
      </c>
      <c r="EF9" s="19">
        <v>0.16748874058273475</v>
      </c>
      <c r="EG9" s="19">
        <v>0.21935354204087229</v>
      </c>
      <c r="EH9" s="3">
        <v>175</v>
      </c>
      <c r="EI9" s="20">
        <v>0.19662921348314608</v>
      </c>
      <c r="EJ9" s="20">
        <v>0.17184488065784115</v>
      </c>
      <c r="EK9" s="20">
        <v>0.22402113711173205</v>
      </c>
      <c r="EL9" s="438">
        <v>165</v>
      </c>
      <c r="EM9" s="20">
        <v>0.1864406779661017</v>
      </c>
      <c r="EN9" s="20">
        <v>0.16215641130017225</v>
      </c>
      <c r="EO9" s="104">
        <v>0.21343527100460188</v>
      </c>
      <c r="EP9" s="38">
        <v>370</v>
      </c>
      <c r="EQ9" s="20">
        <v>0.16017316017316016</v>
      </c>
      <c r="ER9" s="44">
        <v>460</v>
      </c>
      <c r="ES9" s="20">
        <v>0.19246861924686193</v>
      </c>
      <c r="ET9" s="44">
        <v>375</v>
      </c>
      <c r="EU9" s="20">
        <v>0.15560165975103735</v>
      </c>
      <c r="EV9" s="44">
        <v>405</v>
      </c>
      <c r="EW9" s="20">
        <v>0.16396761133603238</v>
      </c>
      <c r="EX9" s="44">
        <v>405</v>
      </c>
      <c r="EY9" s="20">
        <v>0.16396761133603238</v>
      </c>
      <c r="EZ9" s="44">
        <v>385</v>
      </c>
      <c r="FA9" s="104">
        <v>0.15157480314960631</v>
      </c>
      <c r="FB9" s="3">
        <v>188</v>
      </c>
      <c r="FC9" s="3">
        <v>14</v>
      </c>
      <c r="FD9" s="3">
        <v>174</v>
      </c>
      <c r="FE9" s="19">
        <v>0.92553191489361697</v>
      </c>
      <c r="FF9" s="3">
        <v>68</v>
      </c>
      <c r="FG9" s="3">
        <v>86</v>
      </c>
      <c r="FH9" s="19">
        <v>0.39080459770114945</v>
      </c>
      <c r="FI9" s="19">
        <v>0.4942528735632184</v>
      </c>
      <c r="FJ9" s="19">
        <v>0.3214116321508444</v>
      </c>
      <c r="FK9" s="19">
        <v>0.46491507656072817</v>
      </c>
      <c r="FL9" s="19">
        <v>0.42089495809986699</v>
      </c>
      <c r="FM9" s="104">
        <v>0.56785907920074208</v>
      </c>
      <c r="FN9" s="438">
        <v>140</v>
      </c>
      <c r="FO9" s="438">
        <v>52</v>
      </c>
      <c r="FP9" s="438">
        <v>17</v>
      </c>
      <c r="FQ9" s="438">
        <v>69</v>
      </c>
      <c r="FR9" s="497">
        <v>0.37142857142857144</v>
      </c>
      <c r="FS9" s="497">
        <v>0.49285714285714288</v>
      </c>
      <c r="FT9" s="497">
        <v>0.2958250811297044</v>
      </c>
      <c r="FU9" s="497">
        <v>0.45389937039385897</v>
      </c>
      <c r="FV9" s="497">
        <v>0.41134585788306199</v>
      </c>
      <c r="FW9" s="104">
        <v>0.57474994497935816</v>
      </c>
      <c r="FX9" s="438">
        <v>113</v>
      </c>
      <c r="FY9" s="438">
        <v>29</v>
      </c>
      <c r="FZ9" s="438">
        <v>84</v>
      </c>
      <c r="GA9" s="497">
        <v>0.74336283185840712</v>
      </c>
      <c r="GB9" s="438">
        <v>24</v>
      </c>
      <c r="GC9" s="438">
        <v>11</v>
      </c>
      <c r="GD9" s="438">
        <v>35</v>
      </c>
      <c r="GE9" s="497">
        <v>0.2857142857142857</v>
      </c>
      <c r="GF9" s="497">
        <v>0.41666666666666669</v>
      </c>
      <c r="GG9" s="497">
        <v>0.20015034121612776</v>
      </c>
      <c r="GH9" s="497">
        <v>0.3900203995330121</v>
      </c>
      <c r="GI9" s="497">
        <v>0.31714838460424716</v>
      </c>
      <c r="GJ9" s="104">
        <v>0.5234735701315294</v>
      </c>
      <c r="GK9" s="3">
        <v>130</v>
      </c>
      <c r="GL9" s="3">
        <v>7</v>
      </c>
      <c r="GM9" s="19">
        <v>5.3846153846153849E-2</v>
      </c>
      <c r="GN9" s="19">
        <v>2.632495898818149E-2</v>
      </c>
      <c r="GO9" s="19">
        <v>0.10697797253915731</v>
      </c>
      <c r="GP9" s="353" t="s">
        <v>725</v>
      </c>
      <c r="GQ9" s="3">
        <v>154</v>
      </c>
      <c r="GR9" s="3">
        <v>11</v>
      </c>
      <c r="GS9" s="19">
        <v>7.1428571428571425E-2</v>
      </c>
      <c r="GT9" s="19">
        <v>4.0349744563473719E-2</v>
      </c>
      <c r="GU9" s="19">
        <v>0.12336807085566588</v>
      </c>
      <c r="GV9" s="3" t="s">
        <v>725</v>
      </c>
      <c r="GW9" s="3">
        <v>127</v>
      </c>
      <c r="GX9" s="3">
        <v>12</v>
      </c>
      <c r="GY9" s="19">
        <v>9.4488188976377951E-2</v>
      </c>
      <c r="GZ9" s="19">
        <v>5.4879198646489942E-2</v>
      </c>
      <c r="HA9" s="19">
        <v>0.15790854517443623</v>
      </c>
      <c r="HB9" s="3" t="s">
        <v>725</v>
      </c>
      <c r="HC9" s="3">
        <v>158</v>
      </c>
      <c r="HD9" s="3">
        <v>10</v>
      </c>
      <c r="HE9" s="19">
        <v>6.3291139240506333E-2</v>
      </c>
      <c r="HF9" s="19">
        <v>3.4738438192433274E-2</v>
      </c>
      <c r="HG9" s="19">
        <v>0.11257522911149487</v>
      </c>
      <c r="HH9" s="3" t="s">
        <v>725</v>
      </c>
      <c r="HI9" s="3">
        <v>92</v>
      </c>
      <c r="HJ9" s="3">
        <v>7</v>
      </c>
      <c r="HK9" s="19">
        <v>7.6086956521739135E-2</v>
      </c>
      <c r="HL9" s="19">
        <v>3.7343559709615406E-2</v>
      </c>
      <c r="HM9" s="19">
        <v>0.14881240077167252</v>
      </c>
      <c r="HN9" s="11" t="s">
        <v>725</v>
      </c>
      <c r="HO9" s="11">
        <v>153</v>
      </c>
      <c r="HP9" s="11">
        <v>11</v>
      </c>
      <c r="HQ9" s="497">
        <v>7.1895424836601302E-2</v>
      </c>
      <c r="HR9" s="497">
        <v>4.0616608922109665E-2</v>
      </c>
      <c r="HS9" s="497">
        <v>0.12414504921980327</v>
      </c>
      <c r="HT9" s="8" t="str">
        <f t="shared" si="0"/>
        <v>No Sig diff</v>
      </c>
      <c r="HU9" s="3">
        <v>110</v>
      </c>
      <c r="HV9" s="3">
        <v>24</v>
      </c>
      <c r="HW9" s="19">
        <v>0.21818181818181817</v>
      </c>
      <c r="HX9" s="19">
        <v>0.15122956180325126</v>
      </c>
      <c r="HY9" s="19">
        <v>0.30415338354662314</v>
      </c>
      <c r="HZ9" s="3" t="s">
        <v>725</v>
      </c>
      <c r="IA9" s="3">
        <v>113</v>
      </c>
      <c r="IB9" s="3">
        <v>17</v>
      </c>
      <c r="IC9" s="19">
        <v>0.15044247787610621</v>
      </c>
      <c r="ID9" s="19">
        <v>9.6100867119634975E-2</v>
      </c>
      <c r="IE9" s="19">
        <v>0.22776926598753502</v>
      </c>
      <c r="IF9" s="3" t="s">
        <v>725</v>
      </c>
      <c r="IG9" s="3">
        <v>98</v>
      </c>
      <c r="IH9" s="3">
        <v>16</v>
      </c>
      <c r="II9" s="19">
        <v>0.16326530612244897</v>
      </c>
      <c r="IJ9" s="19">
        <v>0.10306803521803502</v>
      </c>
      <c r="IK9" s="19">
        <v>0.24886583568023959</v>
      </c>
      <c r="IL9" s="3" t="s">
        <v>725</v>
      </c>
      <c r="IM9" s="3">
        <v>126</v>
      </c>
      <c r="IN9" s="3">
        <v>11</v>
      </c>
      <c r="IO9" s="19">
        <v>8.7301587301587297E-2</v>
      </c>
      <c r="IP9" s="19">
        <v>4.9446843632529658E-2</v>
      </c>
      <c r="IQ9" s="19">
        <v>0.14957632705118967</v>
      </c>
      <c r="IR9" s="3" t="s">
        <v>726</v>
      </c>
      <c r="IS9" s="3">
        <v>124</v>
      </c>
      <c r="IT9" s="3">
        <v>13</v>
      </c>
      <c r="IU9" s="19">
        <v>0.10483870967741936</v>
      </c>
      <c r="IV9" s="19">
        <v>6.2297852103246357E-2</v>
      </c>
      <c r="IW9" s="19">
        <v>0.17112766647245051</v>
      </c>
      <c r="IX9" s="580" t="s">
        <v>726</v>
      </c>
      <c r="IY9" s="580">
        <v>103</v>
      </c>
      <c r="IZ9" s="580">
        <v>13</v>
      </c>
      <c r="JA9" s="497">
        <v>0.12621359223300971</v>
      </c>
      <c r="JB9" s="497">
        <v>7.5264778879673852E-2</v>
      </c>
      <c r="JC9" s="497">
        <v>0.2040412054271796</v>
      </c>
      <c r="JD9" s="371" t="str">
        <f t="shared" si="1"/>
        <v>Sig better than Eng.</v>
      </c>
      <c r="JE9" s="3">
        <v>171</v>
      </c>
      <c r="JF9" s="3">
        <v>83</v>
      </c>
      <c r="JG9" s="19">
        <v>0.4853801169590643</v>
      </c>
      <c r="JH9" s="19">
        <v>0.41161906981424612</v>
      </c>
      <c r="JI9" s="19">
        <v>0.55978359386904153</v>
      </c>
      <c r="JJ9" s="3">
        <v>171</v>
      </c>
      <c r="JK9" s="3">
        <v>34</v>
      </c>
      <c r="JL9" s="3">
        <v>34</v>
      </c>
      <c r="JM9" s="383">
        <v>22.558823529411764</v>
      </c>
      <c r="JN9" s="19">
        <v>0.33650519031141868</v>
      </c>
      <c r="JO9" s="3">
        <v>169</v>
      </c>
      <c r="JP9" s="3">
        <v>90</v>
      </c>
      <c r="JQ9" s="19">
        <v>0.53254437869822491</v>
      </c>
      <c r="JR9" s="19">
        <v>0.45743480329711905</v>
      </c>
      <c r="JS9" s="19">
        <v>0.60620733485106337</v>
      </c>
      <c r="JT9" s="3">
        <v>169</v>
      </c>
      <c r="JU9" s="3">
        <v>34</v>
      </c>
      <c r="JV9" s="3">
        <v>33</v>
      </c>
      <c r="JW9" s="383">
        <v>22.090909090909093</v>
      </c>
      <c r="JX9" s="20">
        <v>0.35026737967914429</v>
      </c>
      <c r="JY9" s="44">
        <v>167</v>
      </c>
      <c r="JZ9" s="44">
        <v>119</v>
      </c>
      <c r="KA9" s="20">
        <v>0.71257485029940115</v>
      </c>
      <c r="KB9" s="20">
        <v>0.6397644897808028</v>
      </c>
      <c r="KC9" s="20">
        <v>0.77582549926581224</v>
      </c>
      <c r="KD9" s="438">
        <v>34</v>
      </c>
      <c r="KE9" s="438">
        <v>33</v>
      </c>
      <c r="KF9" s="384">
        <v>23.5</v>
      </c>
      <c r="KG9" s="104">
        <v>0.308</v>
      </c>
      <c r="KH9" s="19">
        <v>0.84947089947089938</v>
      </c>
      <c r="KI9" s="19">
        <v>0.15052910052910054</v>
      </c>
      <c r="KJ9" s="19">
        <v>8.5202569718038565E-2</v>
      </c>
      <c r="KK9" s="19">
        <v>0.21470101193978974</v>
      </c>
      <c r="KL9" s="19">
        <v>0.87645502645502649</v>
      </c>
      <c r="KM9" s="19">
        <v>0.12354497354497355</v>
      </c>
      <c r="KN9" s="19">
        <v>7.1039064247299846E-2</v>
      </c>
      <c r="KO9" s="19">
        <v>0.19341659749446916</v>
      </c>
      <c r="KP9" s="19">
        <v>0.8838624338624339</v>
      </c>
      <c r="KQ9" s="19">
        <v>0.11613756613756615</v>
      </c>
      <c r="KR9" s="19">
        <v>7.1039064247299846E-2</v>
      </c>
      <c r="KS9" s="19">
        <v>0.19341659749446916</v>
      </c>
      <c r="KT9" s="19">
        <v>0.71941659704817595</v>
      </c>
      <c r="KU9" s="19">
        <v>0.28058340295182405</v>
      </c>
      <c r="KV9" s="19">
        <v>0.16829549205620981</v>
      </c>
      <c r="KW9" s="104">
        <v>0.3265716491399448</v>
      </c>
      <c r="KX9" s="438">
        <v>2</v>
      </c>
      <c r="KY9" s="438">
        <v>43</v>
      </c>
      <c r="KZ9" s="497">
        <v>4.6511627906976744E-2</v>
      </c>
      <c r="LA9" s="497">
        <v>1.2849260094380229E-2</v>
      </c>
      <c r="LB9" s="497">
        <v>0.15455498004063964</v>
      </c>
      <c r="LC9" s="438">
        <v>1</v>
      </c>
      <c r="LD9" s="438">
        <v>44</v>
      </c>
      <c r="LE9" s="497">
        <v>2.2727272727272728E-2</v>
      </c>
      <c r="LF9" s="497">
        <v>4.0232520600532251E-3</v>
      </c>
      <c r="LG9" s="497">
        <v>0.11807709698213284</v>
      </c>
      <c r="LH9" s="438">
        <v>2</v>
      </c>
      <c r="LI9" s="438">
        <v>43</v>
      </c>
      <c r="LJ9" s="497">
        <v>4.6511627906976744E-2</v>
      </c>
      <c r="LK9" s="497">
        <v>1.2849260094380229E-2</v>
      </c>
      <c r="LL9" s="497">
        <v>0.15455498004063964</v>
      </c>
      <c r="LM9" s="438">
        <v>4</v>
      </c>
      <c r="LN9" s="438">
        <v>43</v>
      </c>
      <c r="LO9" s="497">
        <v>9.3023255813953487E-2</v>
      </c>
      <c r="LP9" s="497">
        <v>3.6771640631712767E-2</v>
      </c>
      <c r="LQ9" s="104">
        <v>0.21602703641253584</v>
      </c>
      <c r="LR9" s="3">
        <v>53</v>
      </c>
      <c r="LS9" s="3">
        <v>51</v>
      </c>
      <c r="LT9" s="3">
        <v>51</v>
      </c>
      <c r="LU9" s="3">
        <v>52</v>
      </c>
      <c r="LV9" s="3">
        <v>51</v>
      </c>
      <c r="LW9" s="3">
        <v>58</v>
      </c>
      <c r="LX9" s="3">
        <v>54</v>
      </c>
      <c r="LY9" s="3">
        <v>56</v>
      </c>
      <c r="LZ9" s="3">
        <v>52</v>
      </c>
      <c r="MA9" s="3">
        <v>55</v>
      </c>
      <c r="MB9" s="3">
        <v>57</v>
      </c>
      <c r="MC9" s="3">
        <v>55</v>
      </c>
      <c r="MD9" s="3">
        <v>56</v>
      </c>
      <c r="ME9" s="3">
        <v>37</v>
      </c>
      <c r="MF9" s="3">
        <v>34</v>
      </c>
      <c r="MG9" s="3">
        <v>33</v>
      </c>
      <c r="MH9" s="3">
        <v>33</v>
      </c>
      <c r="MI9" s="3">
        <v>33</v>
      </c>
      <c r="MJ9" s="3">
        <v>33</v>
      </c>
      <c r="MK9" s="3">
        <v>33</v>
      </c>
      <c r="ML9" s="3">
        <v>35</v>
      </c>
      <c r="MM9" s="3">
        <v>34</v>
      </c>
      <c r="MN9" s="8">
        <v>34</v>
      </c>
      <c r="MO9" s="3">
        <v>134</v>
      </c>
      <c r="MP9" s="24">
        <v>0.97</v>
      </c>
      <c r="MQ9" s="24">
        <v>0</v>
      </c>
      <c r="MR9" s="24">
        <v>0.97</v>
      </c>
      <c r="MS9" s="3">
        <v>130</v>
      </c>
      <c r="MT9" s="3">
        <v>0</v>
      </c>
      <c r="MU9" s="3">
        <v>130</v>
      </c>
      <c r="MV9" s="3">
        <v>158</v>
      </c>
      <c r="MW9" s="24">
        <v>0.98699999999999999</v>
      </c>
      <c r="MX9" s="24">
        <v>0.98099999999999998</v>
      </c>
      <c r="MY9" s="24">
        <v>0.99399999999999999</v>
      </c>
      <c r="MZ9" s="24">
        <v>0.98699999999999999</v>
      </c>
      <c r="NA9" s="24">
        <v>0.97499999999999998</v>
      </c>
      <c r="NB9" s="3">
        <v>156</v>
      </c>
      <c r="NC9" s="3">
        <v>155</v>
      </c>
      <c r="ND9" s="3">
        <v>157</v>
      </c>
      <c r="NE9" s="3">
        <v>156</v>
      </c>
      <c r="NF9" s="3">
        <v>154</v>
      </c>
      <c r="NG9" s="3">
        <v>143</v>
      </c>
      <c r="NH9" s="24">
        <v>0.95799999999999996</v>
      </c>
      <c r="NI9" s="24">
        <v>0.93</v>
      </c>
      <c r="NJ9" s="24">
        <v>0.95799999999999996</v>
      </c>
      <c r="NK9" s="24">
        <v>0.95799999999999996</v>
      </c>
      <c r="NL9" s="24">
        <v>0.96499999999999997</v>
      </c>
      <c r="NM9" s="24">
        <v>0.85299999999999998</v>
      </c>
      <c r="NN9" s="24">
        <v>0.95099999999999996</v>
      </c>
      <c r="NO9" s="24">
        <v>0.93</v>
      </c>
      <c r="NP9" s="24">
        <v>0.97199999999999998</v>
      </c>
      <c r="NQ9" s="24">
        <v>0.91600000000000004</v>
      </c>
      <c r="NR9" s="3">
        <v>137</v>
      </c>
      <c r="NS9" s="3">
        <v>133</v>
      </c>
      <c r="NT9" s="3">
        <v>137</v>
      </c>
      <c r="NU9" s="3">
        <v>137</v>
      </c>
      <c r="NV9" s="3">
        <v>138</v>
      </c>
      <c r="NW9" s="3">
        <v>122</v>
      </c>
      <c r="NX9" s="3">
        <v>136</v>
      </c>
      <c r="NY9" s="3">
        <v>133</v>
      </c>
      <c r="NZ9" s="3">
        <v>139</v>
      </c>
      <c r="OA9" s="8">
        <v>131</v>
      </c>
    </row>
    <row r="10" spans="1:391" s="3" customFormat="1" ht="12.75" x14ac:dyDescent="0.2">
      <c r="A10" s="11" t="s">
        <v>37</v>
      </c>
      <c r="B10" s="8">
        <v>5</v>
      </c>
      <c r="C10" s="11" t="s">
        <v>152</v>
      </c>
      <c r="D10" s="11" t="s">
        <v>153</v>
      </c>
      <c r="E10" s="11" t="s">
        <v>287</v>
      </c>
      <c r="F10" s="11" t="s">
        <v>287</v>
      </c>
      <c r="G10" s="11" t="s">
        <v>154</v>
      </c>
      <c r="H10" s="11" t="s">
        <v>75</v>
      </c>
      <c r="I10" s="11" t="s">
        <v>83</v>
      </c>
      <c r="J10" s="11" t="s">
        <v>269</v>
      </c>
      <c r="K10" s="11" t="s">
        <v>371</v>
      </c>
      <c r="L10" s="11" t="s">
        <v>272</v>
      </c>
      <c r="M10" s="11" t="s">
        <v>903</v>
      </c>
      <c r="N10" s="3" t="s">
        <v>402</v>
      </c>
      <c r="O10" s="11">
        <v>506734</v>
      </c>
      <c r="P10" s="11">
        <v>104386</v>
      </c>
      <c r="Q10" s="128">
        <v>20092</v>
      </c>
      <c r="R10" s="128">
        <v>80206</v>
      </c>
      <c r="S10" s="400" t="s">
        <v>817</v>
      </c>
      <c r="T10" s="38">
        <v>17065</v>
      </c>
      <c r="U10" s="39">
        <v>17415</v>
      </c>
      <c r="V10" s="39">
        <v>17650</v>
      </c>
      <c r="W10" s="39">
        <v>17770</v>
      </c>
      <c r="X10" s="39">
        <v>17725</v>
      </c>
      <c r="Y10" s="39">
        <v>17835</v>
      </c>
      <c r="Z10" s="39">
        <v>17855</v>
      </c>
      <c r="AA10" s="39">
        <v>18075</v>
      </c>
      <c r="AB10" s="39">
        <v>18165</v>
      </c>
      <c r="AC10" s="44">
        <v>18358</v>
      </c>
      <c r="AD10" s="38">
        <v>1025</v>
      </c>
      <c r="AE10" s="39">
        <v>1040</v>
      </c>
      <c r="AF10" s="39">
        <v>1025</v>
      </c>
      <c r="AG10" s="39">
        <v>1030</v>
      </c>
      <c r="AH10" s="39">
        <v>1005</v>
      </c>
      <c r="AI10" s="39">
        <v>1010</v>
      </c>
      <c r="AJ10" s="39">
        <v>990</v>
      </c>
      <c r="AK10" s="39">
        <v>1020</v>
      </c>
      <c r="AL10" s="39">
        <v>1020</v>
      </c>
      <c r="AM10" s="44">
        <v>1041</v>
      </c>
      <c r="AN10" s="15">
        <v>982</v>
      </c>
      <c r="AO10" s="3">
        <v>912</v>
      </c>
      <c r="AP10" s="3">
        <v>27</v>
      </c>
      <c r="AQ10" s="3">
        <v>34</v>
      </c>
      <c r="AR10" s="3">
        <v>8</v>
      </c>
      <c r="AS10" s="3">
        <v>1</v>
      </c>
      <c r="AT10" s="3">
        <v>0</v>
      </c>
      <c r="AU10" s="11">
        <v>70</v>
      </c>
      <c r="AV10" s="18">
        <v>0.92871690427698572</v>
      </c>
      <c r="AW10" s="19">
        <v>2.7494908350305498E-2</v>
      </c>
      <c r="AX10" s="19">
        <v>3.4623217922606926E-2</v>
      </c>
      <c r="AY10" s="19">
        <v>8.1466395112016286E-3</v>
      </c>
      <c r="AZ10" s="19">
        <v>1.0183299389002036E-3</v>
      </c>
      <c r="BA10" s="19">
        <v>0</v>
      </c>
      <c r="BB10" s="20">
        <v>7.1283095723014278E-2</v>
      </c>
      <c r="BC10" s="15">
        <v>2763</v>
      </c>
      <c r="BD10" s="3">
        <v>2742</v>
      </c>
      <c r="BE10" s="3">
        <v>21</v>
      </c>
      <c r="BF10" s="3">
        <v>15</v>
      </c>
      <c r="BG10" s="3">
        <v>6</v>
      </c>
      <c r="BH10" s="19">
        <v>0.7142857142857143</v>
      </c>
      <c r="BI10" s="20">
        <v>0.2857142857142857</v>
      </c>
      <c r="BJ10" s="15">
        <v>2024</v>
      </c>
      <c r="BK10" s="19">
        <v>0.68083003952569165</v>
      </c>
      <c r="BL10" s="19">
        <v>9.3379446640316208E-2</v>
      </c>
      <c r="BM10" s="20">
        <v>0.2257905138339921</v>
      </c>
      <c r="BN10" s="38">
        <v>5406</v>
      </c>
      <c r="BO10" s="39">
        <v>308</v>
      </c>
      <c r="BP10" s="39">
        <v>333</v>
      </c>
      <c r="BQ10" s="39">
        <v>133</v>
      </c>
      <c r="BR10" s="39">
        <v>3804</v>
      </c>
      <c r="BS10" s="39">
        <v>2175</v>
      </c>
      <c r="BT10" s="20">
        <v>0.13333333333333333</v>
      </c>
      <c r="BU10" s="38">
        <v>1276</v>
      </c>
      <c r="BV10" s="39">
        <v>1</v>
      </c>
      <c r="BW10" s="39">
        <v>284</v>
      </c>
      <c r="BX10" s="39">
        <v>480</v>
      </c>
      <c r="BY10" s="39">
        <v>148</v>
      </c>
      <c r="BZ10" s="40">
        <v>2189</v>
      </c>
      <c r="CA10" s="39">
        <v>779</v>
      </c>
      <c r="CB10" s="39">
        <v>654</v>
      </c>
      <c r="CC10" s="39">
        <v>123</v>
      </c>
      <c r="CD10" s="39">
        <v>125</v>
      </c>
      <c r="CE10" s="19">
        <v>0.15789473684210525</v>
      </c>
      <c r="CF10" s="104">
        <v>0.16046213093709885</v>
      </c>
      <c r="CG10" s="39">
        <v>115</v>
      </c>
      <c r="CH10" s="39">
        <v>95</v>
      </c>
      <c r="CI10" s="39">
        <v>75</v>
      </c>
      <c r="CJ10" s="39">
        <v>75</v>
      </c>
      <c r="CK10" s="44">
        <v>70</v>
      </c>
      <c r="CL10" s="38">
        <v>480</v>
      </c>
      <c r="CM10" s="39">
        <v>144</v>
      </c>
      <c r="CN10" s="19">
        <v>0.3</v>
      </c>
      <c r="CO10" s="40">
        <v>46</v>
      </c>
      <c r="CP10" s="39">
        <v>183</v>
      </c>
      <c r="CQ10" s="39">
        <v>179</v>
      </c>
      <c r="CR10" s="39">
        <v>203</v>
      </c>
      <c r="CS10" s="39">
        <v>195</v>
      </c>
      <c r="CT10" s="39">
        <v>163</v>
      </c>
      <c r="CU10" s="124" t="s">
        <v>474</v>
      </c>
      <c r="CV10" s="39">
        <v>7</v>
      </c>
      <c r="CW10" s="39">
        <v>4</v>
      </c>
      <c r="CX10" s="39">
        <v>12</v>
      </c>
      <c r="CY10" s="39">
        <v>8</v>
      </c>
      <c r="CZ10" s="39">
        <v>6</v>
      </c>
      <c r="DA10" s="120" t="s">
        <v>474</v>
      </c>
      <c r="DB10" s="15">
        <v>13</v>
      </c>
      <c r="DC10" s="15">
        <v>11</v>
      </c>
      <c r="DD10" s="19">
        <v>6.7484662576687116E-2</v>
      </c>
      <c r="DE10" s="19">
        <v>3.8096986536392215E-2</v>
      </c>
      <c r="DF10" s="20">
        <v>0.1167893289115334</v>
      </c>
      <c r="DG10" s="15">
        <v>19</v>
      </c>
      <c r="DH10" s="20">
        <v>1.9348268839103868E-2</v>
      </c>
      <c r="DI10" s="423">
        <v>5</v>
      </c>
      <c r="DJ10" s="428">
        <v>5</v>
      </c>
      <c r="DK10" s="3">
        <v>230</v>
      </c>
      <c r="DL10" s="20">
        <v>3.0006523157208087E-2</v>
      </c>
      <c r="DM10" s="15">
        <v>140</v>
      </c>
      <c r="DN10" s="3">
        <v>115</v>
      </c>
      <c r="DO10" s="3">
        <v>130</v>
      </c>
      <c r="DP10" s="3">
        <v>145</v>
      </c>
      <c r="DQ10" s="11">
        <v>110</v>
      </c>
      <c r="DR10" s="15">
        <v>125</v>
      </c>
      <c r="DS10" s="19">
        <v>0.12376237623762376</v>
      </c>
      <c r="DT10" s="19">
        <v>0.10486719883753579</v>
      </c>
      <c r="DU10" s="19">
        <v>0.14550869239496902</v>
      </c>
      <c r="DV10" s="3">
        <v>120</v>
      </c>
      <c r="DW10" s="19">
        <v>0.12182741116751269</v>
      </c>
      <c r="DX10" s="19">
        <v>0.1028569598232156</v>
      </c>
      <c r="DY10" s="19">
        <v>0.14373611801102368</v>
      </c>
      <c r="DZ10" s="3">
        <v>130</v>
      </c>
      <c r="EA10" s="19">
        <v>0.1326530612244898</v>
      </c>
      <c r="EB10" s="19">
        <v>0.11284355972000057</v>
      </c>
      <c r="EC10" s="19">
        <v>0.15533121219594839</v>
      </c>
      <c r="ED10" s="3">
        <v>125</v>
      </c>
      <c r="EE10" s="19">
        <v>0.12886597938144329</v>
      </c>
      <c r="EF10" s="19">
        <v>0.10923572334279229</v>
      </c>
      <c r="EG10" s="19">
        <v>0.15142421932189148</v>
      </c>
      <c r="EH10" s="3">
        <v>135</v>
      </c>
      <c r="EI10" s="20">
        <v>0.13775510204081631</v>
      </c>
      <c r="EJ10" s="20">
        <v>0.11758762126776107</v>
      </c>
      <c r="EK10" s="20">
        <v>0.16075138992713303</v>
      </c>
      <c r="EL10" s="438">
        <v>130</v>
      </c>
      <c r="EM10" s="20">
        <v>0.13333333333333333</v>
      </c>
      <c r="EN10" s="20">
        <v>0.11342827796070107</v>
      </c>
      <c r="EO10" s="104">
        <v>0.15611635201295135</v>
      </c>
      <c r="EP10" s="38">
        <v>440</v>
      </c>
      <c r="EQ10" s="20">
        <v>0.12960235640648013</v>
      </c>
      <c r="ER10" s="44">
        <v>435</v>
      </c>
      <c r="ES10" s="20">
        <v>0.13004484304932734</v>
      </c>
      <c r="ET10" s="44">
        <v>470</v>
      </c>
      <c r="EU10" s="20">
        <v>0.14135338345864662</v>
      </c>
      <c r="EV10" s="44">
        <v>410</v>
      </c>
      <c r="EW10" s="20">
        <v>0.12330827067669173</v>
      </c>
      <c r="EX10" s="44">
        <v>395</v>
      </c>
      <c r="EY10" s="20">
        <v>0.11791044776119403</v>
      </c>
      <c r="EZ10" s="44">
        <v>345</v>
      </c>
      <c r="FA10" s="104">
        <v>0.10375939849624061</v>
      </c>
      <c r="FB10" s="3">
        <v>191</v>
      </c>
      <c r="FC10" s="3">
        <v>4</v>
      </c>
      <c r="FD10" s="3">
        <v>187</v>
      </c>
      <c r="FE10" s="19">
        <v>0.97905759162303663</v>
      </c>
      <c r="FF10" s="3">
        <v>84</v>
      </c>
      <c r="FG10" s="3">
        <v>99</v>
      </c>
      <c r="FH10" s="19">
        <v>0.44919786096256686</v>
      </c>
      <c r="FI10" s="19">
        <v>0.52941176470588236</v>
      </c>
      <c r="FJ10" s="19">
        <v>0.37964047544544022</v>
      </c>
      <c r="FK10" s="19">
        <v>0.52080051855167575</v>
      </c>
      <c r="FL10" s="19">
        <v>0.458000343620654</v>
      </c>
      <c r="FM10" s="104">
        <v>0.59963908090733153</v>
      </c>
      <c r="FN10" s="438">
        <v>159</v>
      </c>
      <c r="FO10" s="438">
        <v>61</v>
      </c>
      <c r="FP10" s="438">
        <v>19</v>
      </c>
      <c r="FQ10" s="438">
        <v>80</v>
      </c>
      <c r="FR10" s="497">
        <v>0.38364779874213839</v>
      </c>
      <c r="FS10" s="497">
        <v>0.50314465408805031</v>
      </c>
      <c r="FT10" s="497">
        <v>0.31165490612038382</v>
      </c>
      <c r="FU10" s="497">
        <v>0.46113022938530485</v>
      </c>
      <c r="FV10" s="497">
        <v>0.42627648407830598</v>
      </c>
      <c r="FW10" s="104">
        <v>0.57986445820532406</v>
      </c>
      <c r="FX10" s="438">
        <v>139</v>
      </c>
      <c r="FY10" s="438">
        <v>19</v>
      </c>
      <c r="FZ10" s="438">
        <v>120</v>
      </c>
      <c r="GA10" s="497">
        <v>0.86330935251798557</v>
      </c>
      <c r="GB10" s="438">
        <v>47</v>
      </c>
      <c r="GC10" s="438">
        <v>19</v>
      </c>
      <c r="GD10" s="438">
        <v>66</v>
      </c>
      <c r="GE10" s="497">
        <v>0.39166666666666666</v>
      </c>
      <c r="GF10" s="497">
        <v>0.55000000000000004</v>
      </c>
      <c r="GG10" s="497">
        <v>0.3089919697233256</v>
      </c>
      <c r="GH10" s="497">
        <v>0.48106218300072684</v>
      </c>
      <c r="GI10" s="497">
        <v>0.46081543419687576</v>
      </c>
      <c r="GJ10" s="104">
        <v>0.6360826491612539</v>
      </c>
      <c r="GK10" s="3">
        <v>161</v>
      </c>
      <c r="GL10" s="3">
        <v>10</v>
      </c>
      <c r="GM10" s="19">
        <v>6.2111801242236024E-2</v>
      </c>
      <c r="GN10" s="19">
        <v>3.4084412068514494E-2</v>
      </c>
      <c r="GO10" s="19">
        <v>0.11054824886072183</v>
      </c>
      <c r="GP10" s="353" t="s">
        <v>725</v>
      </c>
      <c r="GQ10" s="3">
        <v>163</v>
      </c>
      <c r="GR10" s="3">
        <v>9</v>
      </c>
      <c r="GS10" s="19">
        <v>5.5214723926380369E-2</v>
      </c>
      <c r="GT10" s="19">
        <v>2.9317368755345873E-2</v>
      </c>
      <c r="GU10" s="19">
        <v>0.10159409039323013</v>
      </c>
      <c r="GV10" s="3" t="s">
        <v>725</v>
      </c>
      <c r="GW10" s="3">
        <v>130</v>
      </c>
      <c r="GX10" s="3">
        <v>9</v>
      </c>
      <c r="GY10" s="19">
        <v>6.9230769230769235E-2</v>
      </c>
      <c r="GZ10" s="19">
        <v>3.6847119144994243E-2</v>
      </c>
      <c r="HA10" s="19">
        <v>0.12634191819174664</v>
      </c>
      <c r="HB10" s="3" t="s">
        <v>725</v>
      </c>
      <c r="HC10" s="3">
        <v>165</v>
      </c>
      <c r="HD10" s="3">
        <v>16</v>
      </c>
      <c r="HE10" s="19">
        <v>9.696969696969697E-2</v>
      </c>
      <c r="HF10" s="19">
        <v>6.0572005169180751E-2</v>
      </c>
      <c r="HG10" s="19">
        <v>0.15170677440922217</v>
      </c>
      <c r="HH10" s="3" t="s">
        <v>725</v>
      </c>
      <c r="HI10" s="3">
        <v>117</v>
      </c>
      <c r="HJ10" s="3">
        <v>12</v>
      </c>
      <c r="HK10" s="19">
        <v>0.10256410256410256</v>
      </c>
      <c r="HL10" s="19">
        <v>5.9649622027734467E-2</v>
      </c>
      <c r="HM10" s="19">
        <v>0.17074695785802793</v>
      </c>
      <c r="HN10" s="11" t="s">
        <v>725</v>
      </c>
      <c r="HO10" s="11">
        <v>194</v>
      </c>
      <c r="HP10" s="11">
        <v>23</v>
      </c>
      <c r="HQ10" s="497">
        <v>0.11855670103092783</v>
      </c>
      <c r="HR10" s="497">
        <v>8.0312981203821396E-2</v>
      </c>
      <c r="HS10" s="497">
        <v>0.17161327893291761</v>
      </c>
      <c r="HT10" s="8" t="str">
        <f t="shared" si="0"/>
        <v>No Sig diff</v>
      </c>
      <c r="HU10" s="3">
        <v>174</v>
      </c>
      <c r="HV10" s="3">
        <v>26</v>
      </c>
      <c r="HW10" s="19">
        <v>0.14942528735632185</v>
      </c>
      <c r="HX10" s="19">
        <v>0.10405726954201303</v>
      </c>
      <c r="HY10" s="19">
        <v>0.20993846121160956</v>
      </c>
      <c r="HZ10" s="3" t="s">
        <v>725</v>
      </c>
      <c r="IA10" s="3">
        <v>171</v>
      </c>
      <c r="IB10" s="3">
        <v>30</v>
      </c>
      <c r="IC10" s="19">
        <v>0.17543859649122806</v>
      </c>
      <c r="ID10" s="19">
        <v>0.12574362675464065</v>
      </c>
      <c r="IE10" s="19">
        <v>0.23939550701434556</v>
      </c>
      <c r="IF10" s="3" t="s">
        <v>725</v>
      </c>
      <c r="IG10" s="3">
        <v>191</v>
      </c>
      <c r="IH10" s="3">
        <v>35</v>
      </c>
      <c r="II10" s="19">
        <v>0.18324607329842932</v>
      </c>
      <c r="IJ10" s="19">
        <v>0.13481200656779935</v>
      </c>
      <c r="IK10" s="19">
        <v>0.24417026582756324</v>
      </c>
      <c r="IL10" s="3" t="s">
        <v>725</v>
      </c>
      <c r="IM10" s="3">
        <v>186</v>
      </c>
      <c r="IN10" s="3">
        <v>18</v>
      </c>
      <c r="IO10" s="19">
        <v>9.6774193548387094E-2</v>
      </c>
      <c r="IP10" s="19">
        <v>6.2093076397520854E-2</v>
      </c>
      <c r="IQ10" s="19">
        <v>0.14777393088419472</v>
      </c>
      <c r="IR10" s="3" t="s">
        <v>726</v>
      </c>
      <c r="IS10" s="3">
        <v>188</v>
      </c>
      <c r="IT10" s="3">
        <v>36</v>
      </c>
      <c r="IU10" s="19">
        <v>0.19148936170212766</v>
      </c>
      <c r="IV10" s="19">
        <v>0.14164627861962834</v>
      </c>
      <c r="IW10" s="19">
        <v>0.25368776067987386</v>
      </c>
      <c r="IX10" s="580" t="s">
        <v>725</v>
      </c>
      <c r="IY10" s="580">
        <v>191</v>
      </c>
      <c r="IZ10" s="580">
        <v>28</v>
      </c>
      <c r="JA10" s="497">
        <v>0.14659685863874344</v>
      </c>
      <c r="JB10" s="497">
        <v>0.10341352463772394</v>
      </c>
      <c r="JC10" s="497">
        <v>0.20371545696040785</v>
      </c>
      <c r="JD10" s="371" t="str">
        <f t="shared" si="1"/>
        <v>Sig better than Eng.</v>
      </c>
      <c r="JE10" s="3">
        <v>180</v>
      </c>
      <c r="JF10" s="3">
        <v>99</v>
      </c>
      <c r="JG10" s="19">
        <v>0.55000000000000004</v>
      </c>
      <c r="JH10" s="19">
        <v>0.4770335504141382</v>
      </c>
      <c r="JI10" s="19">
        <v>0.62087689979370053</v>
      </c>
      <c r="JJ10" s="3">
        <v>180</v>
      </c>
      <c r="JK10" s="3">
        <v>34</v>
      </c>
      <c r="JL10" s="3">
        <v>36</v>
      </c>
      <c r="JM10" s="383">
        <v>25.361111111111111</v>
      </c>
      <c r="JN10" s="19">
        <v>0.25408496732026142</v>
      </c>
      <c r="JO10" s="3">
        <v>219</v>
      </c>
      <c r="JP10" s="3">
        <v>132</v>
      </c>
      <c r="JQ10" s="19">
        <v>0.60273972602739723</v>
      </c>
      <c r="JR10" s="19">
        <v>0.53669727911714793</v>
      </c>
      <c r="JS10" s="19">
        <v>0.66524000956398821</v>
      </c>
      <c r="JT10" s="3">
        <v>219</v>
      </c>
      <c r="JU10" s="3">
        <v>34</v>
      </c>
      <c r="JV10" s="3">
        <v>43</v>
      </c>
      <c r="JW10" s="383">
        <v>24.883720930232553</v>
      </c>
      <c r="JX10" s="20">
        <v>0.26812585499316022</v>
      </c>
      <c r="JY10" s="44">
        <v>219</v>
      </c>
      <c r="JZ10" s="44">
        <v>128</v>
      </c>
      <c r="KA10" s="20">
        <v>0.58447488584474883</v>
      </c>
      <c r="KB10" s="20">
        <v>0.51829819927284948</v>
      </c>
      <c r="KC10" s="20">
        <v>0.6477391269760846</v>
      </c>
      <c r="KD10" s="438">
        <v>34</v>
      </c>
      <c r="KE10" s="438">
        <v>43</v>
      </c>
      <c r="KF10" s="384">
        <v>21.5</v>
      </c>
      <c r="KG10" s="104">
        <v>0.36699999999999999</v>
      </c>
      <c r="KH10" s="19">
        <v>0.9612962962962962</v>
      </c>
      <c r="KI10" s="19">
        <v>3.8703703703703699E-2</v>
      </c>
      <c r="KJ10" s="19">
        <v>1.9930699774880899E-2</v>
      </c>
      <c r="KK10" s="19">
        <v>9.0972566500489863E-2</v>
      </c>
      <c r="KL10" s="19">
        <v>0.95129629629629631</v>
      </c>
      <c r="KM10" s="19">
        <v>4.8703703703703707E-2</v>
      </c>
      <c r="KN10" s="19">
        <v>1.9930699774880899E-2</v>
      </c>
      <c r="KO10" s="19">
        <v>9.0972566500489863E-2</v>
      </c>
      <c r="KP10" s="19">
        <v>0.95759259259259255</v>
      </c>
      <c r="KQ10" s="19">
        <v>4.2407407407407408E-2</v>
      </c>
      <c r="KR10" s="19">
        <v>2.4605238882088657E-2</v>
      </c>
      <c r="KS10" s="19">
        <v>0.1002995507590243</v>
      </c>
      <c r="KT10" s="19">
        <v>0.86300158175158193</v>
      </c>
      <c r="KU10" s="19">
        <v>0.13699841824841824</v>
      </c>
      <c r="KV10" s="19">
        <v>9.0616305858033777E-2</v>
      </c>
      <c r="KW10" s="104">
        <v>0.2064663742592043</v>
      </c>
      <c r="KX10" s="438">
        <v>8</v>
      </c>
      <c r="KY10" s="438">
        <v>90</v>
      </c>
      <c r="KZ10" s="497">
        <v>8.8888888888888892E-2</v>
      </c>
      <c r="LA10" s="497">
        <v>4.5730492536794481E-2</v>
      </c>
      <c r="LB10" s="497">
        <v>0.16570546626054083</v>
      </c>
      <c r="LC10" s="438">
        <v>8</v>
      </c>
      <c r="LD10" s="438">
        <v>90</v>
      </c>
      <c r="LE10" s="497">
        <v>8.8888888888888892E-2</v>
      </c>
      <c r="LF10" s="497">
        <v>4.5730492536794481E-2</v>
      </c>
      <c r="LG10" s="497">
        <v>0.16570546626054083</v>
      </c>
      <c r="LH10" s="438">
        <v>9</v>
      </c>
      <c r="LI10" s="438">
        <v>90</v>
      </c>
      <c r="LJ10" s="497">
        <v>0.1</v>
      </c>
      <c r="LK10" s="497">
        <v>5.3506751697124912E-2</v>
      </c>
      <c r="LL10" s="497">
        <v>0.17924174875433646</v>
      </c>
      <c r="LM10" s="438">
        <v>14</v>
      </c>
      <c r="LN10" s="438">
        <v>90</v>
      </c>
      <c r="LO10" s="497">
        <v>0.15555555555555556</v>
      </c>
      <c r="LP10" s="497">
        <v>9.4982755949108141E-2</v>
      </c>
      <c r="LQ10" s="104">
        <v>0.2443284527729836</v>
      </c>
      <c r="LR10" s="3">
        <v>59</v>
      </c>
      <c r="LS10" s="3">
        <v>55</v>
      </c>
      <c r="LT10" s="3">
        <v>55</v>
      </c>
      <c r="LU10" s="3">
        <v>58</v>
      </c>
      <c r="LV10" s="3">
        <v>55</v>
      </c>
      <c r="LW10" s="3">
        <v>56</v>
      </c>
      <c r="LX10" s="3">
        <v>53</v>
      </c>
      <c r="LY10" s="3">
        <v>55</v>
      </c>
      <c r="LZ10" s="3">
        <v>53</v>
      </c>
      <c r="MA10" s="3">
        <v>55</v>
      </c>
      <c r="MB10" s="3">
        <v>55</v>
      </c>
      <c r="MC10" s="3">
        <v>51</v>
      </c>
      <c r="MD10" s="3">
        <v>55</v>
      </c>
      <c r="ME10" s="3">
        <v>56</v>
      </c>
      <c r="MF10" s="3">
        <v>56</v>
      </c>
      <c r="MG10" s="3">
        <v>55</v>
      </c>
      <c r="MH10" s="3">
        <v>54</v>
      </c>
      <c r="MI10" s="3">
        <v>56</v>
      </c>
      <c r="MJ10" s="3">
        <v>56</v>
      </c>
      <c r="MK10" s="3">
        <v>55</v>
      </c>
      <c r="ML10" s="3">
        <v>56</v>
      </c>
      <c r="MM10" s="3">
        <v>55</v>
      </c>
      <c r="MN10" s="8">
        <v>56</v>
      </c>
      <c r="MO10" s="3">
        <v>136</v>
      </c>
      <c r="MP10" s="24">
        <v>0.95599999999999996</v>
      </c>
      <c r="MQ10" s="24">
        <v>2.1999999999999999E-2</v>
      </c>
      <c r="MR10" s="24">
        <v>0.95599999999999996</v>
      </c>
      <c r="MS10" s="3">
        <v>130</v>
      </c>
      <c r="MT10" s="3">
        <v>3</v>
      </c>
      <c r="MU10" s="3">
        <v>130</v>
      </c>
      <c r="MV10" s="3">
        <v>169</v>
      </c>
      <c r="MW10" s="24">
        <v>0.97599999999999998</v>
      </c>
      <c r="MX10" s="24">
        <v>0.95299999999999996</v>
      </c>
      <c r="MY10" s="24">
        <v>0.94699999999999995</v>
      </c>
      <c r="MZ10" s="24">
        <v>0.96399999999999997</v>
      </c>
      <c r="NA10" s="24">
        <v>0.96399999999999997</v>
      </c>
      <c r="NB10" s="3">
        <v>165</v>
      </c>
      <c r="NC10" s="3">
        <v>161</v>
      </c>
      <c r="ND10" s="3">
        <v>160</v>
      </c>
      <c r="NE10" s="3">
        <v>163</v>
      </c>
      <c r="NF10" s="3">
        <v>163</v>
      </c>
      <c r="NG10" s="3">
        <v>162</v>
      </c>
      <c r="NH10" s="24">
        <v>0.98099999999999998</v>
      </c>
      <c r="NI10" s="24">
        <v>0.92</v>
      </c>
      <c r="NJ10" s="24">
        <v>0.98099999999999998</v>
      </c>
      <c r="NK10" s="24">
        <v>0.98099999999999998</v>
      </c>
      <c r="NL10" s="24">
        <v>0.98799999999999999</v>
      </c>
      <c r="NM10" s="24">
        <v>0.92600000000000005</v>
      </c>
      <c r="NN10" s="24">
        <v>0.93799999999999994</v>
      </c>
      <c r="NO10" s="24">
        <v>0.91400000000000003</v>
      </c>
      <c r="NP10" s="24">
        <v>0.98799999999999999</v>
      </c>
      <c r="NQ10" s="24">
        <v>0.93799999999999994</v>
      </c>
      <c r="NR10" s="3">
        <v>159</v>
      </c>
      <c r="NS10" s="3">
        <v>149</v>
      </c>
      <c r="NT10" s="3">
        <v>159</v>
      </c>
      <c r="NU10" s="3">
        <v>159</v>
      </c>
      <c r="NV10" s="3">
        <v>160</v>
      </c>
      <c r="NW10" s="3">
        <v>150</v>
      </c>
      <c r="NX10" s="3">
        <v>152</v>
      </c>
      <c r="NY10" s="3">
        <v>148</v>
      </c>
      <c r="NZ10" s="3">
        <v>160</v>
      </c>
      <c r="OA10" s="8">
        <v>152</v>
      </c>
    </row>
    <row r="11" spans="1:391" s="3" customFormat="1" ht="13.5" customHeight="1" x14ac:dyDescent="0.2">
      <c r="A11" s="11" t="s">
        <v>38</v>
      </c>
      <c r="B11" s="8">
        <v>6</v>
      </c>
      <c r="C11" s="11" t="s">
        <v>155</v>
      </c>
      <c r="D11" s="11" t="s">
        <v>156</v>
      </c>
      <c r="E11" s="11" t="s">
        <v>287</v>
      </c>
      <c r="F11" s="11" t="s">
        <v>287</v>
      </c>
      <c r="G11" s="11" t="s">
        <v>157</v>
      </c>
      <c r="H11" s="11" t="s">
        <v>75</v>
      </c>
      <c r="I11" s="11" t="s">
        <v>83</v>
      </c>
      <c r="J11" s="11" t="s">
        <v>269</v>
      </c>
      <c r="K11" s="11" t="s">
        <v>370</v>
      </c>
      <c r="L11" s="11" t="s">
        <v>272</v>
      </c>
      <c r="M11" s="11" t="s">
        <v>904</v>
      </c>
      <c r="N11" s="3" t="s">
        <v>403</v>
      </c>
      <c r="O11" s="11">
        <v>507031</v>
      </c>
      <c r="P11" s="11">
        <v>102448</v>
      </c>
      <c r="Q11" s="128">
        <v>21034</v>
      </c>
      <c r="R11" s="128">
        <v>80206</v>
      </c>
      <c r="S11" s="400" t="s">
        <v>817</v>
      </c>
      <c r="T11" s="38">
        <v>18325</v>
      </c>
      <c r="U11" s="39">
        <v>18400</v>
      </c>
      <c r="V11" s="39">
        <v>18435</v>
      </c>
      <c r="W11" s="39">
        <v>18385</v>
      </c>
      <c r="X11" s="39">
        <v>18475</v>
      </c>
      <c r="Y11" s="39">
        <v>18365</v>
      </c>
      <c r="Z11" s="39">
        <v>18420</v>
      </c>
      <c r="AA11" s="39">
        <v>18370</v>
      </c>
      <c r="AB11" s="39">
        <v>18475</v>
      </c>
      <c r="AC11" s="44">
        <v>18481</v>
      </c>
      <c r="AD11" s="38">
        <v>680</v>
      </c>
      <c r="AE11" s="39">
        <v>700</v>
      </c>
      <c r="AF11" s="39">
        <v>690</v>
      </c>
      <c r="AG11" s="39">
        <v>665</v>
      </c>
      <c r="AH11" s="39">
        <v>665</v>
      </c>
      <c r="AI11" s="39">
        <v>630</v>
      </c>
      <c r="AJ11" s="39">
        <v>625</v>
      </c>
      <c r="AK11" s="39">
        <v>640</v>
      </c>
      <c r="AL11" s="39">
        <v>640</v>
      </c>
      <c r="AM11" s="44">
        <v>633</v>
      </c>
      <c r="AN11" s="15">
        <v>628</v>
      </c>
      <c r="AO11" s="3">
        <v>579</v>
      </c>
      <c r="AP11" s="3">
        <v>23</v>
      </c>
      <c r="AQ11" s="3">
        <v>18</v>
      </c>
      <c r="AR11" s="3">
        <v>5</v>
      </c>
      <c r="AS11" s="3">
        <v>3</v>
      </c>
      <c r="AT11" s="3">
        <v>0</v>
      </c>
      <c r="AU11" s="11">
        <v>49</v>
      </c>
      <c r="AV11" s="18">
        <v>0.92197452229299359</v>
      </c>
      <c r="AW11" s="19">
        <v>3.662420382165605E-2</v>
      </c>
      <c r="AX11" s="19">
        <v>2.8662420382165606E-2</v>
      </c>
      <c r="AY11" s="19">
        <v>7.9617834394904458E-3</v>
      </c>
      <c r="AZ11" s="19">
        <v>4.7770700636942673E-3</v>
      </c>
      <c r="BA11" s="19">
        <v>0</v>
      </c>
      <c r="BB11" s="20">
        <v>7.8025477707006408E-2</v>
      </c>
      <c r="BC11" s="15">
        <v>1891</v>
      </c>
      <c r="BD11" s="3">
        <v>1871</v>
      </c>
      <c r="BE11" s="3">
        <v>20</v>
      </c>
      <c r="BF11" s="3">
        <v>17</v>
      </c>
      <c r="BG11" s="3">
        <v>3</v>
      </c>
      <c r="BH11" s="19">
        <v>0.85</v>
      </c>
      <c r="BI11" s="20">
        <v>0.15</v>
      </c>
      <c r="BJ11" s="15">
        <v>1305</v>
      </c>
      <c r="BK11" s="19">
        <v>0.70574712643678161</v>
      </c>
      <c r="BL11" s="19">
        <v>8.2758620689655171E-2</v>
      </c>
      <c r="BM11" s="20">
        <v>0.21149425287356322</v>
      </c>
      <c r="BN11" s="38">
        <v>5666</v>
      </c>
      <c r="BO11" s="39">
        <v>215</v>
      </c>
      <c r="BP11" s="39">
        <v>210</v>
      </c>
      <c r="BQ11" s="39">
        <v>80</v>
      </c>
      <c r="BR11" s="39">
        <v>2647</v>
      </c>
      <c r="BS11" s="39">
        <v>1518</v>
      </c>
      <c r="BT11" s="20">
        <v>0.13372859025032938</v>
      </c>
      <c r="BU11" s="38">
        <v>917</v>
      </c>
      <c r="BV11" s="39">
        <v>0</v>
      </c>
      <c r="BW11" s="39">
        <v>193</v>
      </c>
      <c r="BX11" s="39">
        <v>305</v>
      </c>
      <c r="BY11" s="39">
        <v>105</v>
      </c>
      <c r="BZ11" s="40">
        <v>1520</v>
      </c>
      <c r="CA11" s="39">
        <v>507</v>
      </c>
      <c r="CB11" s="39">
        <v>425</v>
      </c>
      <c r="CC11" s="39">
        <v>82</v>
      </c>
      <c r="CD11" s="39">
        <v>82</v>
      </c>
      <c r="CE11" s="19">
        <v>0.16173570019723865</v>
      </c>
      <c r="CF11" s="104">
        <v>0.16173570019723865</v>
      </c>
      <c r="CG11" s="39">
        <v>65</v>
      </c>
      <c r="CH11" s="39">
        <v>65</v>
      </c>
      <c r="CI11" s="39">
        <v>60</v>
      </c>
      <c r="CJ11" s="39">
        <v>60</v>
      </c>
      <c r="CK11" s="44">
        <v>55</v>
      </c>
      <c r="CL11" s="38">
        <v>305</v>
      </c>
      <c r="CM11" s="39">
        <v>84</v>
      </c>
      <c r="CN11" s="19">
        <v>0.27540983606557379</v>
      </c>
      <c r="CO11" s="40">
        <v>35</v>
      </c>
      <c r="CP11" s="39">
        <v>115</v>
      </c>
      <c r="CQ11" s="39">
        <v>131</v>
      </c>
      <c r="CR11" s="39">
        <v>143</v>
      </c>
      <c r="CS11" s="39">
        <v>114</v>
      </c>
      <c r="CT11" s="39">
        <v>112</v>
      </c>
      <c r="CU11" s="124" t="s">
        <v>474</v>
      </c>
      <c r="CV11" s="39">
        <v>6</v>
      </c>
      <c r="CW11" s="39">
        <v>7</v>
      </c>
      <c r="CX11" s="39">
        <v>4</v>
      </c>
      <c r="CY11" s="39">
        <v>5</v>
      </c>
      <c r="CZ11" s="39">
        <v>3</v>
      </c>
      <c r="DA11" s="120" t="s">
        <v>474</v>
      </c>
      <c r="DB11" s="15">
        <v>7</v>
      </c>
      <c r="DC11" s="15">
        <v>9</v>
      </c>
      <c r="DD11" s="19">
        <v>8.0357142857142863E-2</v>
      </c>
      <c r="DE11" s="19">
        <v>4.2850577836899766E-2</v>
      </c>
      <c r="DF11" s="20">
        <v>0.14569555273714238</v>
      </c>
      <c r="DG11" s="15">
        <v>17</v>
      </c>
      <c r="DH11" s="20">
        <v>2.7113237639553429E-2</v>
      </c>
      <c r="DI11" s="423">
        <v>6</v>
      </c>
      <c r="DJ11" s="428">
        <v>6</v>
      </c>
      <c r="DK11" s="3">
        <v>225</v>
      </c>
      <c r="DL11" s="20">
        <v>2.5426601875918182E-2</v>
      </c>
      <c r="DM11" s="15">
        <v>85</v>
      </c>
      <c r="DN11" s="3">
        <v>95</v>
      </c>
      <c r="DO11" s="3">
        <v>100</v>
      </c>
      <c r="DP11" s="3">
        <v>75</v>
      </c>
      <c r="DQ11" s="11">
        <v>75</v>
      </c>
      <c r="DR11" s="15">
        <v>75</v>
      </c>
      <c r="DS11" s="19">
        <v>0.12096774193548387</v>
      </c>
      <c r="DT11" s="19">
        <v>9.760680774078051E-2</v>
      </c>
      <c r="DU11" s="19">
        <v>0.14899664678357097</v>
      </c>
      <c r="DV11" s="3">
        <v>70</v>
      </c>
      <c r="DW11" s="19">
        <v>0.112</v>
      </c>
      <c r="DX11" s="19">
        <v>8.9607870000130457E-2</v>
      </c>
      <c r="DY11" s="19">
        <v>0.13913254907218875</v>
      </c>
      <c r="DZ11" s="3">
        <v>75</v>
      </c>
      <c r="EA11" s="19">
        <v>0.125</v>
      </c>
      <c r="EB11" s="19">
        <v>0.10089974887356178</v>
      </c>
      <c r="EC11" s="19">
        <v>0.15387152688671377</v>
      </c>
      <c r="ED11" s="3">
        <v>85</v>
      </c>
      <c r="EE11" s="19">
        <v>0.13600000000000001</v>
      </c>
      <c r="EF11" s="19">
        <v>0.11133956335384002</v>
      </c>
      <c r="EG11" s="19">
        <v>0.1651076339201914</v>
      </c>
      <c r="EH11" s="3">
        <v>95</v>
      </c>
      <c r="EI11" s="20">
        <v>0.14393939393939395</v>
      </c>
      <c r="EJ11" s="20">
        <v>0.11921756644319204</v>
      </c>
      <c r="EK11" s="20">
        <v>0.17278206124660458</v>
      </c>
      <c r="EL11" s="438">
        <v>75</v>
      </c>
      <c r="EM11" s="20">
        <v>0.12605042016806722</v>
      </c>
      <c r="EN11" s="20">
        <v>0.1017580109145233</v>
      </c>
      <c r="EO11" s="104">
        <v>0.15514046622775074</v>
      </c>
      <c r="EP11" s="38">
        <v>280</v>
      </c>
      <c r="EQ11" s="20">
        <v>0.11914893617021277</v>
      </c>
      <c r="ER11" s="44">
        <v>275</v>
      </c>
      <c r="ES11" s="20">
        <v>0.11677282377919321</v>
      </c>
      <c r="ET11" s="44">
        <v>230</v>
      </c>
      <c r="EU11" s="20">
        <v>0.10021786492374728</v>
      </c>
      <c r="EV11" s="44">
        <v>265</v>
      </c>
      <c r="EW11" s="20">
        <v>0.11422413793103449</v>
      </c>
      <c r="EX11" s="44">
        <v>250</v>
      </c>
      <c r="EY11" s="20">
        <v>0.10845986984815618</v>
      </c>
      <c r="EZ11" s="44">
        <v>210</v>
      </c>
      <c r="FA11" s="104">
        <v>9.375E-2</v>
      </c>
      <c r="FB11" s="3">
        <v>115</v>
      </c>
      <c r="FC11" s="3">
        <v>5</v>
      </c>
      <c r="FD11" s="3">
        <v>110</v>
      </c>
      <c r="FE11" s="19">
        <v>0.95652173913043481</v>
      </c>
      <c r="FF11" s="3">
        <v>36</v>
      </c>
      <c r="FG11" s="3">
        <v>49</v>
      </c>
      <c r="FH11" s="19">
        <v>0.32727272727272727</v>
      </c>
      <c r="FI11" s="19">
        <v>0.44545454545454544</v>
      </c>
      <c r="FJ11" s="19">
        <v>0.24670999220537851</v>
      </c>
      <c r="FK11" s="19">
        <v>0.41949287212541092</v>
      </c>
      <c r="FL11" s="19">
        <v>0.35597557115906309</v>
      </c>
      <c r="FM11" s="104">
        <v>0.53861480705065989</v>
      </c>
      <c r="FN11" s="438">
        <v>100</v>
      </c>
      <c r="FO11" s="438">
        <v>42</v>
      </c>
      <c r="FP11" s="438">
        <v>8</v>
      </c>
      <c r="FQ11" s="438">
        <v>50</v>
      </c>
      <c r="FR11" s="497">
        <v>0.42</v>
      </c>
      <c r="FS11" s="497">
        <v>0.5</v>
      </c>
      <c r="FT11" s="497">
        <v>0.32798382674354737</v>
      </c>
      <c r="FU11" s="497">
        <v>0.51793513296957039</v>
      </c>
      <c r="FV11" s="497">
        <v>0.40383153036599567</v>
      </c>
      <c r="FW11" s="104">
        <v>0.59616846963400427</v>
      </c>
      <c r="FX11" s="438">
        <v>229</v>
      </c>
      <c r="FY11" s="438">
        <v>15</v>
      </c>
      <c r="FZ11" s="438">
        <v>214</v>
      </c>
      <c r="GA11" s="497">
        <v>0.93449781659388642</v>
      </c>
      <c r="GB11" s="438">
        <v>74</v>
      </c>
      <c r="GC11" s="438">
        <v>16</v>
      </c>
      <c r="GD11" s="438">
        <v>90</v>
      </c>
      <c r="GE11" s="497">
        <v>0.34579439252336447</v>
      </c>
      <c r="GF11" s="497">
        <v>0.42056074766355139</v>
      </c>
      <c r="GG11" s="497">
        <v>0.28529491083658753</v>
      </c>
      <c r="GH11" s="497">
        <v>0.4117324577951807</v>
      </c>
      <c r="GI11" s="497">
        <v>0.35639308934657571</v>
      </c>
      <c r="GJ11" s="104">
        <v>0.48753010055463825</v>
      </c>
      <c r="GK11" s="3">
        <v>100</v>
      </c>
      <c r="GL11" s="3">
        <v>5</v>
      </c>
      <c r="GM11" s="19">
        <v>0.05</v>
      </c>
      <c r="GN11" s="19">
        <v>2.1543679154367969E-2</v>
      </c>
      <c r="GO11" s="19">
        <v>0.11175046923191914</v>
      </c>
      <c r="GP11" s="353" t="s">
        <v>725</v>
      </c>
      <c r="GQ11" s="3">
        <v>108</v>
      </c>
      <c r="GR11" s="3">
        <v>11</v>
      </c>
      <c r="GS11" s="19">
        <v>0.10185185185185185</v>
      </c>
      <c r="GT11" s="19">
        <v>5.7829317593360803E-2</v>
      </c>
      <c r="GU11" s="19">
        <v>0.17322506146408276</v>
      </c>
      <c r="GV11" s="3" t="s">
        <v>725</v>
      </c>
      <c r="GW11" s="3">
        <v>83</v>
      </c>
      <c r="GX11" s="3">
        <v>6</v>
      </c>
      <c r="GY11" s="19">
        <v>7.2289156626506021E-2</v>
      </c>
      <c r="GZ11" s="19">
        <v>3.3550295522992796E-2</v>
      </c>
      <c r="HA11" s="19">
        <v>0.14886786091773177</v>
      </c>
      <c r="HB11" s="3" t="s">
        <v>725</v>
      </c>
      <c r="HC11" s="3">
        <v>130</v>
      </c>
      <c r="HD11" s="3">
        <v>10</v>
      </c>
      <c r="HE11" s="19">
        <v>7.6923076923076927E-2</v>
      </c>
      <c r="HF11" s="19">
        <v>4.2317437086078179E-2</v>
      </c>
      <c r="HG11" s="19">
        <v>0.13581465315536376</v>
      </c>
      <c r="HH11" s="3" t="s">
        <v>725</v>
      </c>
      <c r="HI11" s="3">
        <v>81</v>
      </c>
      <c r="HJ11" s="3">
        <v>4</v>
      </c>
      <c r="HK11" s="19">
        <v>4.9382716049382713E-2</v>
      </c>
      <c r="HL11" s="19">
        <v>1.9369305554033843E-2</v>
      </c>
      <c r="HM11" s="19">
        <v>0.12020230230480947</v>
      </c>
      <c r="HN11" s="11" t="s">
        <v>725</v>
      </c>
      <c r="HO11" s="11">
        <v>104</v>
      </c>
      <c r="HP11" s="11">
        <v>5</v>
      </c>
      <c r="HQ11" s="497">
        <v>4.807692307692308E-2</v>
      </c>
      <c r="HR11" s="497">
        <v>2.070804232585223E-2</v>
      </c>
      <c r="HS11" s="497">
        <v>0.10764202797232544</v>
      </c>
      <c r="HT11" s="8" t="str">
        <f t="shared" si="0"/>
        <v>No Sig diff</v>
      </c>
      <c r="HU11" s="3">
        <v>144</v>
      </c>
      <c r="HV11" s="3">
        <v>19</v>
      </c>
      <c r="HW11" s="19">
        <v>0.13194444444444445</v>
      </c>
      <c r="HX11" s="19">
        <v>8.6122870939953716E-2</v>
      </c>
      <c r="HY11" s="19">
        <v>0.19689286195700392</v>
      </c>
      <c r="HZ11" s="3" t="s">
        <v>725</v>
      </c>
      <c r="IA11" s="3">
        <v>139</v>
      </c>
      <c r="IB11" s="3">
        <v>20</v>
      </c>
      <c r="IC11" s="19">
        <v>0.14388489208633093</v>
      </c>
      <c r="ID11" s="19">
        <v>9.5114077729757537E-2</v>
      </c>
      <c r="IE11" s="19">
        <v>0.21180983065546405</v>
      </c>
      <c r="IF11" s="3" t="s">
        <v>725</v>
      </c>
      <c r="IG11" s="3">
        <v>117</v>
      </c>
      <c r="IH11" s="3">
        <v>11</v>
      </c>
      <c r="II11" s="19">
        <v>9.4017094017094016E-2</v>
      </c>
      <c r="IJ11" s="19">
        <v>5.3310461939706823E-2</v>
      </c>
      <c r="IK11" s="19">
        <v>0.16053550676080314</v>
      </c>
      <c r="IL11" s="3" t="s">
        <v>726</v>
      </c>
      <c r="IM11" s="3">
        <v>132</v>
      </c>
      <c r="IN11" s="3">
        <v>16</v>
      </c>
      <c r="IO11" s="19">
        <v>0.12121212121212122</v>
      </c>
      <c r="IP11" s="19">
        <v>7.6004168709792846E-2</v>
      </c>
      <c r="IQ11" s="19">
        <v>0.18784354856188021</v>
      </c>
      <c r="IR11" s="3" t="s">
        <v>726</v>
      </c>
      <c r="IS11" s="3">
        <v>131</v>
      </c>
      <c r="IT11" s="3">
        <v>23</v>
      </c>
      <c r="IU11" s="19">
        <v>0.17557251908396945</v>
      </c>
      <c r="IV11" s="19">
        <v>0.11993766480499095</v>
      </c>
      <c r="IW11" s="19">
        <v>0.24969241229889863</v>
      </c>
      <c r="IX11" s="580" t="s">
        <v>725</v>
      </c>
      <c r="IY11" s="580">
        <v>125</v>
      </c>
      <c r="IZ11" s="580">
        <v>15</v>
      </c>
      <c r="JA11" s="497">
        <v>0.12</v>
      </c>
      <c r="JB11" s="497">
        <v>7.4085888637149294E-2</v>
      </c>
      <c r="JC11" s="497">
        <v>0.18857381058117878</v>
      </c>
      <c r="JD11" s="371" t="str">
        <f t="shared" si="1"/>
        <v>Sig better than Eng.</v>
      </c>
      <c r="JE11" s="3">
        <v>143</v>
      </c>
      <c r="JF11" s="3">
        <v>75</v>
      </c>
      <c r="JG11" s="19">
        <v>0.52447552447552448</v>
      </c>
      <c r="JH11" s="19">
        <v>0.44305846825994299</v>
      </c>
      <c r="JI11" s="19">
        <v>0.6046119924956096</v>
      </c>
      <c r="JJ11" s="3">
        <v>143</v>
      </c>
      <c r="JK11" s="3">
        <v>34</v>
      </c>
      <c r="JL11" s="3">
        <v>28</v>
      </c>
      <c r="JM11" s="383">
        <v>26.035714285714278</v>
      </c>
      <c r="JN11" s="19">
        <v>0.23424369747899185</v>
      </c>
      <c r="JO11" s="3">
        <v>151</v>
      </c>
      <c r="JP11" s="3">
        <v>101</v>
      </c>
      <c r="JQ11" s="19">
        <v>0.66887417218543044</v>
      </c>
      <c r="JR11" s="19">
        <v>0.59043982267317197</v>
      </c>
      <c r="JS11" s="19">
        <v>0.73892932941585499</v>
      </c>
      <c r="JT11" s="3">
        <v>151</v>
      </c>
      <c r="JU11" s="3">
        <v>34</v>
      </c>
      <c r="JV11" s="3">
        <v>30</v>
      </c>
      <c r="JW11" s="383">
        <v>25.06666666666667</v>
      </c>
      <c r="JX11" s="20">
        <v>0.26274509803921559</v>
      </c>
      <c r="JY11" s="44">
        <v>120</v>
      </c>
      <c r="JZ11" s="44">
        <v>79</v>
      </c>
      <c r="KA11" s="20">
        <v>0.65833333333333333</v>
      </c>
      <c r="KB11" s="20">
        <v>0.56974831431972239</v>
      </c>
      <c r="KC11" s="20">
        <v>0.73709561631435483</v>
      </c>
      <c r="KD11" s="438">
        <v>34</v>
      </c>
      <c r="KE11" s="438">
        <v>24</v>
      </c>
      <c r="KF11" s="384">
        <v>20.2</v>
      </c>
      <c r="KG11" s="104">
        <v>0.40500000000000003</v>
      </c>
      <c r="KH11" s="19">
        <v>0.94504477004477005</v>
      </c>
      <c r="KI11" s="19">
        <v>5.4955229955229966E-2</v>
      </c>
      <c r="KJ11" s="19">
        <v>2.4232521079919089E-2</v>
      </c>
      <c r="KK11" s="19">
        <v>0.12485581862986618</v>
      </c>
      <c r="KL11" s="19">
        <v>0.95933048433048429</v>
      </c>
      <c r="KM11" s="19">
        <v>4.0669515669515668E-2</v>
      </c>
      <c r="KN11" s="19">
        <v>1.7614201033819141E-2</v>
      </c>
      <c r="KO11" s="19">
        <v>0.10993207132684676</v>
      </c>
      <c r="KP11" s="19">
        <v>0.96858974358974359</v>
      </c>
      <c r="KQ11" s="19">
        <v>3.141025641025641E-2</v>
      </c>
      <c r="KR11" s="19">
        <v>1.1529012223652576E-2</v>
      </c>
      <c r="KS11" s="19">
        <v>9.4475192787893972E-2</v>
      </c>
      <c r="KT11" s="19">
        <v>0.83746438746438756</v>
      </c>
      <c r="KU11" s="19">
        <v>0.16253561253561252</v>
      </c>
      <c r="KV11" s="19">
        <v>0.11649367959569261</v>
      </c>
      <c r="KW11" s="104">
        <v>0.27805683470612508</v>
      </c>
      <c r="KX11" s="438">
        <v>3</v>
      </c>
      <c r="KY11" s="438">
        <v>63</v>
      </c>
      <c r="KZ11" s="497">
        <v>4.7619047619047616E-2</v>
      </c>
      <c r="LA11" s="497">
        <v>1.6326168867995608E-2</v>
      </c>
      <c r="LB11" s="497">
        <v>0.13090967837906067</v>
      </c>
      <c r="LC11" s="438">
        <v>1</v>
      </c>
      <c r="LD11" s="438">
        <v>63</v>
      </c>
      <c r="LE11" s="497">
        <v>1.5873015873015872E-2</v>
      </c>
      <c r="LF11" s="497">
        <v>2.8074942138692845E-3</v>
      </c>
      <c r="LG11" s="497">
        <v>8.458525459438393E-2</v>
      </c>
      <c r="LH11" s="438">
        <v>1</v>
      </c>
      <c r="LI11" s="438">
        <v>62</v>
      </c>
      <c r="LJ11" s="497">
        <v>1.6129032258064516E-2</v>
      </c>
      <c r="LK11" s="497">
        <v>2.852867168621826E-3</v>
      </c>
      <c r="LL11" s="497">
        <v>8.5867202606899895E-2</v>
      </c>
      <c r="LM11" s="438">
        <v>7</v>
      </c>
      <c r="LN11" s="438">
        <v>63</v>
      </c>
      <c r="LO11" s="497">
        <v>0.1111111111111111</v>
      </c>
      <c r="LP11" s="497">
        <v>5.4875486623837205E-2</v>
      </c>
      <c r="LQ11" s="104">
        <v>0.21204655750082518</v>
      </c>
      <c r="LR11" s="3">
        <v>32</v>
      </c>
      <c r="LS11" s="3">
        <v>31</v>
      </c>
      <c r="LT11" s="3">
        <v>31</v>
      </c>
      <c r="LU11" s="3">
        <v>32</v>
      </c>
      <c r="LV11" s="3">
        <v>31</v>
      </c>
      <c r="LW11" s="3">
        <v>41</v>
      </c>
      <c r="LX11" s="3">
        <v>41</v>
      </c>
      <c r="LY11" s="3">
        <v>40</v>
      </c>
      <c r="LZ11" s="3">
        <v>41</v>
      </c>
      <c r="MA11" s="3">
        <v>40</v>
      </c>
      <c r="MB11" s="3">
        <v>41</v>
      </c>
      <c r="MC11" s="3">
        <v>40</v>
      </c>
      <c r="MD11" s="3">
        <v>40</v>
      </c>
      <c r="ME11" s="3">
        <v>37</v>
      </c>
      <c r="MF11" s="3">
        <v>36</v>
      </c>
      <c r="MG11" s="3">
        <v>36</v>
      </c>
      <c r="MH11" s="3">
        <v>35</v>
      </c>
      <c r="MI11" s="3">
        <v>36</v>
      </c>
      <c r="MJ11" s="3">
        <v>36</v>
      </c>
      <c r="MK11" s="3">
        <v>35</v>
      </c>
      <c r="ML11" s="3">
        <v>37</v>
      </c>
      <c r="MM11" s="3">
        <v>35</v>
      </c>
      <c r="MN11" s="8">
        <v>37</v>
      </c>
      <c r="MO11" s="3">
        <v>200</v>
      </c>
      <c r="MP11" s="24">
        <v>0.96499999999999997</v>
      </c>
      <c r="MQ11" s="24">
        <v>0</v>
      </c>
      <c r="MR11" s="24">
        <v>0.96499999999999997</v>
      </c>
      <c r="MS11" s="3">
        <v>193</v>
      </c>
      <c r="MT11" s="3">
        <v>0</v>
      </c>
      <c r="MU11" s="3">
        <v>193</v>
      </c>
      <c r="MV11" s="3">
        <v>201</v>
      </c>
      <c r="MW11" s="24">
        <v>0.99</v>
      </c>
      <c r="MX11" s="24">
        <v>0.97499999999999998</v>
      </c>
      <c r="MY11" s="24">
        <v>0.995</v>
      </c>
      <c r="MZ11" s="24">
        <v>0.97499999999999998</v>
      </c>
      <c r="NA11" s="24">
        <v>0.97499999999999998</v>
      </c>
      <c r="NB11" s="3">
        <v>199</v>
      </c>
      <c r="NC11" s="3">
        <v>196</v>
      </c>
      <c r="ND11" s="3">
        <v>200</v>
      </c>
      <c r="NE11" s="3">
        <v>196</v>
      </c>
      <c r="NF11" s="3">
        <v>196</v>
      </c>
      <c r="NG11" s="3">
        <v>204</v>
      </c>
      <c r="NH11" s="24">
        <v>0.98</v>
      </c>
      <c r="NI11" s="24">
        <v>0.95099999999999996</v>
      </c>
      <c r="NJ11" s="24">
        <v>0.98</v>
      </c>
      <c r="NK11" s="24">
        <v>0.98</v>
      </c>
      <c r="NL11" s="24">
        <v>0.98</v>
      </c>
      <c r="NM11" s="24">
        <v>0.92600000000000005</v>
      </c>
      <c r="NN11" s="24">
        <v>0.98499999999999999</v>
      </c>
      <c r="NO11" s="24">
        <v>0.95599999999999996</v>
      </c>
      <c r="NP11" s="24">
        <v>0.98499999999999999</v>
      </c>
      <c r="NQ11" s="24">
        <v>0.98499999999999999</v>
      </c>
      <c r="NR11" s="3">
        <v>200</v>
      </c>
      <c r="NS11" s="3">
        <v>194</v>
      </c>
      <c r="NT11" s="3">
        <v>200</v>
      </c>
      <c r="NU11" s="3">
        <v>200</v>
      </c>
      <c r="NV11" s="3">
        <v>200</v>
      </c>
      <c r="NW11" s="3">
        <v>189</v>
      </c>
      <c r="NX11" s="3">
        <v>201</v>
      </c>
      <c r="NY11" s="3">
        <v>195</v>
      </c>
      <c r="NZ11" s="3">
        <v>201</v>
      </c>
      <c r="OA11" s="8">
        <v>201</v>
      </c>
    </row>
    <row r="12" spans="1:391" s="3" customFormat="1" ht="12.75" x14ac:dyDescent="0.2">
      <c r="A12" s="11" t="s">
        <v>39</v>
      </c>
      <c r="B12" s="8">
        <v>7</v>
      </c>
      <c r="C12" s="11" t="s">
        <v>158</v>
      </c>
      <c r="D12" s="11" t="s">
        <v>159</v>
      </c>
      <c r="E12" s="11" t="s">
        <v>287</v>
      </c>
      <c r="F12" s="11" t="s">
        <v>287</v>
      </c>
      <c r="G12" s="11" t="s">
        <v>160</v>
      </c>
      <c r="H12" s="11" t="s">
        <v>75</v>
      </c>
      <c r="I12" s="11" t="s">
        <v>83</v>
      </c>
      <c r="J12" s="11" t="s">
        <v>269</v>
      </c>
      <c r="K12" s="11" t="s">
        <v>368</v>
      </c>
      <c r="L12" s="11" t="s">
        <v>272</v>
      </c>
      <c r="M12" s="11" t="s">
        <v>905</v>
      </c>
      <c r="N12" s="3" t="s">
        <v>404</v>
      </c>
      <c r="O12" s="11">
        <v>502458</v>
      </c>
      <c r="P12" s="11">
        <v>102632</v>
      </c>
      <c r="Q12" s="128">
        <v>21834</v>
      </c>
      <c r="R12" s="128">
        <v>80206</v>
      </c>
      <c r="S12" s="400" t="s">
        <v>817</v>
      </c>
      <c r="T12" s="38">
        <v>18535</v>
      </c>
      <c r="U12" s="39">
        <v>18740</v>
      </c>
      <c r="V12" s="39">
        <v>18880</v>
      </c>
      <c r="W12" s="39">
        <v>19110</v>
      </c>
      <c r="X12" s="39">
        <v>19395</v>
      </c>
      <c r="Y12" s="39">
        <v>19645</v>
      </c>
      <c r="Z12" s="39">
        <v>19930</v>
      </c>
      <c r="AA12" s="39">
        <v>20235</v>
      </c>
      <c r="AB12" s="39">
        <v>20490</v>
      </c>
      <c r="AC12" s="44">
        <v>20867</v>
      </c>
      <c r="AD12" s="38">
        <v>995</v>
      </c>
      <c r="AE12" s="39">
        <v>1000</v>
      </c>
      <c r="AF12" s="39">
        <v>1025</v>
      </c>
      <c r="AG12" s="39">
        <v>1065</v>
      </c>
      <c r="AH12" s="39">
        <v>1165</v>
      </c>
      <c r="AI12" s="39">
        <v>1225</v>
      </c>
      <c r="AJ12" s="39">
        <v>1320</v>
      </c>
      <c r="AK12" s="39">
        <v>1410</v>
      </c>
      <c r="AL12" s="39">
        <v>1430</v>
      </c>
      <c r="AM12" s="44">
        <v>1446</v>
      </c>
      <c r="AN12" s="15">
        <v>1280</v>
      </c>
      <c r="AO12" s="3">
        <v>1068</v>
      </c>
      <c r="AP12" s="3">
        <v>97</v>
      </c>
      <c r="AQ12" s="3">
        <v>59</v>
      </c>
      <c r="AR12" s="3">
        <v>44</v>
      </c>
      <c r="AS12" s="3">
        <v>6</v>
      </c>
      <c r="AT12" s="3">
        <v>6</v>
      </c>
      <c r="AU12" s="11">
        <v>212</v>
      </c>
      <c r="AV12" s="18">
        <v>0.83437499999999998</v>
      </c>
      <c r="AW12" s="19">
        <v>7.5781249999999994E-2</v>
      </c>
      <c r="AX12" s="19">
        <v>4.6093750000000003E-2</v>
      </c>
      <c r="AY12" s="19">
        <v>3.4375000000000003E-2</v>
      </c>
      <c r="AZ12" s="19">
        <v>4.6874999999999998E-3</v>
      </c>
      <c r="BA12" s="19">
        <v>4.6874999999999998E-3</v>
      </c>
      <c r="BB12" s="20">
        <v>0.16562500000000002</v>
      </c>
      <c r="BC12" s="15">
        <v>2884</v>
      </c>
      <c r="BD12" s="3">
        <v>2719</v>
      </c>
      <c r="BE12" s="3">
        <v>165</v>
      </c>
      <c r="BF12" s="3">
        <v>134</v>
      </c>
      <c r="BG12" s="3">
        <v>31</v>
      </c>
      <c r="BH12" s="19">
        <v>0.81212121212121213</v>
      </c>
      <c r="BI12" s="20">
        <v>0.18787878787878787</v>
      </c>
      <c r="BJ12" s="15">
        <v>2345</v>
      </c>
      <c r="BK12" s="19">
        <v>0.4166311300639659</v>
      </c>
      <c r="BL12" s="19">
        <v>0.2298507462686567</v>
      </c>
      <c r="BM12" s="20">
        <v>0.35351812366737739</v>
      </c>
      <c r="BN12" s="38">
        <v>5509</v>
      </c>
      <c r="BO12" s="39">
        <v>464</v>
      </c>
      <c r="BP12" s="39">
        <v>346</v>
      </c>
      <c r="BQ12" s="39">
        <v>223</v>
      </c>
      <c r="BR12" s="39">
        <v>4123</v>
      </c>
      <c r="BS12" s="39">
        <v>2358</v>
      </c>
      <c r="BT12" s="20">
        <v>0.15903307888040713</v>
      </c>
      <c r="BU12" s="38">
        <v>1004</v>
      </c>
      <c r="BV12" s="39">
        <v>2</v>
      </c>
      <c r="BW12" s="39">
        <v>421</v>
      </c>
      <c r="BX12" s="39">
        <v>698</v>
      </c>
      <c r="BY12" s="39">
        <v>245</v>
      </c>
      <c r="BZ12" s="40">
        <v>2370</v>
      </c>
      <c r="CA12" s="39">
        <v>1047</v>
      </c>
      <c r="CB12" s="39">
        <v>766</v>
      </c>
      <c r="CC12" s="39">
        <v>277</v>
      </c>
      <c r="CD12" s="39">
        <v>281</v>
      </c>
      <c r="CE12" s="19">
        <v>0.26456542502387775</v>
      </c>
      <c r="CF12" s="104">
        <v>0.26838586437440304</v>
      </c>
      <c r="CG12" s="39">
        <v>275</v>
      </c>
      <c r="CH12" s="39">
        <v>270</v>
      </c>
      <c r="CI12" s="39">
        <v>235</v>
      </c>
      <c r="CJ12" s="39">
        <v>225</v>
      </c>
      <c r="CK12" s="44">
        <v>185</v>
      </c>
      <c r="CL12" s="38">
        <v>697</v>
      </c>
      <c r="CM12" s="39">
        <v>280</v>
      </c>
      <c r="CN12" s="19">
        <v>0.40172166427546629</v>
      </c>
      <c r="CO12" s="40">
        <v>56</v>
      </c>
      <c r="CP12" s="39">
        <v>274</v>
      </c>
      <c r="CQ12" s="39">
        <v>269</v>
      </c>
      <c r="CR12" s="39">
        <v>294</v>
      </c>
      <c r="CS12" s="39">
        <v>320</v>
      </c>
      <c r="CT12" s="39">
        <v>285</v>
      </c>
      <c r="CU12" s="124" t="s">
        <v>474</v>
      </c>
      <c r="CV12" s="39">
        <v>30</v>
      </c>
      <c r="CW12" s="39">
        <v>21</v>
      </c>
      <c r="CX12" s="39">
        <v>30</v>
      </c>
      <c r="CY12" s="39">
        <v>19</v>
      </c>
      <c r="CZ12" s="39">
        <v>17</v>
      </c>
      <c r="DA12" s="120" t="s">
        <v>474</v>
      </c>
      <c r="DB12" s="15">
        <v>35</v>
      </c>
      <c r="DC12" s="15">
        <v>18</v>
      </c>
      <c r="DD12" s="19">
        <v>6.3157894736842107E-2</v>
      </c>
      <c r="DE12" s="19">
        <v>4.0320286324222479E-2</v>
      </c>
      <c r="DF12" s="20">
        <v>9.7615102118150499E-2</v>
      </c>
      <c r="DG12" s="15">
        <v>17</v>
      </c>
      <c r="DH12" s="20">
        <v>1.328125E-2</v>
      </c>
      <c r="DI12" s="423">
        <v>1</v>
      </c>
      <c r="DJ12" s="428">
        <v>1</v>
      </c>
      <c r="DK12" s="3">
        <v>653</v>
      </c>
      <c r="DL12" s="20">
        <v>7.3927318012000448E-2</v>
      </c>
      <c r="DM12" s="15">
        <v>380</v>
      </c>
      <c r="DN12" s="3">
        <v>445</v>
      </c>
      <c r="DO12" s="3">
        <v>420</v>
      </c>
      <c r="DP12" s="3">
        <v>390</v>
      </c>
      <c r="DQ12" s="11">
        <v>345</v>
      </c>
      <c r="DR12" s="15">
        <v>340</v>
      </c>
      <c r="DS12" s="19">
        <v>0.29565217391304349</v>
      </c>
      <c r="DT12" s="19">
        <v>0.26999321425261008</v>
      </c>
      <c r="DU12" s="19">
        <v>0.32267179495899123</v>
      </c>
      <c r="DV12" s="3">
        <v>395</v>
      </c>
      <c r="DW12" s="19">
        <v>0.32644628099173556</v>
      </c>
      <c r="DX12" s="19">
        <v>0.30061076487427069</v>
      </c>
      <c r="DY12" s="19">
        <v>0.35338029223787448</v>
      </c>
      <c r="DZ12" s="3">
        <v>395</v>
      </c>
      <c r="EA12" s="19">
        <v>0.30739299610894943</v>
      </c>
      <c r="EB12" s="19">
        <v>0.28276991603411777</v>
      </c>
      <c r="EC12" s="19">
        <v>0.33316422651516747</v>
      </c>
      <c r="ED12" s="3">
        <v>415</v>
      </c>
      <c r="EE12" s="19">
        <v>0.31800766283524906</v>
      </c>
      <c r="EF12" s="19">
        <v>0.29330639848982759</v>
      </c>
      <c r="EG12" s="19">
        <v>0.34377722474137007</v>
      </c>
      <c r="EH12" s="3">
        <v>380</v>
      </c>
      <c r="EI12" s="20">
        <v>0.27737226277372262</v>
      </c>
      <c r="EJ12" s="20">
        <v>0.25431274451357455</v>
      </c>
      <c r="EK12" s="20">
        <v>0.30167677954430028</v>
      </c>
      <c r="EL12" s="438">
        <v>370</v>
      </c>
      <c r="EM12" s="20">
        <v>0.26714801444043323</v>
      </c>
      <c r="EN12" s="20">
        <v>0.24451265112423481</v>
      </c>
      <c r="EO12" s="104">
        <v>0.29107148923712201</v>
      </c>
      <c r="EP12" s="38">
        <v>970</v>
      </c>
      <c r="EQ12" s="20">
        <v>0.27323943661971833</v>
      </c>
      <c r="ER12" s="44">
        <v>1095</v>
      </c>
      <c r="ES12" s="20">
        <v>0.29554655870445345</v>
      </c>
      <c r="ET12" s="44">
        <v>1035</v>
      </c>
      <c r="EU12" s="20">
        <v>0.27094240837696337</v>
      </c>
      <c r="EV12" s="44">
        <v>1070</v>
      </c>
      <c r="EW12" s="20">
        <v>0.27973856209150327</v>
      </c>
      <c r="EX12" s="44">
        <v>1010</v>
      </c>
      <c r="EY12" s="20">
        <v>0.25602027883396705</v>
      </c>
      <c r="EZ12" s="44">
        <v>975</v>
      </c>
      <c r="FA12" s="104">
        <v>0.24253731343283583</v>
      </c>
      <c r="FB12" s="3">
        <v>282</v>
      </c>
      <c r="FC12" s="3">
        <v>14</v>
      </c>
      <c r="FD12" s="3">
        <v>268</v>
      </c>
      <c r="FE12" s="19">
        <v>0.95035460992907805</v>
      </c>
      <c r="FF12" s="3">
        <v>87</v>
      </c>
      <c r="FG12" s="3">
        <v>115</v>
      </c>
      <c r="FH12" s="19">
        <v>0.32462686567164178</v>
      </c>
      <c r="FI12" s="19">
        <v>0.42910447761194032</v>
      </c>
      <c r="FJ12" s="19">
        <v>0.2713876119009872</v>
      </c>
      <c r="FK12" s="19">
        <v>0.38282278121029534</v>
      </c>
      <c r="FL12" s="19">
        <v>0.37125981974450212</v>
      </c>
      <c r="FM12" s="104">
        <v>0.48895289236431427</v>
      </c>
      <c r="FN12" s="438">
        <v>259</v>
      </c>
      <c r="FO12" s="438">
        <v>81</v>
      </c>
      <c r="FP12" s="438">
        <v>23</v>
      </c>
      <c r="FQ12" s="438">
        <v>104</v>
      </c>
      <c r="FR12" s="497">
        <v>0.31274131274131273</v>
      </c>
      <c r="FS12" s="497">
        <v>0.40154440154440152</v>
      </c>
      <c r="FT12" s="497">
        <v>0.25936414284982529</v>
      </c>
      <c r="FU12" s="497">
        <v>0.37159209809018673</v>
      </c>
      <c r="FV12" s="497">
        <v>0.34370283708818516</v>
      </c>
      <c r="FW12" s="104">
        <v>0.46226384629264589</v>
      </c>
      <c r="FX12" s="438">
        <v>203</v>
      </c>
      <c r="FY12" s="438">
        <v>19</v>
      </c>
      <c r="FZ12" s="438">
        <v>184</v>
      </c>
      <c r="GA12" s="497">
        <v>0.90640394088669951</v>
      </c>
      <c r="GB12" s="438">
        <v>65</v>
      </c>
      <c r="GC12" s="438">
        <v>16</v>
      </c>
      <c r="GD12" s="438">
        <v>81</v>
      </c>
      <c r="GE12" s="497">
        <v>0.35326086956521741</v>
      </c>
      <c r="GF12" s="497">
        <v>0.44021739130434784</v>
      </c>
      <c r="GG12" s="497">
        <v>0.28784180182542746</v>
      </c>
      <c r="GH12" s="497">
        <v>0.42468172552033162</v>
      </c>
      <c r="GI12" s="497">
        <v>0.37043969811897332</v>
      </c>
      <c r="GJ12" s="104">
        <v>0.51244025746633592</v>
      </c>
      <c r="GK12" s="3">
        <v>155</v>
      </c>
      <c r="GL12" s="3">
        <v>7</v>
      </c>
      <c r="GM12" s="19">
        <v>4.5161290322580643E-2</v>
      </c>
      <c r="GN12" s="19">
        <v>2.2045753492620307E-2</v>
      </c>
      <c r="GO12" s="19">
        <v>9.0276677648195372E-2</v>
      </c>
      <c r="GP12" s="353" t="s">
        <v>726</v>
      </c>
      <c r="GQ12" s="3">
        <v>201</v>
      </c>
      <c r="GR12" s="3">
        <v>20</v>
      </c>
      <c r="GS12" s="19">
        <v>9.950248756218906E-2</v>
      </c>
      <c r="GT12" s="19">
        <v>6.5338926232430275E-2</v>
      </c>
      <c r="GU12" s="19">
        <v>0.14868737036346685</v>
      </c>
      <c r="GV12" s="3" t="s">
        <v>725</v>
      </c>
      <c r="GW12" s="3">
        <v>151</v>
      </c>
      <c r="GX12" s="3">
        <v>12</v>
      </c>
      <c r="GY12" s="19">
        <v>7.9470198675496692E-2</v>
      </c>
      <c r="GZ12" s="19">
        <v>4.604266587121892E-2</v>
      </c>
      <c r="HA12" s="19">
        <v>0.13376356324041994</v>
      </c>
      <c r="HB12" s="3" t="s">
        <v>725</v>
      </c>
      <c r="HC12" s="3">
        <v>218</v>
      </c>
      <c r="HD12" s="3">
        <v>21</v>
      </c>
      <c r="HE12" s="19">
        <v>9.6330275229357804E-2</v>
      </c>
      <c r="HF12" s="19">
        <v>6.3870955682172159E-2</v>
      </c>
      <c r="HG12" s="19">
        <v>0.14276967436230478</v>
      </c>
      <c r="HH12" s="3" t="s">
        <v>725</v>
      </c>
      <c r="HI12" s="3">
        <v>152</v>
      </c>
      <c r="HJ12" s="3">
        <v>20</v>
      </c>
      <c r="HK12" s="19">
        <v>0.13157894736842105</v>
      </c>
      <c r="HL12" s="19">
        <v>8.6817115241413903E-2</v>
      </c>
      <c r="HM12" s="19">
        <v>0.19450378070282009</v>
      </c>
      <c r="HN12" s="11" t="s">
        <v>725</v>
      </c>
      <c r="HO12" s="11">
        <v>226</v>
      </c>
      <c r="HP12" s="11">
        <v>27</v>
      </c>
      <c r="HQ12" s="497">
        <v>0.11946902654867257</v>
      </c>
      <c r="HR12" s="497">
        <v>8.3418570013079674E-2</v>
      </c>
      <c r="HS12" s="497">
        <v>0.16823950384999084</v>
      </c>
      <c r="HT12" s="8" t="str">
        <f t="shared" si="0"/>
        <v>No Sig diff</v>
      </c>
      <c r="HU12" s="3">
        <v>168</v>
      </c>
      <c r="HV12" s="3">
        <v>28</v>
      </c>
      <c r="HW12" s="19">
        <v>0.16666666666666666</v>
      </c>
      <c r="HX12" s="19">
        <v>0.11790131485380641</v>
      </c>
      <c r="HY12" s="19">
        <v>0.23033513071277231</v>
      </c>
      <c r="HZ12" s="3" t="s">
        <v>725</v>
      </c>
      <c r="IA12" s="3">
        <v>185</v>
      </c>
      <c r="IB12" s="3">
        <v>34</v>
      </c>
      <c r="IC12" s="19">
        <v>0.18378378378378379</v>
      </c>
      <c r="ID12" s="19">
        <v>0.13460281913919561</v>
      </c>
      <c r="IE12" s="19">
        <v>0.2458298425725948</v>
      </c>
      <c r="IF12" s="3" t="s">
        <v>725</v>
      </c>
      <c r="IG12" s="3">
        <v>192</v>
      </c>
      <c r="IH12" s="3">
        <v>57</v>
      </c>
      <c r="II12" s="19">
        <v>0.296875</v>
      </c>
      <c r="IJ12" s="19">
        <v>0.23674735383073847</v>
      </c>
      <c r="IK12" s="19">
        <v>0.36497129925888039</v>
      </c>
      <c r="IL12" s="3" t="s">
        <v>727</v>
      </c>
      <c r="IM12" s="3">
        <v>188</v>
      </c>
      <c r="IN12" s="3">
        <v>39</v>
      </c>
      <c r="IO12" s="19">
        <v>0.20744680851063829</v>
      </c>
      <c r="IP12" s="19">
        <v>0.15562878542840139</v>
      </c>
      <c r="IQ12" s="19">
        <v>0.27098107942457483</v>
      </c>
      <c r="IR12" s="3" t="s">
        <v>725</v>
      </c>
      <c r="IS12" s="3">
        <v>177</v>
      </c>
      <c r="IT12" s="3">
        <v>46</v>
      </c>
      <c r="IU12" s="19">
        <v>0.25988700564971751</v>
      </c>
      <c r="IV12" s="19">
        <v>0.20086381173797546</v>
      </c>
      <c r="IW12" s="19">
        <v>0.32911122521260433</v>
      </c>
      <c r="IX12" s="580" t="s">
        <v>727</v>
      </c>
      <c r="IY12" s="580">
        <v>211</v>
      </c>
      <c r="IZ12" s="580">
        <v>39</v>
      </c>
      <c r="JA12" s="497">
        <v>0.18483412322274881</v>
      </c>
      <c r="JB12" s="497">
        <v>0.13826013360781605</v>
      </c>
      <c r="JC12" s="497">
        <v>0.24267871902303814</v>
      </c>
      <c r="JD12" s="371" t="str">
        <f t="shared" si="1"/>
        <v>Sig better than Eng.</v>
      </c>
      <c r="JE12" s="3">
        <v>250</v>
      </c>
      <c r="JF12" s="3">
        <v>132</v>
      </c>
      <c r="JG12" s="19">
        <v>0.52800000000000002</v>
      </c>
      <c r="JH12" s="19">
        <v>0.46616258903849139</v>
      </c>
      <c r="JI12" s="19">
        <v>0.58898994618976364</v>
      </c>
      <c r="JJ12" s="3">
        <v>250</v>
      </c>
      <c r="JK12" s="3">
        <v>34</v>
      </c>
      <c r="JL12" s="3">
        <v>50</v>
      </c>
      <c r="JM12" s="383">
        <v>22.36</v>
      </c>
      <c r="JN12" s="19">
        <v>0.34235294117647058</v>
      </c>
      <c r="JO12" s="3">
        <v>253</v>
      </c>
      <c r="JP12" s="3">
        <v>137</v>
      </c>
      <c r="JQ12" s="19">
        <v>0.54150197628458496</v>
      </c>
      <c r="JR12" s="19">
        <v>0.47994063804216835</v>
      </c>
      <c r="JS12" s="19">
        <v>0.6018218628267451</v>
      </c>
      <c r="JT12" s="3">
        <v>253</v>
      </c>
      <c r="JU12" s="3">
        <v>34</v>
      </c>
      <c r="JV12" s="3">
        <v>50</v>
      </c>
      <c r="JW12" s="383">
        <v>24.740000000000006</v>
      </c>
      <c r="JX12" s="20">
        <v>0.27235294117647041</v>
      </c>
      <c r="JY12" s="44">
        <v>262</v>
      </c>
      <c r="JZ12" s="44">
        <v>148</v>
      </c>
      <c r="KA12" s="20">
        <v>0.56488549618320616</v>
      </c>
      <c r="KB12" s="20">
        <v>0.50434429181150175</v>
      </c>
      <c r="KC12" s="20">
        <v>0.62355148543418537</v>
      </c>
      <c r="KD12" s="438">
        <v>34</v>
      </c>
      <c r="KE12" s="438">
        <v>52</v>
      </c>
      <c r="KF12" s="384">
        <v>23</v>
      </c>
      <c r="KG12" s="104">
        <v>0.32200000000000001</v>
      </c>
      <c r="KH12" s="19">
        <v>0.83216741591741583</v>
      </c>
      <c r="KI12" s="19">
        <v>0.16783258408258406</v>
      </c>
      <c r="KJ12" s="19">
        <v>0.13481123375916229</v>
      </c>
      <c r="KK12" s="19">
        <v>0.24417148861634683</v>
      </c>
      <c r="KL12" s="19">
        <v>0.84033272283272276</v>
      </c>
      <c r="KM12" s="19">
        <v>0.15966727716727719</v>
      </c>
      <c r="KN12" s="19">
        <v>0.12060131558197143</v>
      </c>
      <c r="KO12" s="19">
        <v>0.22580925295913523</v>
      </c>
      <c r="KP12" s="19">
        <v>0.81671092796092803</v>
      </c>
      <c r="KQ12" s="19">
        <v>0.18328907203907199</v>
      </c>
      <c r="KR12" s="19">
        <v>0.14772594103731715</v>
      </c>
      <c r="KS12" s="19">
        <v>0.2599586367030608</v>
      </c>
      <c r="KT12" s="19">
        <v>0.6699114774114775</v>
      </c>
      <c r="KU12" s="19">
        <v>0.33008852258852261</v>
      </c>
      <c r="KV12" s="19">
        <v>0.27049843060050693</v>
      </c>
      <c r="KW12" s="104">
        <v>0.40270685367004644</v>
      </c>
      <c r="KX12" s="438">
        <v>37</v>
      </c>
      <c r="KY12" s="438">
        <v>140</v>
      </c>
      <c r="KZ12" s="497">
        <v>0.26428571428571429</v>
      </c>
      <c r="LA12" s="497">
        <v>0.19824577409710045</v>
      </c>
      <c r="LB12" s="497">
        <v>0.34291572036276569</v>
      </c>
      <c r="LC12" s="438">
        <v>29</v>
      </c>
      <c r="LD12" s="438">
        <v>139</v>
      </c>
      <c r="LE12" s="497">
        <v>0.20863309352517986</v>
      </c>
      <c r="LF12" s="497">
        <v>0.14937487730698981</v>
      </c>
      <c r="LG12" s="497">
        <v>0.28356286591728236</v>
      </c>
      <c r="LH12" s="438">
        <v>34</v>
      </c>
      <c r="LI12" s="438">
        <v>139</v>
      </c>
      <c r="LJ12" s="497">
        <v>0.2446043165467626</v>
      </c>
      <c r="LK12" s="497">
        <v>0.1806468242590869</v>
      </c>
      <c r="LL12" s="497">
        <v>0.32229860498688012</v>
      </c>
      <c r="LM12" s="438">
        <v>45</v>
      </c>
      <c r="LN12" s="438">
        <v>139</v>
      </c>
      <c r="LO12" s="497">
        <v>0.32374100719424459</v>
      </c>
      <c r="LP12" s="497">
        <v>0.25160292771019682</v>
      </c>
      <c r="LQ12" s="104">
        <v>0.40535941078349874</v>
      </c>
      <c r="LR12" s="3">
        <v>93</v>
      </c>
      <c r="LS12" s="3">
        <v>90</v>
      </c>
      <c r="LT12" s="3">
        <v>90</v>
      </c>
      <c r="LU12" s="3">
        <v>92</v>
      </c>
      <c r="LV12" s="3">
        <v>90</v>
      </c>
      <c r="LW12" s="3">
        <v>66</v>
      </c>
      <c r="LX12" s="3">
        <v>56</v>
      </c>
      <c r="LY12" s="3">
        <v>60</v>
      </c>
      <c r="LZ12" s="3">
        <v>58</v>
      </c>
      <c r="MA12" s="3">
        <v>60</v>
      </c>
      <c r="MB12" s="3">
        <v>64</v>
      </c>
      <c r="MC12" s="3">
        <v>57</v>
      </c>
      <c r="MD12" s="3">
        <v>61</v>
      </c>
      <c r="ME12" s="3">
        <v>50</v>
      </c>
      <c r="MF12" s="3">
        <v>45</v>
      </c>
      <c r="MG12" s="3">
        <v>41</v>
      </c>
      <c r="MH12" s="3">
        <v>41</v>
      </c>
      <c r="MI12" s="3">
        <v>41</v>
      </c>
      <c r="MJ12" s="3">
        <v>41</v>
      </c>
      <c r="MK12" s="3">
        <v>41</v>
      </c>
      <c r="ML12" s="3">
        <v>44</v>
      </c>
      <c r="MM12" s="3">
        <v>40</v>
      </c>
      <c r="MN12" s="8">
        <v>45</v>
      </c>
      <c r="MO12" s="3">
        <v>240</v>
      </c>
      <c r="MP12" s="24">
        <v>0.95</v>
      </c>
      <c r="MQ12" s="24">
        <v>0</v>
      </c>
      <c r="MR12" s="24">
        <v>0.94199999999999995</v>
      </c>
      <c r="MS12" s="3">
        <v>228</v>
      </c>
      <c r="MT12" s="3">
        <v>0</v>
      </c>
      <c r="MU12" s="3">
        <v>226</v>
      </c>
      <c r="MV12" s="3">
        <v>269</v>
      </c>
      <c r="MW12" s="24">
        <v>0.96299999999999997</v>
      </c>
      <c r="MX12" s="24">
        <v>0.93700000000000006</v>
      </c>
      <c r="MY12" s="24">
        <v>0.95199999999999996</v>
      </c>
      <c r="MZ12" s="24">
        <v>0.94399999999999995</v>
      </c>
      <c r="NA12" s="24">
        <v>0.94399999999999995</v>
      </c>
      <c r="NB12" s="3">
        <v>259</v>
      </c>
      <c r="NC12" s="3">
        <v>252</v>
      </c>
      <c r="ND12" s="3">
        <v>256</v>
      </c>
      <c r="NE12" s="3">
        <v>254</v>
      </c>
      <c r="NF12" s="3">
        <v>254</v>
      </c>
      <c r="NG12" s="3">
        <v>265</v>
      </c>
      <c r="NH12" s="24">
        <v>0.94699999999999995</v>
      </c>
      <c r="NI12" s="24">
        <v>0.872</v>
      </c>
      <c r="NJ12" s="24">
        <v>0.94699999999999995</v>
      </c>
      <c r="NK12" s="24">
        <v>0.93600000000000005</v>
      </c>
      <c r="NL12" s="24">
        <v>0.93600000000000005</v>
      </c>
      <c r="NM12" s="24">
        <v>0.92100000000000004</v>
      </c>
      <c r="NN12" s="24">
        <v>0.92800000000000005</v>
      </c>
      <c r="NO12" s="24">
        <v>0.88700000000000001</v>
      </c>
      <c r="NP12" s="24">
        <v>0.94</v>
      </c>
      <c r="NQ12" s="24">
        <v>0.89100000000000001</v>
      </c>
      <c r="NR12" s="3">
        <v>251</v>
      </c>
      <c r="NS12" s="3">
        <v>231</v>
      </c>
      <c r="NT12" s="3">
        <v>251</v>
      </c>
      <c r="NU12" s="3">
        <v>248</v>
      </c>
      <c r="NV12" s="3">
        <v>248</v>
      </c>
      <c r="NW12" s="3">
        <v>244</v>
      </c>
      <c r="NX12" s="3">
        <v>246</v>
      </c>
      <c r="NY12" s="3">
        <v>235</v>
      </c>
      <c r="NZ12" s="3">
        <v>249</v>
      </c>
      <c r="OA12" s="8">
        <v>236</v>
      </c>
    </row>
    <row r="13" spans="1:391" s="3" customFormat="1" ht="12.75" x14ac:dyDescent="0.2">
      <c r="A13" s="11" t="s">
        <v>40</v>
      </c>
      <c r="B13" s="8">
        <v>8</v>
      </c>
      <c r="C13" s="11" t="s">
        <v>161</v>
      </c>
      <c r="D13" s="11" t="s">
        <v>162</v>
      </c>
      <c r="E13" s="11" t="s">
        <v>287</v>
      </c>
      <c r="F13" s="11" t="s">
        <v>287</v>
      </c>
      <c r="G13" s="11" t="s">
        <v>163</v>
      </c>
      <c r="H13" s="11" t="s">
        <v>76</v>
      </c>
      <c r="I13" s="11" t="s">
        <v>83</v>
      </c>
      <c r="J13" s="11" t="s">
        <v>269</v>
      </c>
      <c r="K13" s="11" t="s">
        <v>369</v>
      </c>
      <c r="L13" s="11" t="s">
        <v>396</v>
      </c>
      <c r="M13" s="11" t="s">
        <v>906</v>
      </c>
      <c r="N13" s="3" t="s">
        <v>404</v>
      </c>
      <c r="O13" s="11">
        <v>497818</v>
      </c>
      <c r="P13" s="11">
        <v>103291</v>
      </c>
      <c r="Q13" s="128">
        <v>23273</v>
      </c>
      <c r="R13" s="128">
        <v>80374</v>
      </c>
      <c r="S13" s="400" t="s">
        <v>817</v>
      </c>
      <c r="T13" s="38">
        <v>21405</v>
      </c>
      <c r="U13" s="39">
        <v>21340</v>
      </c>
      <c r="V13" s="39">
        <v>21505</v>
      </c>
      <c r="W13" s="39">
        <v>21720</v>
      </c>
      <c r="X13" s="39">
        <v>21695</v>
      </c>
      <c r="Y13" s="39">
        <v>21740</v>
      </c>
      <c r="Z13" s="39">
        <v>21775</v>
      </c>
      <c r="AA13" s="39">
        <v>21950</v>
      </c>
      <c r="AB13" s="39">
        <v>22015</v>
      </c>
      <c r="AC13" s="44">
        <v>21914</v>
      </c>
      <c r="AD13" s="38">
        <v>1050</v>
      </c>
      <c r="AE13" s="39">
        <v>1060</v>
      </c>
      <c r="AF13" s="39">
        <v>1040</v>
      </c>
      <c r="AG13" s="39">
        <v>1035</v>
      </c>
      <c r="AH13" s="39">
        <v>1035</v>
      </c>
      <c r="AI13" s="39">
        <v>1020</v>
      </c>
      <c r="AJ13" s="39">
        <v>1020</v>
      </c>
      <c r="AK13" s="39">
        <v>1030</v>
      </c>
      <c r="AL13" s="39">
        <v>1030</v>
      </c>
      <c r="AM13" s="44">
        <v>956</v>
      </c>
      <c r="AN13" s="15">
        <v>1028</v>
      </c>
      <c r="AO13" s="3">
        <v>962</v>
      </c>
      <c r="AP13" s="3">
        <v>26</v>
      </c>
      <c r="AQ13" s="3">
        <v>25</v>
      </c>
      <c r="AR13" s="3">
        <v>15</v>
      </c>
      <c r="AS13" s="3">
        <v>0</v>
      </c>
      <c r="AT13" s="3">
        <v>0</v>
      </c>
      <c r="AU13" s="11">
        <v>66</v>
      </c>
      <c r="AV13" s="18">
        <v>0.93579766536964981</v>
      </c>
      <c r="AW13" s="19">
        <v>2.5291828793774319E-2</v>
      </c>
      <c r="AX13" s="19">
        <v>2.4319066147859923E-2</v>
      </c>
      <c r="AY13" s="19">
        <v>1.4591439688715954E-2</v>
      </c>
      <c r="AZ13" s="19">
        <v>0</v>
      </c>
      <c r="BA13" s="19">
        <v>0</v>
      </c>
      <c r="BB13" s="20">
        <v>6.4202334630350189E-2</v>
      </c>
      <c r="BC13" s="15">
        <v>3058</v>
      </c>
      <c r="BD13" s="3">
        <v>3021</v>
      </c>
      <c r="BE13" s="3">
        <v>37</v>
      </c>
      <c r="BF13" s="3">
        <v>36</v>
      </c>
      <c r="BG13" s="3">
        <v>1</v>
      </c>
      <c r="BH13" s="19">
        <v>0.97297297297297303</v>
      </c>
      <c r="BI13" s="20">
        <v>2.7027027027027029E-2</v>
      </c>
      <c r="BJ13" s="15">
        <v>2186</v>
      </c>
      <c r="BK13" s="19">
        <v>0.69258920402561752</v>
      </c>
      <c r="BL13" s="19">
        <v>0.12305580969807868</v>
      </c>
      <c r="BM13" s="20">
        <v>0.18435498627630376</v>
      </c>
      <c r="BN13" s="38">
        <v>6385</v>
      </c>
      <c r="BO13" s="39">
        <v>269</v>
      </c>
      <c r="BP13" s="39">
        <v>371</v>
      </c>
      <c r="BQ13" s="39">
        <v>159</v>
      </c>
      <c r="BR13" s="39">
        <v>4219</v>
      </c>
      <c r="BS13" s="39">
        <v>2354</v>
      </c>
      <c r="BT13" s="20">
        <v>0.14485981308411214</v>
      </c>
      <c r="BU13" s="38">
        <v>1475</v>
      </c>
      <c r="BV13" s="39">
        <v>2</v>
      </c>
      <c r="BW13" s="39">
        <v>285</v>
      </c>
      <c r="BX13" s="39">
        <v>418</v>
      </c>
      <c r="BY13" s="39">
        <v>190</v>
      </c>
      <c r="BZ13" s="40">
        <v>2370</v>
      </c>
      <c r="CA13" s="39">
        <v>807</v>
      </c>
      <c r="CB13" s="39">
        <v>694</v>
      </c>
      <c r="CC13" s="39">
        <v>110</v>
      </c>
      <c r="CD13" s="39">
        <v>113</v>
      </c>
      <c r="CE13" s="19">
        <v>0.13630731102850063</v>
      </c>
      <c r="CF13" s="104">
        <v>0.14002478314745972</v>
      </c>
      <c r="CG13" s="39">
        <v>95</v>
      </c>
      <c r="CH13" s="39">
        <v>90</v>
      </c>
      <c r="CI13" s="39">
        <v>70</v>
      </c>
      <c r="CJ13" s="39">
        <v>70</v>
      </c>
      <c r="CK13" s="44">
        <v>65</v>
      </c>
      <c r="CL13" s="38">
        <v>416</v>
      </c>
      <c r="CM13" s="39">
        <v>126</v>
      </c>
      <c r="CN13" s="19">
        <v>0.30288461538461536</v>
      </c>
      <c r="CO13" s="40">
        <v>43</v>
      </c>
      <c r="CP13" s="39">
        <v>184</v>
      </c>
      <c r="CQ13" s="39">
        <v>192</v>
      </c>
      <c r="CR13" s="39">
        <v>176</v>
      </c>
      <c r="CS13" s="39">
        <v>212</v>
      </c>
      <c r="CT13" s="39">
        <v>164</v>
      </c>
      <c r="CU13" s="124" t="s">
        <v>474</v>
      </c>
      <c r="CV13" s="39">
        <v>5</v>
      </c>
      <c r="CW13" s="39">
        <v>6</v>
      </c>
      <c r="CX13" s="39">
        <v>6</v>
      </c>
      <c r="CY13" s="39">
        <v>4</v>
      </c>
      <c r="CZ13" s="39">
        <v>6</v>
      </c>
      <c r="DA13" s="120" t="s">
        <v>474</v>
      </c>
      <c r="DB13" s="15">
        <v>12</v>
      </c>
      <c r="DC13" s="15">
        <v>10</v>
      </c>
      <c r="DD13" s="19">
        <v>6.097560975609756E-2</v>
      </c>
      <c r="DE13" s="19">
        <v>3.3454561325115796E-2</v>
      </c>
      <c r="DF13" s="20">
        <v>0.10859293390169864</v>
      </c>
      <c r="DG13" s="15">
        <v>19</v>
      </c>
      <c r="DH13" s="20">
        <v>1.8482490272373541E-2</v>
      </c>
      <c r="DI13" s="423">
        <v>4</v>
      </c>
      <c r="DJ13" s="428">
        <v>6</v>
      </c>
      <c r="DK13" s="3">
        <v>251</v>
      </c>
      <c r="DL13" s="20">
        <v>2.7713370873357623E-2</v>
      </c>
      <c r="DM13" s="15">
        <v>110</v>
      </c>
      <c r="DN13" s="3">
        <v>135</v>
      </c>
      <c r="DO13" s="3">
        <v>155</v>
      </c>
      <c r="DP13" s="3">
        <v>140</v>
      </c>
      <c r="DQ13" s="11">
        <v>100</v>
      </c>
      <c r="DR13" s="15">
        <v>130</v>
      </c>
      <c r="DS13" s="19">
        <v>0.12264150943396226</v>
      </c>
      <c r="DT13" s="19">
        <v>0.10424570855848288</v>
      </c>
      <c r="DU13" s="19">
        <v>0.14376254176217274</v>
      </c>
      <c r="DV13" s="3">
        <v>130</v>
      </c>
      <c r="DW13" s="19">
        <v>0.12621359223300971</v>
      </c>
      <c r="DX13" s="19">
        <v>0.10731179473345716</v>
      </c>
      <c r="DY13" s="19">
        <v>0.14789315624776855</v>
      </c>
      <c r="DZ13" s="3">
        <v>130</v>
      </c>
      <c r="EA13" s="19">
        <v>0.12682926829268293</v>
      </c>
      <c r="EB13" s="19">
        <v>0.10784043661952747</v>
      </c>
      <c r="EC13" s="19">
        <v>0.14860476838136888</v>
      </c>
      <c r="ED13" s="3">
        <v>150</v>
      </c>
      <c r="EE13" s="19">
        <v>0.14925373134328357</v>
      </c>
      <c r="EF13" s="19">
        <v>0.12856009226592366</v>
      </c>
      <c r="EG13" s="19">
        <v>0.17261850835966505</v>
      </c>
      <c r="EH13" s="3">
        <v>130</v>
      </c>
      <c r="EI13" s="20">
        <v>0.12560386473429952</v>
      </c>
      <c r="EJ13" s="20">
        <v>0.10678831221076798</v>
      </c>
      <c r="EK13" s="20">
        <v>0.14718832356983544</v>
      </c>
      <c r="EL13" s="438">
        <v>125</v>
      </c>
      <c r="EM13" s="20">
        <v>0.13812154696132597</v>
      </c>
      <c r="EN13" s="20">
        <v>0.11716756149671541</v>
      </c>
      <c r="EO13" s="104">
        <v>0.16213468242828874</v>
      </c>
      <c r="EP13" s="38">
        <v>415</v>
      </c>
      <c r="EQ13" s="20">
        <v>0.11369863013698631</v>
      </c>
      <c r="ER13" s="44">
        <v>435</v>
      </c>
      <c r="ES13" s="20">
        <v>0.11917808219178082</v>
      </c>
      <c r="ET13" s="44">
        <v>385</v>
      </c>
      <c r="EU13" s="20">
        <v>0.1056241426611797</v>
      </c>
      <c r="EV13" s="44">
        <v>420</v>
      </c>
      <c r="EW13" s="20">
        <v>0.11506849315068493</v>
      </c>
      <c r="EX13" s="44">
        <v>365</v>
      </c>
      <c r="EY13" s="20">
        <v>9.9455040871934602E-2</v>
      </c>
      <c r="EZ13" s="44">
        <v>385</v>
      </c>
      <c r="FA13" s="104">
        <v>0.10620689655172413</v>
      </c>
      <c r="FB13" s="3">
        <v>207</v>
      </c>
      <c r="FC13" s="3">
        <v>14</v>
      </c>
      <c r="FD13" s="3">
        <v>193</v>
      </c>
      <c r="FE13" s="19">
        <v>0.93236714975845414</v>
      </c>
      <c r="FF13" s="3">
        <v>85</v>
      </c>
      <c r="FG13" s="3">
        <v>110</v>
      </c>
      <c r="FH13" s="19">
        <v>0.44041450777202074</v>
      </c>
      <c r="FI13" s="19">
        <v>0.56994818652849744</v>
      </c>
      <c r="FJ13" s="19">
        <v>0.37221521505149513</v>
      </c>
      <c r="FK13" s="19">
        <v>0.51093956523884998</v>
      </c>
      <c r="FL13" s="19">
        <v>0.49940629268557302</v>
      </c>
      <c r="FM13" s="104">
        <v>0.63775983479967402</v>
      </c>
      <c r="FN13" s="438">
        <v>182</v>
      </c>
      <c r="FO13" s="438">
        <v>74</v>
      </c>
      <c r="FP13" s="438">
        <v>31</v>
      </c>
      <c r="FQ13" s="438">
        <v>105</v>
      </c>
      <c r="FR13" s="497">
        <v>0.40659340659340659</v>
      </c>
      <c r="FS13" s="497">
        <v>0.57692307692307687</v>
      </c>
      <c r="FT13" s="497">
        <v>0.33787690835078121</v>
      </c>
      <c r="FU13" s="497">
        <v>0.47917144988017574</v>
      </c>
      <c r="FV13" s="497">
        <v>0.50428464587921862</v>
      </c>
      <c r="FW13" s="104">
        <v>0.64638141204822863</v>
      </c>
      <c r="FX13" s="438">
        <v>213</v>
      </c>
      <c r="FY13" s="438">
        <v>14</v>
      </c>
      <c r="FZ13" s="438">
        <v>199</v>
      </c>
      <c r="GA13" s="497">
        <v>0.93427230046948362</v>
      </c>
      <c r="GB13" s="438">
        <v>83</v>
      </c>
      <c r="GC13" s="438">
        <v>34</v>
      </c>
      <c r="GD13" s="438">
        <v>117</v>
      </c>
      <c r="GE13" s="497">
        <v>0.41708542713567837</v>
      </c>
      <c r="GF13" s="497">
        <v>0.5879396984924623</v>
      </c>
      <c r="GG13" s="497">
        <v>0.35078207287892826</v>
      </c>
      <c r="GH13" s="497">
        <v>0.48652929240182025</v>
      </c>
      <c r="GI13" s="497">
        <v>0.51851827888517155</v>
      </c>
      <c r="GJ13" s="104">
        <v>0.65403027308979211</v>
      </c>
      <c r="GK13" s="3">
        <v>174</v>
      </c>
      <c r="GL13" s="3">
        <v>27</v>
      </c>
      <c r="GM13" s="19">
        <v>0.15517241379310345</v>
      </c>
      <c r="GN13" s="19">
        <v>0.10888846203868341</v>
      </c>
      <c r="GO13" s="19">
        <v>0.21635324034192896</v>
      </c>
      <c r="GP13" s="353" t="s">
        <v>727</v>
      </c>
      <c r="GQ13" s="3">
        <v>178</v>
      </c>
      <c r="GR13" s="3">
        <v>13</v>
      </c>
      <c r="GS13" s="19">
        <v>7.3033707865168537E-2</v>
      </c>
      <c r="GT13" s="19">
        <v>4.3175025310267297E-2</v>
      </c>
      <c r="GU13" s="19">
        <v>0.12093198864698146</v>
      </c>
      <c r="GV13" s="3" t="s">
        <v>725</v>
      </c>
      <c r="GW13" s="3">
        <v>194</v>
      </c>
      <c r="GX13" s="3">
        <v>14</v>
      </c>
      <c r="GY13" s="19">
        <v>7.2164948453608241E-2</v>
      </c>
      <c r="GZ13" s="19">
        <v>4.3470708676375661E-2</v>
      </c>
      <c r="HA13" s="19">
        <v>0.11747361012564239</v>
      </c>
      <c r="HB13" s="3" t="s">
        <v>725</v>
      </c>
      <c r="HC13" s="3">
        <v>212</v>
      </c>
      <c r="HD13" s="3">
        <v>24</v>
      </c>
      <c r="HE13" s="19">
        <v>0.11320754716981132</v>
      </c>
      <c r="HF13" s="19">
        <v>7.7264917405978337E-2</v>
      </c>
      <c r="HG13" s="19">
        <v>0.1629181276120798</v>
      </c>
      <c r="HH13" s="3" t="s">
        <v>725</v>
      </c>
      <c r="HI13" s="3">
        <v>140</v>
      </c>
      <c r="HJ13" s="3">
        <v>13</v>
      </c>
      <c r="HK13" s="19">
        <v>9.285714285714286E-2</v>
      </c>
      <c r="HL13" s="19">
        <v>5.5070172649584123E-2</v>
      </c>
      <c r="HM13" s="19">
        <v>0.15239059050836642</v>
      </c>
      <c r="HN13" s="11" t="s">
        <v>725</v>
      </c>
      <c r="HO13" s="11">
        <v>156</v>
      </c>
      <c r="HP13" s="11">
        <v>13</v>
      </c>
      <c r="HQ13" s="497">
        <v>8.3333333333333329E-2</v>
      </c>
      <c r="HR13" s="497">
        <v>4.9345650854239156E-2</v>
      </c>
      <c r="HS13" s="497">
        <v>0.13734845867693993</v>
      </c>
      <c r="HT13" s="8" t="str">
        <f t="shared" si="0"/>
        <v>No Sig diff</v>
      </c>
      <c r="HU13" s="3">
        <v>180</v>
      </c>
      <c r="HV13" s="3">
        <v>24</v>
      </c>
      <c r="HW13" s="19">
        <v>0.13333333333333333</v>
      </c>
      <c r="HX13" s="19">
        <v>9.1262810536594019E-2</v>
      </c>
      <c r="HY13" s="19">
        <v>0.1907272212725889</v>
      </c>
      <c r="HZ13" s="3" t="s">
        <v>725</v>
      </c>
      <c r="IA13" s="3">
        <v>181</v>
      </c>
      <c r="IB13" s="3">
        <v>38</v>
      </c>
      <c r="IC13" s="19">
        <v>0.20994475138121546</v>
      </c>
      <c r="ID13" s="19">
        <v>0.15695179474513435</v>
      </c>
      <c r="IE13" s="19">
        <v>0.27499382681666318</v>
      </c>
      <c r="IF13" s="3" t="s">
        <v>725</v>
      </c>
      <c r="IG13" s="3">
        <v>177</v>
      </c>
      <c r="IH13" s="3">
        <v>29</v>
      </c>
      <c r="II13" s="19">
        <v>0.16384180790960451</v>
      </c>
      <c r="IJ13" s="19">
        <v>0.11656641651721572</v>
      </c>
      <c r="IK13" s="19">
        <v>0.22539863521359599</v>
      </c>
      <c r="IL13" s="3" t="s">
        <v>725</v>
      </c>
      <c r="IM13" s="3">
        <v>182</v>
      </c>
      <c r="IN13" s="3">
        <v>23</v>
      </c>
      <c r="IO13" s="19">
        <v>0.12637362637362637</v>
      </c>
      <c r="IP13" s="19">
        <v>8.5705065885255408E-2</v>
      </c>
      <c r="IQ13" s="19">
        <v>0.18248836703857232</v>
      </c>
      <c r="IR13" s="3" t="s">
        <v>726</v>
      </c>
      <c r="IS13" s="3">
        <v>202</v>
      </c>
      <c r="IT13" s="3">
        <v>23</v>
      </c>
      <c r="IU13" s="19">
        <v>0.11386138613861387</v>
      </c>
      <c r="IV13" s="19">
        <v>7.7080194865233778E-2</v>
      </c>
      <c r="IW13" s="19">
        <v>0.16505498580364392</v>
      </c>
      <c r="IX13" s="580" t="s">
        <v>726</v>
      </c>
      <c r="IY13" s="580">
        <v>208</v>
      </c>
      <c r="IZ13" s="580">
        <v>33</v>
      </c>
      <c r="JA13" s="497">
        <v>0.15865384615384615</v>
      </c>
      <c r="JB13" s="497">
        <v>0.11525695893346342</v>
      </c>
      <c r="JC13" s="497">
        <v>0.21443043658154298</v>
      </c>
      <c r="JD13" s="371" t="str">
        <f t="shared" si="1"/>
        <v>Sig better than Eng.</v>
      </c>
      <c r="JE13" s="3">
        <v>241</v>
      </c>
      <c r="JF13" s="3">
        <v>129</v>
      </c>
      <c r="JG13" s="19">
        <v>0.53526970954356845</v>
      </c>
      <c r="JH13" s="19">
        <v>0.47224088134498177</v>
      </c>
      <c r="JI13" s="19">
        <v>0.59719180412373907</v>
      </c>
      <c r="JJ13" s="3">
        <v>241</v>
      </c>
      <c r="JK13" s="3">
        <v>34</v>
      </c>
      <c r="JL13" s="3">
        <v>48</v>
      </c>
      <c r="JM13" s="383">
        <v>24.562500000000007</v>
      </c>
      <c r="JN13" s="19">
        <v>0.2775735294117645</v>
      </c>
      <c r="JO13" s="3">
        <v>209</v>
      </c>
      <c r="JP13" s="3">
        <v>137</v>
      </c>
      <c r="JQ13" s="19">
        <v>0.65550239234449759</v>
      </c>
      <c r="JR13" s="19">
        <v>0.58879307370670031</v>
      </c>
      <c r="JS13" s="19">
        <v>0.71659855610146839</v>
      </c>
      <c r="JT13" s="3">
        <v>209</v>
      </c>
      <c r="JU13" s="3">
        <v>34</v>
      </c>
      <c r="JV13" s="3">
        <v>41</v>
      </c>
      <c r="JW13" s="383">
        <v>25.512195121951219</v>
      </c>
      <c r="JX13" s="20">
        <v>0.24964131994261121</v>
      </c>
      <c r="JY13" s="44">
        <v>210</v>
      </c>
      <c r="JZ13" s="44">
        <v>143</v>
      </c>
      <c r="KA13" s="20">
        <v>0.68095238095238098</v>
      </c>
      <c r="KB13" s="20">
        <v>0.6151448195663155</v>
      </c>
      <c r="KC13" s="20">
        <v>0.74025866682556296</v>
      </c>
      <c r="KD13" s="438">
        <v>34</v>
      </c>
      <c r="KE13" s="438">
        <v>42</v>
      </c>
      <c r="KF13" s="384">
        <v>24.6</v>
      </c>
      <c r="KG13" s="104">
        <v>0.27800000000000002</v>
      </c>
      <c r="KH13" s="19">
        <v>0.91651404151404159</v>
      </c>
      <c r="KI13" s="19">
        <v>8.3485958485958481E-2</v>
      </c>
      <c r="KJ13" s="19">
        <v>6.9158620605686214E-2</v>
      </c>
      <c r="KK13" s="19">
        <v>0.16758575632747763</v>
      </c>
      <c r="KL13" s="19">
        <v>0.93107448107448121</v>
      </c>
      <c r="KM13" s="19">
        <v>6.8925518925518917E-2</v>
      </c>
      <c r="KN13" s="19">
        <v>5.4210515626730349E-2</v>
      </c>
      <c r="KO13" s="19">
        <v>0.14499669951626121</v>
      </c>
      <c r="KP13" s="19">
        <v>0.89275684632827512</v>
      </c>
      <c r="KQ13" s="19">
        <v>0.1072431536717251</v>
      </c>
      <c r="KR13" s="19">
        <v>8.4547343075125556E-2</v>
      </c>
      <c r="KS13" s="19">
        <v>0.18973419564821054</v>
      </c>
      <c r="KT13" s="19">
        <v>0.73381301238444085</v>
      </c>
      <c r="KU13" s="19">
        <v>0.26618698761555903</v>
      </c>
      <c r="KV13" s="19">
        <v>0.20578932597912503</v>
      </c>
      <c r="KW13" s="104">
        <v>0.34376473253880774</v>
      </c>
      <c r="KX13" s="438">
        <v>8</v>
      </c>
      <c r="KY13" s="438">
        <v>91</v>
      </c>
      <c r="KZ13" s="497">
        <v>8.7912087912087919E-2</v>
      </c>
      <c r="LA13" s="497">
        <v>4.5220207808304075E-2</v>
      </c>
      <c r="LB13" s="497">
        <v>0.16398638883637737</v>
      </c>
      <c r="LC13" s="438">
        <v>5</v>
      </c>
      <c r="LD13" s="438">
        <v>91</v>
      </c>
      <c r="LE13" s="497">
        <v>5.4945054945054944E-2</v>
      </c>
      <c r="LF13" s="497">
        <v>2.3695099703426772E-2</v>
      </c>
      <c r="LG13" s="497">
        <v>0.12224802467282921</v>
      </c>
      <c r="LH13" s="438">
        <v>7</v>
      </c>
      <c r="LI13" s="438">
        <v>90</v>
      </c>
      <c r="LJ13" s="497">
        <v>7.7777777777777779E-2</v>
      </c>
      <c r="LK13" s="497">
        <v>3.8184815317288991E-2</v>
      </c>
      <c r="LL13" s="497">
        <v>0.15193860182592023</v>
      </c>
      <c r="LM13" s="438">
        <v>16</v>
      </c>
      <c r="LN13" s="438">
        <v>90</v>
      </c>
      <c r="LO13" s="497">
        <v>0.17777777777777778</v>
      </c>
      <c r="LP13" s="497">
        <v>0.1124973715833035</v>
      </c>
      <c r="LQ13" s="104">
        <v>0.26943892044704038</v>
      </c>
      <c r="LR13" s="3">
        <v>61</v>
      </c>
      <c r="LS13" s="3">
        <v>58</v>
      </c>
      <c r="LT13" s="3">
        <v>58</v>
      </c>
      <c r="LU13" s="3">
        <v>60</v>
      </c>
      <c r="LV13" s="3">
        <v>59</v>
      </c>
      <c r="LW13" s="3">
        <v>53</v>
      </c>
      <c r="LX13" s="3">
        <v>52</v>
      </c>
      <c r="LY13" s="3">
        <v>53</v>
      </c>
      <c r="LZ13" s="3">
        <v>52</v>
      </c>
      <c r="MA13" s="3">
        <v>53</v>
      </c>
      <c r="MB13" s="3">
        <v>53</v>
      </c>
      <c r="MC13" s="3">
        <v>51</v>
      </c>
      <c r="MD13" s="3">
        <v>53</v>
      </c>
      <c r="ME13" s="3">
        <v>67</v>
      </c>
      <c r="MF13" s="3">
        <v>64</v>
      </c>
      <c r="MG13" s="3">
        <v>65</v>
      </c>
      <c r="MH13" s="3">
        <v>61</v>
      </c>
      <c r="MI13" s="3">
        <v>64</v>
      </c>
      <c r="MJ13" s="3">
        <v>64</v>
      </c>
      <c r="MK13" s="3">
        <v>57</v>
      </c>
      <c r="ML13" s="3">
        <v>61</v>
      </c>
      <c r="MM13" s="3">
        <v>61</v>
      </c>
      <c r="MN13" s="8">
        <v>65</v>
      </c>
      <c r="MO13" s="3">
        <v>205</v>
      </c>
      <c r="MP13" s="24">
        <v>0.92200000000000004</v>
      </c>
      <c r="MQ13" s="24">
        <v>0</v>
      </c>
      <c r="MR13" s="24">
        <v>0.93700000000000006</v>
      </c>
      <c r="MS13" s="3">
        <v>189</v>
      </c>
      <c r="MT13" s="3">
        <v>0</v>
      </c>
      <c r="MU13" s="3">
        <v>192</v>
      </c>
      <c r="MV13" s="3">
        <v>225</v>
      </c>
      <c r="MW13" s="24">
        <v>0.97799999999999998</v>
      </c>
      <c r="MX13" s="24">
        <v>0.80400000000000005</v>
      </c>
      <c r="MY13" s="24">
        <v>0.98699999999999999</v>
      </c>
      <c r="MZ13" s="24">
        <v>0.82199999999999995</v>
      </c>
      <c r="NA13" s="24">
        <v>0.80400000000000005</v>
      </c>
      <c r="NB13" s="3">
        <v>220</v>
      </c>
      <c r="NC13" s="3">
        <v>181</v>
      </c>
      <c r="ND13" s="3">
        <v>222</v>
      </c>
      <c r="NE13" s="3">
        <v>185</v>
      </c>
      <c r="NF13" s="3">
        <v>181</v>
      </c>
      <c r="NG13" s="3">
        <v>230</v>
      </c>
      <c r="NH13" s="24">
        <v>0.96099999999999997</v>
      </c>
      <c r="NI13" s="24">
        <v>0.91300000000000003</v>
      </c>
      <c r="NJ13" s="24">
        <v>0.96099999999999997</v>
      </c>
      <c r="NK13" s="24">
        <v>0.96099999999999997</v>
      </c>
      <c r="NL13" s="24">
        <v>0.97</v>
      </c>
      <c r="NM13" s="24">
        <v>0.81299999999999994</v>
      </c>
      <c r="NN13" s="24">
        <v>0.91700000000000004</v>
      </c>
      <c r="NO13" s="24">
        <v>0.90400000000000003</v>
      </c>
      <c r="NP13" s="24">
        <v>0.97</v>
      </c>
      <c r="NQ13" s="24">
        <v>0.88700000000000001</v>
      </c>
      <c r="NR13" s="3">
        <v>221</v>
      </c>
      <c r="NS13" s="3">
        <v>210</v>
      </c>
      <c r="NT13" s="3">
        <v>221</v>
      </c>
      <c r="NU13" s="3">
        <v>221</v>
      </c>
      <c r="NV13" s="3">
        <v>223</v>
      </c>
      <c r="NW13" s="3">
        <v>187</v>
      </c>
      <c r="NX13" s="3">
        <v>211</v>
      </c>
      <c r="NY13" s="3">
        <v>208</v>
      </c>
      <c r="NZ13" s="3">
        <v>223</v>
      </c>
      <c r="OA13" s="8">
        <v>204</v>
      </c>
    </row>
    <row r="14" spans="1:391" s="3" customFormat="1" ht="12.75" x14ac:dyDescent="0.2">
      <c r="A14" s="11" t="s">
        <v>41</v>
      </c>
      <c r="B14" s="8">
        <v>9</v>
      </c>
      <c r="C14" s="11" t="s">
        <v>164</v>
      </c>
      <c r="D14" s="11" t="s">
        <v>165</v>
      </c>
      <c r="E14" s="11" t="s">
        <v>287</v>
      </c>
      <c r="F14" s="11" t="s">
        <v>287</v>
      </c>
      <c r="G14" s="11" t="s">
        <v>166</v>
      </c>
      <c r="H14" s="11" t="s">
        <v>76</v>
      </c>
      <c r="I14" s="11" t="s">
        <v>83</v>
      </c>
      <c r="J14" s="11" t="s">
        <v>269</v>
      </c>
      <c r="K14" s="11" t="s">
        <v>373</v>
      </c>
      <c r="L14" s="11" t="s">
        <v>275</v>
      </c>
      <c r="M14" s="11" t="s">
        <v>335</v>
      </c>
      <c r="N14" s="11" t="s">
        <v>404</v>
      </c>
      <c r="O14" s="11">
        <v>493070</v>
      </c>
      <c r="P14" s="11">
        <v>100629</v>
      </c>
      <c r="Q14" s="128">
        <v>23269</v>
      </c>
      <c r="R14" s="128">
        <v>80374</v>
      </c>
      <c r="S14" s="400" t="s">
        <v>817</v>
      </c>
      <c r="T14" s="38">
        <v>13435</v>
      </c>
      <c r="U14" s="44">
        <v>13285</v>
      </c>
      <c r="V14" s="44">
        <v>13270</v>
      </c>
      <c r="W14" s="44">
        <v>13255</v>
      </c>
      <c r="X14" s="44">
        <v>13215</v>
      </c>
      <c r="Y14" s="44">
        <v>13290</v>
      </c>
      <c r="Z14" s="44">
        <v>13380</v>
      </c>
      <c r="AA14" s="44">
        <v>13845</v>
      </c>
      <c r="AB14" s="44">
        <v>14270</v>
      </c>
      <c r="AC14" s="44">
        <v>14475</v>
      </c>
      <c r="AD14" s="38">
        <v>780</v>
      </c>
      <c r="AE14" s="44">
        <v>770</v>
      </c>
      <c r="AF14" s="44">
        <v>780</v>
      </c>
      <c r="AG14" s="44">
        <v>805</v>
      </c>
      <c r="AH14" s="44">
        <v>855</v>
      </c>
      <c r="AI14" s="44">
        <v>870</v>
      </c>
      <c r="AJ14" s="44">
        <v>900</v>
      </c>
      <c r="AK14" s="44">
        <v>960</v>
      </c>
      <c r="AL14" s="44">
        <v>1055</v>
      </c>
      <c r="AM14" s="44">
        <v>1032</v>
      </c>
      <c r="AN14" s="15">
        <v>872</v>
      </c>
      <c r="AO14" s="11">
        <v>712</v>
      </c>
      <c r="AP14" s="11">
        <v>101</v>
      </c>
      <c r="AQ14" s="11">
        <v>25</v>
      </c>
      <c r="AR14" s="11">
        <v>25</v>
      </c>
      <c r="AS14" s="11">
        <v>5</v>
      </c>
      <c r="AT14" s="11">
        <v>4</v>
      </c>
      <c r="AU14" s="11">
        <v>160</v>
      </c>
      <c r="AV14" s="18">
        <v>0.8165137614678899</v>
      </c>
      <c r="AW14" s="20">
        <v>0.11582568807339449</v>
      </c>
      <c r="AX14" s="20">
        <v>2.8669724770642203E-2</v>
      </c>
      <c r="AY14" s="20">
        <v>2.8669724770642203E-2</v>
      </c>
      <c r="AZ14" s="20">
        <v>5.7339449541284407E-3</v>
      </c>
      <c r="BA14" s="20">
        <v>4.5871559633027525E-3</v>
      </c>
      <c r="BB14" s="20">
        <v>0.1834862385321101</v>
      </c>
      <c r="BC14" s="15">
        <v>1967</v>
      </c>
      <c r="BD14" s="11">
        <v>1849</v>
      </c>
      <c r="BE14" s="11">
        <v>118</v>
      </c>
      <c r="BF14" s="11">
        <v>101</v>
      </c>
      <c r="BG14" s="11">
        <v>17</v>
      </c>
      <c r="BH14" s="20">
        <v>0.85593220338983056</v>
      </c>
      <c r="BI14" s="20">
        <v>0.1440677966101695</v>
      </c>
      <c r="BJ14" s="15">
        <v>1591</v>
      </c>
      <c r="BK14" s="20">
        <v>0.55499685732243875</v>
      </c>
      <c r="BL14" s="20">
        <v>0.17284726587052168</v>
      </c>
      <c r="BM14" s="20">
        <v>0.27215587680703962</v>
      </c>
      <c r="BN14" s="38">
        <v>3821</v>
      </c>
      <c r="BO14" s="44">
        <v>278</v>
      </c>
      <c r="BP14" s="44">
        <v>265</v>
      </c>
      <c r="BQ14" s="44">
        <v>130</v>
      </c>
      <c r="BR14" s="44">
        <v>2858</v>
      </c>
      <c r="BS14" s="44">
        <v>1626</v>
      </c>
      <c r="BT14" s="20">
        <v>0.14206642066420663</v>
      </c>
      <c r="BU14" s="38">
        <v>778</v>
      </c>
      <c r="BV14" s="44">
        <v>1</v>
      </c>
      <c r="BW14" s="44">
        <v>284</v>
      </c>
      <c r="BX14" s="44">
        <v>410</v>
      </c>
      <c r="BY14" s="44">
        <v>156</v>
      </c>
      <c r="BZ14" s="40">
        <v>1629</v>
      </c>
      <c r="CA14" s="44">
        <v>681</v>
      </c>
      <c r="CB14" s="44">
        <v>544</v>
      </c>
      <c r="CC14" s="44">
        <v>132</v>
      </c>
      <c r="CD14" s="44">
        <v>137</v>
      </c>
      <c r="CE14" s="19">
        <v>0.19383259911894274</v>
      </c>
      <c r="CF14" s="104">
        <v>0.2011747430249633</v>
      </c>
      <c r="CG14" s="44">
        <v>145</v>
      </c>
      <c r="CH14" s="44">
        <v>140</v>
      </c>
      <c r="CI14" s="44">
        <v>135</v>
      </c>
      <c r="CJ14" s="44">
        <v>145</v>
      </c>
      <c r="CK14" s="44">
        <v>125</v>
      </c>
      <c r="CL14" s="38">
        <v>409</v>
      </c>
      <c r="CM14" s="44">
        <v>162</v>
      </c>
      <c r="CN14" s="20">
        <v>0.39608801955990219</v>
      </c>
      <c r="CO14" s="40">
        <v>34</v>
      </c>
      <c r="CP14" s="44">
        <v>177</v>
      </c>
      <c r="CQ14" s="44">
        <v>204</v>
      </c>
      <c r="CR14" s="44">
        <v>185</v>
      </c>
      <c r="CS14" s="44">
        <v>208</v>
      </c>
      <c r="CT14" s="44">
        <v>219</v>
      </c>
      <c r="CU14" s="124" t="s">
        <v>474</v>
      </c>
      <c r="CV14" s="44">
        <v>16</v>
      </c>
      <c r="CW14" s="44">
        <v>8</v>
      </c>
      <c r="CX14" s="44">
        <v>15</v>
      </c>
      <c r="CY14" s="44">
        <v>12</v>
      </c>
      <c r="CZ14" s="44">
        <v>15</v>
      </c>
      <c r="DA14" s="120" t="s">
        <v>474</v>
      </c>
      <c r="DB14" s="15">
        <v>25</v>
      </c>
      <c r="DC14" s="15">
        <v>10</v>
      </c>
      <c r="DD14" s="20">
        <v>4.5662100456621002E-2</v>
      </c>
      <c r="DE14" s="20">
        <v>2.4989013068053595E-2</v>
      </c>
      <c r="DF14" s="20">
        <v>8.1999421430922537E-2</v>
      </c>
      <c r="DG14" s="15">
        <v>17</v>
      </c>
      <c r="DH14" s="20">
        <v>1.9495412844036698E-2</v>
      </c>
      <c r="DI14" s="423">
        <v>1</v>
      </c>
      <c r="DJ14" s="428">
        <v>1</v>
      </c>
      <c r="DK14" s="11">
        <v>382</v>
      </c>
      <c r="DL14" s="20">
        <v>6.7694488747120321E-2</v>
      </c>
      <c r="DM14" s="15">
        <v>185</v>
      </c>
      <c r="DN14" s="11">
        <v>170</v>
      </c>
      <c r="DO14" s="11">
        <v>190</v>
      </c>
      <c r="DP14" s="11">
        <v>220</v>
      </c>
      <c r="DQ14" s="11">
        <v>180</v>
      </c>
      <c r="DR14" s="15">
        <v>170</v>
      </c>
      <c r="DS14" s="20">
        <v>0.21518987341772153</v>
      </c>
      <c r="DT14" s="20">
        <v>0.18794750390615364</v>
      </c>
      <c r="DU14" s="20">
        <v>0.24518867838834907</v>
      </c>
      <c r="DV14" s="11">
        <v>195</v>
      </c>
      <c r="DW14" s="20">
        <v>0.23780487804878048</v>
      </c>
      <c r="DX14" s="20">
        <v>0.20993010848671037</v>
      </c>
      <c r="DY14" s="20">
        <v>0.2681248068175851</v>
      </c>
      <c r="DZ14" s="11">
        <v>180</v>
      </c>
      <c r="EA14" s="20">
        <v>0.21052631578947367</v>
      </c>
      <c r="EB14" s="20">
        <v>0.1845248500851728</v>
      </c>
      <c r="EC14" s="20">
        <v>0.23911731935585281</v>
      </c>
      <c r="ED14" s="11">
        <v>200</v>
      </c>
      <c r="EE14" s="20">
        <v>0.21505376344086022</v>
      </c>
      <c r="EF14" s="20">
        <v>0.1898483850630254</v>
      </c>
      <c r="EG14" s="20">
        <v>0.24260345674177852</v>
      </c>
      <c r="EH14" s="11">
        <v>220</v>
      </c>
      <c r="EI14" s="20">
        <v>0.22680412371134021</v>
      </c>
      <c r="EJ14" s="20">
        <v>0.2015585983478673</v>
      </c>
      <c r="EK14" s="20">
        <v>0.25420497055808045</v>
      </c>
      <c r="EL14" s="438">
        <v>210</v>
      </c>
      <c r="EM14" s="20">
        <v>0.1990521327014218</v>
      </c>
      <c r="EN14" s="20">
        <v>0.17606902481455933</v>
      </c>
      <c r="EO14" s="104">
        <v>0.22421890808594883</v>
      </c>
      <c r="EP14" s="38">
        <v>575</v>
      </c>
      <c r="EQ14" s="20">
        <v>0.22417153996101363</v>
      </c>
      <c r="ER14" s="44">
        <v>585</v>
      </c>
      <c r="ES14" s="20">
        <v>0.22941176470588234</v>
      </c>
      <c r="ET14" s="44">
        <v>540</v>
      </c>
      <c r="EU14" s="20">
        <v>0.2125984251968504</v>
      </c>
      <c r="EV14" s="44">
        <v>535</v>
      </c>
      <c r="EW14" s="20">
        <v>0.20150659133709981</v>
      </c>
      <c r="EX14" s="44">
        <v>515</v>
      </c>
      <c r="EY14" s="20">
        <v>0.18864468864468864</v>
      </c>
      <c r="EZ14" s="44">
        <v>505</v>
      </c>
      <c r="FA14" s="104">
        <v>0.17719298245614035</v>
      </c>
      <c r="FB14" s="11">
        <v>200</v>
      </c>
      <c r="FC14" s="11">
        <v>7</v>
      </c>
      <c r="FD14" s="11">
        <v>193</v>
      </c>
      <c r="FE14" s="19">
        <v>0.96499999999999997</v>
      </c>
      <c r="FF14" s="11">
        <v>79</v>
      </c>
      <c r="FG14" s="11">
        <v>93</v>
      </c>
      <c r="FH14" s="19">
        <v>0.40932642487046633</v>
      </c>
      <c r="FI14" s="19">
        <v>0.48186528497409326</v>
      </c>
      <c r="FJ14" s="20">
        <v>0.34238121808503996</v>
      </c>
      <c r="FK14" s="20">
        <v>0.47981083887852871</v>
      </c>
      <c r="FL14" s="20">
        <v>0.41241407003029495</v>
      </c>
      <c r="FM14" s="104">
        <v>0.55202434136241874</v>
      </c>
      <c r="FN14" s="438">
        <v>209</v>
      </c>
      <c r="FO14" s="438">
        <v>64</v>
      </c>
      <c r="FP14" s="438">
        <v>31</v>
      </c>
      <c r="FQ14" s="438">
        <v>95</v>
      </c>
      <c r="FR14" s="497">
        <v>0.30622009569377989</v>
      </c>
      <c r="FS14" s="497">
        <v>0.45454545454545453</v>
      </c>
      <c r="FT14" s="497">
        <v>0.24769644721436151</v>
      </c>
      <c r="FU14" s="497">
        <v>0.37173859871699755</v>
      </c>
      <c r="FV14" s="497">
        <v>0.38846669222114139</v>
      </c>
      <c r="FW14" s="104">
        <v>0.52226498521954778</v>
      </c>
      <c r="FX14" s="438">
        <v>153</v>
      </c>
      <c r="FY14" s="438">
        <v>1</v>
      </c>
      <c r="FZ14" s="438">
        <v>152</v>
      </c>
      <c r="GA14" s="497">
        <v>0.99346405228758172</v>
      </c>
      <c r="GB14" s="438">
        <v>52</v>
      </c>
      <c r="GC14" s="438">
        <v>22</v>
      </c>
      <c r="GD14" s="438">
        <v>74</v>
      </c>
      <c r="GE14" s="497">
        <v>0.34210526315789475</v>
      </c>
      <c r="GF14" s="497">
        <v>0.48684210526315791</v>
      </c>
      <c r="GG14" s="497">
        <v>0.27141142849952499</v>
      </c>
      <c r="GH14" s="497">
        <v>0.42058324119086105</v>
      </c>
      <c r="GI14" s="497">
        <v>0.40869170715931197</v>
      </c>
      <c r="GJ14" s="104">
        <v>0.56564118198155355</v>
      </c>
      <c r="GK14" s="11">
        <v>132</v>
      </c>
      <c r="GL14" s="11">
        <v>14</v>
      </c>
      <c r="GM14" s="20">
        <v>0.106</v>
      </c>
      <c r="GN14" s="20">
        <v>6.4000000000000001E-2</v>
      </c>
      <c r="GO14" s="20">
        <v>0.17</v>
      </c>
      <c r="GP14" s="351" t="s">
        <v>725</v>
      </c>
      <c r="GQ14" s="11">
        <v>141</v>
      </c>
      <c r="GR14" s="11">
        <v>14</v>
      </c>
      <c r="GS14" s="20">
        <v>9.9000000000000005E-2</v>
      </c>
      <c r="GT14" s="20">
        <v>0.06</v>
      </c>
      <c r="GU14" s="20">
        <v>0.16</v>
      </c>
      <c r="GV14" s="11" t="s">
        <v>725</v>
      </c>
      <c r="GW14" s="11">
        <v>157</v>
      </c>
      <c r="GX14" s="11">
        <v>23</v>
      </c>
      <c r="GY14" s="20">
        <v>0.1464968152866242</v>
      </c>
      <c r="GZ14" s="20">
        <v>9.9644421057218227E-2</v>
      </c>
      <c r="HA14" s="20">
        <v>0.21023500422365618</v>
      </c>
      <c r="HB14" s="11" t="s">
        <v>727</v>
      </c>
      <c r="HC14" s="11">
        <v>177</v>
      </c>
      <c r="HD14" s="11">
        <v>17</v>
      </c>
      <c r="HE14" s="20">
        <v>9.6045197740112997E-2</v>
      </c>
      <c r="HF14" s="20">
        <v>6.0832403068680117E-2</v>
      </c>
      <c r="HG14" s="20">
        <v>0.14841971791876588</v>
      </c>
      <c r="HH14" s="11" t="s">
        <v>725</v>
      </c>
      <c r="HI14" s="11">
        <v>141</v>
      </c>
      <c r="HJ14" s="11">
        <v>10</v>
      </c>
      <c r="HK14" s="19">
        <v>7.0921985815602842E-2</v>
      </c>
      <c r="HL14" s="20">
        <v>3.897663408844456E-2</v>
      </c>
      <c r="HM14" s="20">
        <v>0.12562719560791713</v>
      </c>
      <c r="HN14" s="11" t="s">
        <v>725</v>
      </c>
      <c r="HO14" s="11">
        <v>165</v>
      </c>
      <c r="HP14" s="11">
        <v>13</v>
      </c>
      <c r="HQ14" s="497">
        <v>7.8787878787878782E-2</v>
      </c>
      <c r="HR14" s="497">
        <v>4.6619841145313409E-2</v>
      </c>
      <c r="HS14" s="497">
        <v>0.13012264277497235</v>
      </c>
      <c r="HT14" s="8" t="str">
        <f t="shared" si="0"/>
        <v>No Sig diff</v>
      </c>
      <c r="HU14" s="11">
        <v>155</v>
      </c>
      <c r="HV14" s="11">
        <v>33</v>
      </c>
      <c r="HW14" s="20">
        <v>0.2129032258064516</v>
      </c>
      <c r="HX14" s="20">
        <v>0.15580823566402421</v>
      </c>
      <c r="HY14" s="20">
        <v>0.28388464640358285</v>
      </c>
      <c r="HZ14" s="11" t="s">
        <v>725</v>
      </c>
      <c r="IA14" s="11">
        <v>124</v>
      </c>
      <c r="IB14" s="11">
        <v>25</v>
      </c>
      <c r="IC14" s="20">
        <v>0.20161290322580644</v>
      </c>
      <c r="ID14" s="20">
        <v>0.14045648042948655</v>
      </c>
      <c r="IE14" s="20">
        <v>0.28070156420930498</v>
      </c>
      <c r="IF14" s="11" t="s">
        <v>725</v>
      </c>
      <c r="IG14" s="11">
        <v>114</v>
      </c>
      <c r="IH14" s="11">
        <v>22</v>
      </c>
      <c r="II14" s="20">
        <v>0.19298245614035087</v>
      </c>
      <c r="IJ14" s="20">
        <v>0.13103892161535791</v>
      </c>
      <c r="IK14" s="20">
        <v>0.27494263444708866</v>
      </c>
      <c r="IL14" s="11" t="s">
        <v>725</v>
      </c>
      <c r="IM14" s="11">
        <v>112</v>
      </c>
      <c r="IN14" s="11">
        <v>20</v>
      </c>
      <c r="IO14" s="20">
        <v>0.17857142857142858</v>
      </c>
      <c r="IP14" s="20">
        <v>0.11867660544910416</v>
      </c>
      <c r="IQ14" s="20">
        <v>0.25978426052250259</v>
      </c>
      <c r="IR14" s="11" t="s">
        <v>725</v>
      </c>
      <c r="IS14" s="11">
        <v>155</v>
      </c>
      <c r="IT14" s="11">
        <v>40</v>
      </c>
      <c r="IU14" s="20">
        <v>0.25806451612903225</v>
      </c>
      <c r="IV14" s="20">
        <v>0.19561676753450549</v>
      </c>
      <c r="IW14" s="20">
        <v>0.33221431285954539</v>
      </c>
      <c r="IX14" s="580" t="s">
        <v>727</v>
      </c>
      <c r="IY14" s="580">
        <v>128</v>
      </c>
      <c r="IZ14" s="580">
        <v>36</v>
      </c>
      <c r="JA14" s="497">
        <v>0.28125</v>
      </c>
      <c r="JB14" s="497">
        <v>0.21061322708681729</v>
      </c>
      <c r="JC14" s="497">
        <v>0.36463419128284263</v>
      </c>
      <c r="JD14" s="371" t="str">
        <f t="shared" si="1"/>
        <v>No sig diff</v>
      </c>
      <c r="JE14" s="11">
        <v>174</v>
      </c>
      <c r="JF14" s="11">
        <v>66</v>
      </c>
      <c r="JG14" s="20">
        <v>0.37931034482758619</v>
      </c>
      <c r="JH14" s="20">
        <v>0.31055707756930351</v>
      </c>
      <c r="JI14" s="20">
        <v>0.45327751826391088</v>
      </c>
      <c r="JJ14" s="11">
        <v>174</v>
      </c>
      <c r="JK14" s="11">
        <v>31</v>
      </c>
      <c r="JL14" s="11">
        <v>34</v>
      </c>
      <c r="JM14" s="384">
        <v>19.382352941176478</v>
      </c>
      <c r="JN14" s="20">
        <v>0.37476280834914588</v>
      </c>
      <c r="JO14" s="11">
        <v>199</v>
      </c>
      <c r="JP14" s="11">
        <v>88</v>
      </c>
      <c r="JQ14" s="20">
        <v>0.44221105527638194</v>
      </c>
      <c r="JR14" s="20">
        <v>0.37494971073800898</v>
      </c>
      <c r="JS14" s="20">
        <v>0.5116612408213006</v>
      </c>
      <c r="JT14" s="11">
        <v>199</v>
      </c>
      <c r="JU14" s="11">
        <v>33</v>
      </c>
      <c r="JV14" s="11">
        <v>39</v>
      </c>
      <c r="JW14" s="384">
        <v>20.333333333333332</v>
      </c>
      <c r="JX14" s="20">
        <v>0.38383838383838387</v>
      </c>
      <c r="JY14" s="44">
        <v>184</v>
      </c>
      <c r="JZ14" s="44">
        <v>93</v>
      </c>
      <c r="KA14" s="20">
        <v>0.50543478260869568</v>
      </c>
      <c r="KB14" s="20">
        <v>0.43382508794978164</v>
      </c>
      <c r="KC14" s="20">
        <v>0.57682218881519032</v>
      </c>
      <c r="KD14" s="438">
        <v>33</v>
      </c>
      <c r="KE14" s="438">
        <v>36</v>
      </c>
      <c r="KF14" s="384">
        <v>18.100000000000001</v>
      </c>
      <c r="KG14" s="104">
        <v>0.45200000000000001</v>
      </c>
      <c r="KH14" s="20">
        <v>0.80888710055376711</v>
      </c>
      <c r="KI14" s="20">
        <v>0.1911128994462328</v>
      </c>
      <c r="KJ14" s="20">
        <v>0.12559204496833837</v>
      </c>
      <c r="KK14" s="20">
        <v>0.27354270907748762</v>
      </c>
      <c r="KL14" s="20">
        <v>0.8403833820500487</v>
      </c>
      <c r="KM14" s="20">
        <v>0.1596166179499513</v>
      </c>
      <c r="KN14" s="20">
        <v>0.11019873582848602</v>
      </c>
      <c r="KO14" s="20">
        <v>0.25251994270496581</v>
      </c>
      <c r="KP14" s="20">
        <v>0.85686689853356524</v>
      </c>
      <c r="KQ14" s="20">
        <v>0.14313310146643482</v>
      </c>
      <c r="KR14" s="20">
        <v>9.5097773135579794E-2</v>
      </c>
      <c r="KS14" s="20">
        <v>0.23120482988549781</v>
      </c>
      <c r="KT14" s="20">
        <v>0.65537163453830127</v>
      </c>
      <c r="KU14" s="20">
        <v>0.34462836546169878</v>
      </c>
      <c r="KV14" s="20">
        <v>0.26503550667530684</v>
      </c>
      <c r="KW14" s="104">
        <v>0.44363588922569969</v>
      </c>
      <c r="KX14" s="438">
        <v>13</v>
      </c>
      <c r="KY14" s="438">
        <v>104</v>
      </c>
      <c r="KZ14" s="497">
        <v>0.125</v>
      </c>
      <c r="LA14" s="497">
        <v>7.4526025237809115E-2</v>
      </c>
      <c r="LB14" s="497">
        <v>0.20218999054152978</v>
      </c>
      <c r="LC14" s="438">
        <v>8</v>
      </c>
      <c r="LD14" s="438">
        <v>105</v>
      </c>
      <c r="LE14" s="497">
        <v>7.6190476190476197E-2</v>
      </c>
      <c r="LF14" s="497">
        <v>3.9110652430768944E-2</v>
      </c>
      <c r="LG14" s="497">
        <v>0.14318623182342891</v>
      </c>
      <c r="LH14" s="438">
        <v>10</v>
      </c>
      <c r="LI14" s="438">
        <v>104</v>
      </c>
      <c r="LJ14" s="497">
        <v>9.6153846153846159E-2</v>
      </c>
      <c r="LK14" s="497">
        <v>5.3069968681280236E-2</v>
      </c>
      <c r="LL14" s="497">
        <v>0.1680088175426232</v>
      </c>
      <c r="LM14" s="438">
        <v>26</v>
      </c>
      <c r="LN14" s="438">
        <v>104</v>
      </c>
      <c r="LO14" s="497">
        <v>0.25</v>
      </c>
      <c r="LP14" s="497">
        <v>0.17669640355383198</v>
      </c>
      <c r="LQ14" s="104">
        <v>0.34111427363239394</v>
      </c>
      <c r="LR14" s="11">
        <v>55</v>
      </c>
      <c r="LS14" s="11">
        <v>53</v>
      </c>
      <c r="LT14" s="11">
        <v>54</v>
      </c>
      <c r="LU14" s="11">
        <v>53</v>
      </c>
      <c r="LV14" s="11">
        <v>54</v>
      </c>
      <c r="LW14" s="11">
        <v>50</v>
      </c>
      <c r="LX14" s="11">
        <v>46</v>
      </c>
      <c r="LY14" s="11">
        <v>44</v>
      </c>
      <c r="LZ14" s="11">
        <v>46</v>
      </c>
      <c r="MA14" s="11">
        <v>44</v>
      </c>
      <c r="MB14" s="11">
        <v>45</v>
      </c>
      <c r="MC14" s="11">
        <v>45</v>
      </c>
      <c r="MD14" s="11">
        <v>45</v>
      </c>
      <c r="ME14" s="11">
        <v>49</v>
      </c>
      <c r="MF14" s="11">
        <v>42</v>
      </c>
      <c r="MG14" s="11">
        <v>44</v>
      </c>
      <c r="MH14" s="11">
        <v>39</v>
      </c>
      <c r="MI14" s="11">
        <v>44</v>
      </c>
      <c r="MJ14" s="11">
        <v>45</v>
      </c>
      <c r="MK14" s="11">
        <v>41</v>
      </c>
      <c r="ML14" s="11">
        <v>45</v>
      </c>
      <c r="MM14" s="11">
        <v>41</v>
      </c>
      <c r="MN14" s="8">
        <v>47</v>
      </c>
      <c r="MO14" s="3">
        <v>139</v>
      </c>
      <c r="MP14" s="24">
        <v>0.97799999999999998</v>
      </c>
      <c r="MQ14" s="24">
        <v>1.4E-2</v>
      </c>
      <c r="MR14" s="24">
        <v>0.97099999999999997</v>
      </c>
      <c r="MS14" s="3">
        <v>136</v>
      </c>
      <c r="MT14" s="3">
        <v>2</v>
      </c>
      <c r="MU14" s="3">
        <v>135</v>
      </c>
      <c r="MV14" s="3">
        <v>174</v>
      </c>
      <c r="MW14" s="24">
        <v>0.97099999999999997</v>
      </c>
      <c r="MX14" s="24">
        <v>0.95399999999999996</v>
      </c>
      <c r="MY14" s="24">
        <v>0.97699999999999998</v>
      </c>
      <c r="MZ14" s="24">
        <v>0.94799999999999995</v>
      </c>
      <c r="NA14" s="24">
        <v>0.95399999999999996</v>
      </c>
      <c r="NB14" s="3">
        <v>169</v>
      </c>
      <c r="NC14" s="3">
        <v>166</v>
      </c>
      <c r="ND14" s="3">
        <v>170</v>
      </c>
      <c r="NE14" s="3">
        <v>165</v>
      </c>
      <c r="NF14" s="3">
        <v>166</v>
      </c>
      <c r="NG14" s="3">
        <v>149</v>
      </c>
      <c r="NH14" s="24">
        <v>0.97299999999999998</v>
      </c>
      <c r="NI14" s="24">
        <v>0.96</v>
      </c>
      <c r="NJ14" s="24">
        <v>0.97299999999999998</v>
      </c>
      <c r="NK14" s="24">
        <v>0.97299999999999998</v>
      </c>
      <c r="NL14" s="24">
        <v>0.95299999999999996</v>
      </c>
      <c r="NM14" s="24">
        <v>0.95299999999999996</v>
      </c>
      <c r="NN14" s="24">
        <v>0.95299999999999996</v>
      </c>
      <c r="NO14" s="24">
        <v>0.94</v>
      </c>
      <c r="NP14" s="24">
        <v>0.95299999999999996</v>
      </c>
      <c r="NQ14" s="24">
        <v>0.94</v>
      </c>
      <c r="NR14" s="3">
        <v>145</v>
      </c>
      <c r="NS14" s="3">
        <v>143</v>
      </c>
      <c r="NT14" s="3">
        <v>145</v>
      </c>
      <c r="NU14" s="3">
        <v>145</v>
      </c>
      <c r="NV14" s="3">
        <v>142</v>
      </c>
      <c r="NW14" s="3">
        <v>142</v>
      </c>
      <c r="NX14" s="3">
        <v>142</v>
      </c>
      <c r="NY14" s="3">
        <v>140</v>
      </c>
      <c r="NZ14" s="3">
        <v>142</v>
      </c>
      <c r="OA14" s="8">
        <v>140</v>
      </c>
    </row>
    <row r="15" spans="1:391" s="3" customFormat="1" ht="12.75" x14ac:dyDescent="0.2">
      <c r="A15" s="11" t="s">
        <v>42</v>
      </c>
      <c r="B15" s="8">
        <v>10</v>
      </c>
      <c r="C15" s="11" t="s">
        <v>167</v>
      </c>
      <c r="D15" s="11" t="s">
        <v>168</v>
      </c>
      <c r="E15" s="11" t="s">
        <v>287</v>
      </c>
      <c r="F15" s="11" t="s">
        <v>287</v>
      </c>
      <c r="G15" s="11" t="s">
        <v>169</v>
      </c>
      <c r="H15" s="11" t="s">
        <v>77</v>
      </c>
      <c r="I15" s="11" t="s">
        <v>83</v>
      </c>
      <c r="J15" s="11" t="s">
        <v>269</v>
      </c>
      <c r="K15" s="11" t="s">
        <v>373</v>
      </c>
      <c r="L15" s="11" t="s">
        <v>275</v>
      </c>
      <c r="M15" s="11" t="s">
        <v>907</v>
      </c>
      <c r="N15" s="3" t="s">
        <v>404</v>
      </c>
      <c r="O15" s="11">
        <v>493023</v>
      </c>
      <c r="P15" s="11">
        <v>99535</v>
      </c>
      <c r="Q15" s="128">
        <v>20357</v>
      </c>
      <c r="R15" s="128" t="s">
        <v>287</v>
      </c>
      <c r="S15" s="400" t="s">
        <v>817</v>
      </c>
      <c r="T15" s="38">
        <v>30680</v>
      </c>
      <c r="U15" s="39">
        <v>30925</v>
      </c>
      <c r="V15" s="39">
        <v>31290</v>
      </c>
      <c r="W15" s="39">
        <v>31455</v>
      </c>
      <c r="X15" s="39">
        <v>31615</v>
      </c>
      <c r="Y15" s="39">
        <v>31785</v>
      </c>
      <c r="Z15" s="39">
        <v>31830</v>
      </c>
      <c r="AA15" s="39">
        <v>32005</v>
      </c>
      <c r="AB15" s="39">
        <v>32230</v>
      </c>
      <c r="AC15" s="44">
        <v>32745</v>
      </c>
      <c r="AD15" s="38">
        <v>1220</v>
      </c>
      <c r="AE15" s="39">
        <v>1250</v>
      </c>
      <c r="AF15" s="39">
        <v>1320</v>
      </c>
      <c r="AG15" s="39">
        <v>1370</v>
      </c>
      <c r="AH15" s="39">
        <v>1485</v>
      </c>
      <c r="AI15" s="39">
        <v>1520</v>
      </c>
      <c r="AJ15" s="39">
        <v>1605</v>
      </c>
      <c r="AK15" s="39">
        <v>1620</v>
      </c>
      <c r="AL15" s="39">
        <v>1640</v>
      </c>
      <c r="AM15" s="44">
        <v>1627</v>
      </c>
      <c r="AN15" s="15">
        <v>1556</v>
      </c>
      <c r="AO15" s="3">
        <v>1277</v>
      </c>
      <c r="AP15" s="3">
        <v>181</v>
      </c>
      <c r="AQ15" s="3">
        <v>54</v>
      </c>
      <c r="AR15" s="3">
        <v>40</v>
      </c>
      <c r="AS15" s="3">
        <v>2</v>
      </c>
      <c r="AT15" s="3">
        <v>2</v>
      </c>
      <c r="AU15" s="11">
        <v>279</v>
      </c>
      <c r="AV15" s="18">
        <v>0.82069408740359895</v>
      </c>
      <c r="AW15" s="19">
        <v>0.11632390745501285</v>
      </c>
      <c r="AX15" s="19">
        <v>3.4704370179948589E-2</v>
      </c>
      <c r="AY15" s="19">
        <v>2.570694087403599E-2</v>
      </c>
      <c r="AZ15" s="19">
        <v>1.2853470437017994E-3</v>
      </c>
      <c r="BA15" s="19">
        <v>1.2853470437017994E-3</v>
      </c>
      <c r="BB15" s="20">
        <v>0.17930591259640105</v>
      </c>
      <c r="BC15" s="15">
        <v>3362</v>
      </c>
      <c r="BD15" s="3">
        <v>3150</v>
      </c>
      <c r="BE15" s="3">
        <v>212</v>
      </c>
      <c r="BF15" s="3">
        <v>153</v>
      </c>
      <c r="BG15" s="3">
        <v>59</v>
      </c>
      <c r="BH15" s="19">
        <v>0.72169811320754718</v>
      </c>
      <c r="BI15" s="20">
        <v>0.27830188679245282</v>
      </c>
      <c r="BJ15" s="15">
        <v>2782</v>
      </c>
      <c r="BK15" s="19">
        <v>0.54025880661394676</v>
      </c>
      <c r="BL15" s="19">
        <v>0.10639827462257369</v>
      </c>
      <c r="BM15" s="20">
        <v>0.35334291876347951</v>
      </c>
      <c r="BN15" s="38">
        <v>9247</v>
      </c>
      <c r="BO15" s="39">
        <v>590</v>
      </c>
      <c r="BP15" s="39">
        <v>458</v>
      </c>
      <c r="BQ15" s="39">
        <v>203</v>
      </c>
      <c r="BR15" s="39">
        <v>4972</v>
      </c>
      <c r="BS15" s="39">
        <v>2956</v>
      </c>
      <c r="BT15" s="20">
        <v>0.12990527740189445</v>
      </c>
      <c r="BU15" s="38">
        <v>1514</v>
      </c>
      <c r="BV15" s="39">
        <v>2</v>
      </c>
      <c r="BW15" s="39">
        <v>478</v>
      </c>
      <c r="BX15" s="39">
        <v>708</v>
      </c>
      <c r="BY15" s="39">
        <v>277</v>
      </c>
      <c r="BZ15" s="40">
        <v>2979</v>
      </c>
      <c r="CA15" s="39">
        <v>1263</v>
      </c>
      <c r="CB15" s="39">
        <v>1001</v>
      </c>
      <c r="CC15" s="39">
        <v>258</v>
      </c>
      <c r="CD15" s="39">
        <v>262</v>
      </c>
      <c r="CE15" s="19">
        <v>0.20427553444180521</v>
      </c>
      <c r="CF15" s="104">
        <v>0.20744259699129058</v>
      </c>
      <c r="CG15" s="39">
        <v>235</v>
      </c>
      <c r="CH15" s="39">
        <v>210</v>
      </c>
      <c r="CI15" s="39">
        <v>190</v>
      </c>
      <c r="CJ15" s="39">
        <v>185</v>
      </c>
      <c r="CK15" s="44">
        <v>145</v>
      </c>
      <c r="CL15" s="38">
        <v>702</v>
      </c>
      <c r="CM15" s="39">
        <v>263</v>
      </c>
      <c r="CN15" s="19">
        <v>0.37464387464387466</v>
      </c>
      <c r="CO15" s="40">
        <v>63</v>
      </c>
      <c r="CP15" s="39">
        <v>317</v>
      </c>
      <c r="CQ15" s="39">
        <v>327</v>
      </c>
      <c r="CR15" s="39">
        <v>342</v>
      </c>
      <c r="CS15" s="39">
        <v>357</v>
      </c>
      <c r="CT15" s="39">
        <v>338</v>
      </c>
      <c r="CU15" s="124" t="s">
        <v>474</v>
      </c>
      <c r="CV15" s="39">
        <v>33</v>
      </c>
      <c r="CW15" s="39">
        <v>19</v>
      </c>
      <c r="CX15" s="39">
        <v>22</v>
      </c>
      <c r="CY15" s="39">
        <v>18</v>
      </c>
      <c r="CZ15" s="39">
        <v>21</v>
      </c>
      <c r="DA15" s="120" t="s">
        <v>474</v>
      </c>
      <c r="DB15" s="15">
        <v>39</v>
      </c>
      <c r="DC15" s="15">
        <v>22</v>
      </c>
      <c r="DD15" s="19">
        <v>6.5088757396449703E-2</v>
      </c>
      <c r="DE15" s="19">
        <v>4.3373169178803433E-2</v>
      </c>
      <c r="DF15" s="20">
        <v>9.6579015046423536E-2</v>
      </c>
      <c r="DG15" s="15">
        <v>33</v>
      </c>
      <c r="DH15" s="20">
        <v>2.1249195106245976E-2</v>
      </c>
      <c r="DI15" s="423">
        <v>2</v>
      </c>
      <c r="DJ15" s="428">
        <v>3</v>
      </c>
      <c r="DK15" s="3">
        <v>766</v>
      </c>
      <c r="DL15" s="20">
        <v>5.2176282269600166E-2</v>
      </c>
      <c r="DM15" s="15">
        <v>285</v>
      </c>
      <c r="DN15" s="3">
        <v>275</v>
      </c>
      <c r="DO15" s="3">
        <v>300</v>
      </c>
      <c r="DP15" s="3">
        <v>275</v>
      </c>
      <c r="DQ15" s="11">
        <v>280</v>
      </c>
      <c r="DR15" s="15">
        <v>275</v>
      </c>
      <c r="DS15" s="19">
        <v>0.20146520146520147</v>
      </c>
      <c r="DT15" s="19">
        <v>0.18103846676180083</v>
      </c>
      <c r="DU15" s="19">
        <v>0.22356752705274099</v>
      </c>
      <c r="DV15" s="3">
        <v>285</v>
      </c>
      <c r="DW15" s="19">
        <v>0.19453924914675769</v>
      </c>
      <c r="DX15" s="19">
        <v>0.17507882437604008</v>
      </c>
      <c r="DY15" s="19">
        <v>0.2155974159864977</v>
      </c>
      <c r="DZ15" s="3">
        <v>275</v>
      </c>
      <c r="EA15" s="19">
        <v>0.18394648829431437</v>
      </c>
      <c r="EB15" s="19">
        <v>0.16512538640137919</v>
      </c>
      <c r="EC15" s="19">
        <v>0.20438765019187269</v>
      </c>
      <c r="ED15" s="3">
        <v>325</v>
      </c>
      <c r="EE15" s="19">
        <v>0.20504731861198738</v>
      </c>
      <c r="EF15" s="19">
        <v>0.18589558677679272</v>
      </c>
      <c r="EG15" s="19">
        <v>0.22562530801783531</v>
      </c>
      <c r="EH15" s="3">
        <v>285</v>
      </c>
      <c r="EI15" s="20">
        <v>0.17757009345794392</v>
      </c>
      <c r="EJ15" s="20">
        <v>0.15965059730348807</v>
      </c>
      <c r="EK15" s="20">
        <v>0.19702933263897432</v>
      </c>
      <c r="EL15" s="438">
        <v>275</v>
      </c>
      <c r="EM15" s="20">
        <v>0.17405063291139242</v>
      </c>
      <c r="EN15" s="20">
        <v>0.15615178049885065</v>
      </c>
      <c r="EO15" s="104">
        <v>0.19353060452539078</v>
      </c>
      <c r="EP15" s="38">
        <v>740</v>
      </c>
      <c r="EQ15" s="20">
        <v>0.17350527549824149</v>
      </c>
      <c r="ER15" s="44">
        <v>795</v>
      </c>
      <c r="ES15" s="20">
        <v>0.18027210884353742</v>
      </c>
      <c r="ET15" s="44">
        <v>785</v>
      </c>
      <c r="EU15" s="20">
        <v>0.17720090293453725</v>
      </c>
      <c r="EV15" s="44">
        <v>780</v>
      </c>
      <c r="EW15" s="20">
        <v>0.17488789237668162</v>
      </c>
      <c r="EX15" s="44">
        <v>650</v>
      </c>
      <c r="EY15" s="20">
        <v>0.14541387024608501</v>
      </c>
      <c r="EZ15" s="44">
        <v>645</v>
      </c>
      <c r="FA15" s="104">
        <v>0.14285714285714285</v>
      </c>
      <c r="FB15" s="3">
        <v>340</v>
      </c>
      <c r="FC15" s="3">
        <v>7</v>
      </c>
      <c r="FD15" s="3">
        <v>333</v>
      </c>
      <c r="FE15" s="19">
        <v>0.97941176470588232</v>
      </c>
      <c r="FF15" s="3">
        <v>123</v>
      </c>
      <c r="FG15" s="3">
        <v>149</v>
      </c>
      <c r="FH15" s="19">
        <v>0.36936936936936937</v>
      </c>
      <c r="FI15" s="19">
        <v>0.44744744744744747</v>
      </c>
      <c r="FJ15" s="19">
        <v>0.31929566467294879</v>
      </c>
      <c r="FK15" s="19">
        <v>0.42242269790459519</v>
      </c>
      <c r="FL15" s="19">
        <v>0.39494261979372203</v>
      </c>
      <c r="FM15" s="104">
        <v>0.50115097434666911</v>
      </c>
      <c r="FN15" s="438">
        <v>271</v>
      </c>
      <c r="FO15" s="438">
        <v>101</v>
      </c>
      <c r="FP15" s="438">
        <v>33</v>
      </c>
      <c r="FQ15" s="438">
        <v>134</v>
      </c>
      <c r="FR15" s="497">
        <v>0.37269372693726938</v>
      </c>
      <c r="FS15" s="497">
        <v>0.49446494464944651</v>
      </c>
      <c r="FT15" s="497">
        <v>0.31728137175515225</v>
      </c>
      <c r="FU15" s="497">
        <v>0.43166480144568414</v>
      </c>
      <c r="FV15" s="497">
        <v>0.43543370004843801</v>
      </c>
      <c r="FW15" s="104">
        <v>0.55365091617768536</v>
      </c>
      <c r="FX15" s="438">
        <v>403</v>
      </c>
      <c r="FY15" s="438">
        <v>30</v>
      </c>
      <c r="FZ15" s="438">
        <v>373</v>
      </c>
      <c r="GA15" s="497">
        <v>0.92555831265508681</v>
      </c>
      <c r="GB15" s="438">
        <v>128</v>
      </c>
      <c r="GC15" s="438">
        <v>50</v>
      </c>
      <c r="GD15" s="438">
        <v>178</v>
      </c>
      <c r="GE15" s="497">
        <v>0.34316353887399464</v>
      </c>
      <c r="GF15" s="497">
        <v>0.47721179624664878</v>
      </c>
      <c r="GG15" s="497">
        <v>0.29680117703447695</v>
      </c>
      <c r="GH15" s="497">
        <v>0.39272343003464577</v>
      </c>
      <c r="GI15" s="497">
        <v>0.42701376243941813</v>
      </c>
      <c r="GJ15" s="104">
        <v>0.52787442833130915</v>
      </c>
      <c r="GK15" s="3">
        <v>269</v>
      </c>
      <c r="GL15" s="3">
        <v>33</v>
      </c>
      <c r="GM15" s="19">
        <v>0.12267657992565056</v>
      </c>
      <c r="GN15" s="19">
        <v>8.8701014841697901E-2</v>
      </c>
      <c r="GO15" s="19">
        <v>0.1672771606253689</v>
      </c>
      <c r="GP15" s="353" t="s">
        <v>725</v>
      </c>
      <c r="GQ15" s="3">
        <v>228</v>
      </c>
      <c r="GR15" s="3">
        <v>23</v>
      </c>
      <c r="GS15" s="19">
        <v>0.10087719298245613</v>
      </c>
      <c r="GT15" s="19">
        <v>6.8163691398398854E-2</v>
      </c>
      <c r="GU15" s="19">
        <v>0.14681709363557319</v>
      </c>
      <c r="GV15" s="3" t="s">
        <v>725</v>
      </c>
      <c r="GW15" s="3">
        <v>261</v>
      </c>
      <c r="GX15" s="3">
        <v>37</v>
      </c>
      <c r="GY15" s="19">
        <v>0.1417624521072797</v>
      </c>
      <c r="GZ15" s="19">
        <v>0.10462973464394934</v>
      </c>
      <c r="HA15" s="19">
        <v>0.18928746082579473</v>
      </c>
      <c r="HB15" s="3" t="s">
        <v>727</v>
      </c>
      <c r="HC15" s="3">
        <v>297</v>
      </c>
      <c r="HD15" s="3">
        <v>28</v>
      </c>
      <c r="HE15" s="19">
        <v>9.4276094276094277E-2</v>
      </c>
      <c r="HF15" s="19">
        <v>6.6032790014041221E-2</v>
      </c>
      <c r="HG15" s="19">
        <v>0.13288081403266863</v>
      </c>
      <c r="HH15" s="3" t="s">
        <v>725</v>
      </c>
      <c r="HI15" s="3">
        <v>242</v>
      </c>
      <c r="HJ15" s="3">
        <v>23</v>
      </c>
      <c r="HK15" s="19">
        <v>9.5041322314049589E-2</v>
      </c>
      <c r="HL15" s="19">
        <v>6.4167115009072531E-2</v>
      </c>
      <c r="HM15" s="19">
        <v>0.13857110115586763</v>
      </c>
      <c r="HN15" s="11" t="s">
        <v>725</v>
      </c>
      <c r="HO15" s="11">
        <v>257</v>
      </c>
      <c r="HP15" s="11">
        <v>27</v>
      </c>
      <c r="HQ15" s="497">
        <v>0.10505836575875487</v>
      </c>
      <c r="HR15" s="497">
        <v>7.32118175113744E-2</v>
      </c>
      <c r="HS15" s="497">
        <v>0.14853766618728528</v>
      </c>
      <c r="HT15" s="8" t="str">
        <f t="shared" si="0"/>
        <v>No Sig diff</v>
      </c>
      <c r="HU15" s="3">
        <v>205</v>
      </c>
      <c r="HV15" s="3">
        <v>42</v>
      </c>
      <c r="HW15" s="19">
        <v>0.20487804878048779</v>
      </c>
      <c r="HX15" s="19">
        <v>0.15529811076434766</v>
      </c>
      <c r="HY15" s="19">
        <v>0.2653150151768599</v>
      </c>
      <c r="HZ15" s="3" t="s">
        <v>725</v>
      </c>
      <c r="IA15" s="3">
        <v>218</v>
      </c>
      <c r="IB15" s="3">
        <v>44</v>
      </c>
      <c r="IC15" s="19">
        <v>0.20183486238532111</v>
      </c>
      <c r="ID15" s="19">
        <v>0.15392950781363002</v>
      </c>
      <c r="IE15" s="19">
        <v>0.26006641210558595</v>
      </c>
      <c r="IF15" s="3" t="s">
        <v>725</v>
      </c>
      <c r="IG15" s="3">
        <v>200</v>
      </c>
      <c r="IH15" s="3">
        <v>37</v>
      </c>
      <c r="II15" s="19">
        <v>0.185</v>
      </c>
      <c r="IJ15" s="19">
        <v>0.13730192800616048</v>
      </c>
      <c r="IK15" s="19">
        <v>0.24457062761151749</v>
      </c>
      <c r="IL15" s="3" t="s">
        <v>725</v>
      </c>
      <c r="IM15" s="3">
        <v>189</v>
      </c>
      <c r="IN15" s="3">
        <v>36</v>
      </c>
      <c r="IO15" s="19">
        <v>0.19047619047619047</v>
      </c>
      <c r="IP15" s="19">
        <v>0.14087796358983723</v>
      </c>
      <c r="IQ15" s="19">
        <v>0.25240602878657525</v>
      </c>
      <c r="IR15" s="3" t="s">
        <v>725</v>
      </c>
      <c r="IS15" s="3">
        <v>221</v>
      </c>
      <c r="IT15" s="3">
        <v>38</v>
      </c>
      <c r="IU15" s="19">
        <v>0.17194570135746606</v>
      </c>
      <c r="IV15" s="19">
        <v>0.12791177353920713</v>
      </c>
      <c r="IW15" s="19">
        <v>0.22718936856984601</v>
      </c>
      <c r="IX15" s="580" t="s">
        <v>725</v>
      </c>
      <c r="IY15" s="580">
        <v>222</v>
      </c>
      <c r="IZ15" s="580">
        <v>34</v>
      </c>
      <c r="JA15" s="497">
        <v>0.15315315315315314</v>
      </c>
      <c r="JB15" s="497">
        <v>0.11171474369469199</v>
      </c>
      <c r="JC15" s="497">
        <v>0.2063909716856375</v>
      </c>
      <c r="JD15" s="371" t="str">
        <f t="shared" si="1"/>
        <v>Sig better than Eng.</v>
      </c>
      <c r="JE15" s="3">
        <v>314</v>
      </c>
      <c r="JF15" s="3">
        <v>104</v>
      </c>
      <c r="JG15" s="19">
        <v>0.33121019108280253</v>
      </c>
      <c r="JH15" s="19">
        <v>0.28146844278901645</v>
      </c>
      <c r="JI15" s="19">
        <v>0.38503195526069667</v>
      </c>
      <c r="JJ15" s="3">
        <v>314</v>
      </c>
      <c r="JK15" s="3">
        <v>31.5</v>
      </c>
      <c r="JL15" s="3">
        <v>62</v>
      </c>
      <c r="JM15" s="383">
        <v>20.790322580645157</v>
      </c>
      <c r="JN15" s="19">
        <v>0.33998975934459819</v>
      </c>
      <c r="JO15" s="3">
        <v>308</v>
      </c>
      <c r="JP15" s="3">
        <v>163</v>
      </c>
      <c r="JQ15" s="19">
        <v>0.52922077922077926</v>
      </c>
      <c r="JR15" s="19">
        <v>0.47345984299613758</v>
      </c>
      <c r="JS15" s="19">
        <v>0.58426179564700975</v>
      </c>
      <c r="JT15" s="3">
        <v>308</v>
      </c>
      <c r="JU15" s="3">
        <v>34</v>
      </c>
      <c r="JV15" s="3">
        <v>61</v>
      </c>
      <c r="JW15" s="383">
        <v>23.983606557377048</v>
      </c>
      <c r="JX15" s="20">
        <v>0.29459980713596917</v>
      </c>
      <c r="JY15" s="44">
        <v>286</v>
      </c>
      <c r="JZ15" s="44">
        <v>152</v>
      </c>
      <c r="KA15" s="20">
        <v>0.53146853146853146</v>
      </c>
      <c r="KB15" s="20">
        <v>0.47360180106867872</v>
      </c>
      <c r="KC15" s="20">
        <v>0.5885011157232749</v>
      </c>
      <c r="KD15" s="438">
        <v>34</v>
      </c>
      <c r="KE15" s="438">
        <v>57</v>
      </c>
      <c r="KF15" s="384">
        <v>22</v>
      </c>
      <c r="KG15" s="104">
        <v>0.35299999999999998</v>
      </c>
      <c r="KH15" s="19">
        <v>0.86148268398268379</v>
      </c>
      <c r="KI15" s="19">
        <v>0.13851731601731601</v>
      </c>
      <c r="KJ15" s="19">
        <v>0.10424930622012753</v>
      </c>
      <c r="KK15" s="19">
        <v>0.21607377511371989</v>
      </c>
      <c r="KL15" s="19">
        <v>0.86108405483405481</v>
      </c>
      <c r="KM15" s="19">
        <v>0.13891594516594516</v>
      </c>
      <c r="KN15" s="19">
        <v>0.13636267428550469</v>
      </c>
      <c r="KO15" s="19">
        <v>0.25810697999374121</v>
      </c>
      <c r="KP15" s="19">
        <v>0.89908189033189034</v>
      </c>
      <c r="KQ15" s="19">
        <v>0.10091810966810966</v>
      </c>
      <c r="KR15" s="19">
        <v>8.3456724788453618E-2</v>
      </c>
      <c r="KS15" s="19">
        <v>0.18743530791512816</v>
      </c>
      <c r="KT15" s="19">
        <v>0.78010010822510822</v>
      </c>
      <c r="KU15" s="19">
        <v>0.21989989177489172</v>
      </c>
      <c r="KV15" s="19">
        <v>0.20309234864592962</v>
      </c>
      <c r="KW15" s="104">
        <v>0.33967045152411318</v>
      </c>
      <c r="KX15" s="438">
        <v>22</v>
      </c>
      <c r="KY15" s="438">
        <v>157</v>
      </c>
      <c r="KZ15" s="497">
        <v>0.14012738853503184</v>
      </c>
      <c r="LA15" s="497">
        <v>9.4393418131730189E-2</v>
      </c>
      <c r="LB15" s="497">
        <v>0.20305140219925003</v>
      </c>
      <c r="LC15" s="438">
        <v>19</v>
      </c>
      <c r="LD15" s="438">
        <v>157</v>
      </c>
      <c r="LE15" s="497">
        <v>0.12101910828025478</v>
      </c>
      <c r="LF15" s="497">
        <v>7.8860151676654597E-2</v>
      </c>
      <c r="LG15" s="497">
        <v>0.18128085380464318</v>
      </c>
      <c r="LH15" s="438">
        <v>19</v>
      </c>
      <c r="LI15" s="438">
        <v>154</v>
      </c>
      <c r="LJ15" s="497">
        <v>0.12337662337662338</v>
      </c>
      <c r="LK15" s="497">
        <v>8.0425217853813444E-2</v>
      </c>
      <c r="LL15" s="497">
        <v>0.1846601350902789</v>
      </c>
      <c r="LM15" s="438">
        <v>36</v>
      </c>
      <c r="LN15" s="438">
        <v>154</v>
      </c>
      <c r="LO15" s="497">
        <v>0.23376623376623376</v>
      </c>
      <c r="LP15" s="497">
        <v>0.17390341055789038</v>
      </c>
      <c r="LQ15" s="104">
        <v>0.30658795962672664</v>
      </c>
      <c r="LR15" s="3">
        <v>71</v>
      </c>
      <c r="LS15" s="3">
        <v>70</v>
      </c>
      <c r="LT15" s="3">
        <v>70</v>
      </c>
      <c r="LU15" s="3">
        <v>70</v>
      </c>
      <c r="LV15" s="3">
        <v>70</v>
      </c>
      <c r="LW15" s="3">
        <v>83</v>
      </c>
      <c r="LX15" s="3">
        <v>78</v>
      </c>
      <c r="LY15" s="3">
        <v>81</v>
      </c>
      <c r="LZ15" s="3">
        <v>78</v>
      </c>
      <c r="MA15" s="3">
        <v>80</v>
      </c>
      <c r="MB15" s="3">
        <v>82</v>
      </c>
      <c r="MC15" s="3">
        <v>78</v>
      </c>
      <c r="MD15" s="3">
        <v>81</v>
      </c>
      <c r="ME15" s="3">
        <v>94</v>
      </c>
      <c r="MF15" s="3">
        <v>89</v>
      </c>
      <c r="MG15" s="3">
        <v>84</v>
      </c>
      <c r="MH15" s="3">
        <v>85</v>
      </c>
      <c r="MI15" s="3">
        <v>85</v>
      </c>
      <c r="MJ15" s="3">
        <v>85</v>
      </c>
      <c r="MK15" s="3">
        <v>85</v>
      </c>
      <c r="ML15" s="3">
        <v>91</v>
      </c>
      <c r="MM15" s="3">
        <v>83</v>
      </c>
      <c r="MN15" s="8">
        <v>87</v>
      </c>
      <c r="MO15" s="3">
        <v>413</v>
      </c>
      <c r="MP15" s="24">
        <v>0.97299999999999998</v>
      </c>
      <c r="MQ15" s="24">
        <v>2E-3</v>
      </c>
      <c r="MR15" s="24">
        <v>0.97299999999999998</v>
      </c>
      <c r="MS15" s="3">
        <v>402</v>
      </c>
      <c r="MT15" s="3">
        <v>1</v>
      </c>
      <c r="MU15" s="3">
        <v>402</v>
      </c>
      <c r="MV15" s="3">
        <v>445</v>
      </c>
      <c r="MW15" s="24">
        <v>0.97499999999999998</v>
      </c>
      <c r="MX15" s="24">
        <v>0.93700000000000006</v>
      </c>
      <c r="MY15" s="24">
        <v>0.97499999999999998</v>
      </c>
      <c r="MZ15" s="24">
        <v>0.93700000000000006</v>
      </c>
      <c r="NA15" s="24">
        <v>0.93300000000000005</v>
      </c>
      <c r="NB15" s="3">
        <v>434</v>
      </c>
      <c r="NC15" s="3">
        <v>417</v>
      </c>
      <c r="ND15" s="3">
        <v>434</v>
      </c>
      <c r="NE15" s="3">
        <v>417</v>
      </c>
      <c r="NF15" s="3">
        <v>415</v>
      </c>
      <c r="NG15" s="3">
        <v>419</v>
      </c>
      <c r="NH15" s="24">
        <v>0.94699999999999995</v>
      </c>
      <c r="NI15" s="24">
        <v>0.90500000000000003</v>
      </c>
      <c r="NJ15" s="24">
        <v>0.94699999999999995</v>
      </c>
      <c r="NK15" s="24">
        <v>0.94699999999999995</v>
      </c>
      <c r="NL15" s="24">
        <v>0.92600000000000005</v>
      </c>
      <c r="NM15" s="24">
        <v>0.83299999999999996</v>
      </c>
      <c r="NN15" s="24">
        <v>0.92600000000000005</v>
      </c>
      <c r="NO15" s="24">
        <v>0.89500000000000002</v>
      </c>
      <c r="NP15" s="24">
        <v>0.92400000000000004</v>
      </c>
      <c r="NQ15" s="24">
        <v>0.86599999999999999</v>
      </c>
      <c r="NR15" s="3">
        <v>397</v>
      </c>
      <c r="NS15" s="3">
        <v>379</v>
      </c>
      <c r="NT15" s="3">
        <v>397</v>
      </c>
      <c r="NU15" s="3">
        <v>397</v>
      </c>
      <c r="NV15" s="3">
        <v>388</v>
      </c>
      <c r="NW15" s="3">
        <v>349</v>
      </c>
      <c r="NX15" s="3">
        <v>388</v>
      </c>
      <c r="NY15" s="3">
        <v>375</v>
      </c>
      <c r="NZ15" s="3">
        <v>387</v>
      </c>
      <c r="OA15" s="8">
        <v>363</v>
      </c>
    </row>
    <row r="16" spans="1:391" s="3" customFormat="1" ht="13.5" customHeight="1" x14ac:dyDescent="0.2">
      <c r="A16" s="11" t="s">
        <v>43</v>
      </c>
      <c r="B16" s="8">
        <v>11</v>
      </c>
      <c r="C16" s="11" t="s">
        <v>170</v>
      </c>
      <c r="D16" s="11" t="s">
        <v>171</v>
      </c>
      <c r="E16" s="11" t="s">
        <v>287</v>
      </c>
      <c r="F16" s="11" t="s">
        <v>287</v>
      </c>
      <c r="G16" s="11" t="s">
        <v>172</v>
      </c>
      <c r="H16" s="11" t="s">
        <v>77</v>
      </c>
      <c r="I16" s="11" t="s">
        <v>83</v>
      </c>
      <c r="J16" s="11" t="s">
        <v>269</v>
      </c>
      <c r="K16" s="11" t="s">
        <v>373</v>
      </c>
      <c r="L16" s="11" t="s">
        <v>275</v>
      </c>
      <c r="M16" s="11" t="s">
        <v>336</v>
      </c>
      <c r="N16" s="3" t="s">
        <v>404</v>
      </c>
      <c r="O16" s="11">
        <v>496277</v>
      </c>
      <c r="P16" s="11">
        <v>100377</v>
      </c>
      <c r="Q16" s="128">
        <v>21153</v>
      </c>
      <c r="R16" s="128">
        <v>80374</v>
      </c>
      <c r="S16" s="400" t="s">
        <v>817</v>
      </c>
      <c r="T16" s="38">
        <v>19635</v>
      </c>
      <c r="U16" s="39">
        <v>19660</v>
      </c>
      <c r="V16" s="39">
        <v>19650</v>
      </c>
      <c r="W16" s="39">
        <v>19765</v>
      </c>
      <c r="X16" s="39">
        <v>19785</v>
      </c>
      <c r="Y16" s="39">
        <v>19715</v>
      </c>
      <c r="Z16" s="39">
        <v>19595</v>
      </c>
      <c r="AA16" s="39">
        <v>19835</v>
      </c>
      <c r="AB16" s="39">
        <v>20120</v>
      </c>
      <c r="AC16" s="44">
        <v>20512</v>
      </c>
      <c r="AD16" s="38">
        <v>785</v>
      </c>
      <c r="AE16" s="39">
        <v>770</v>
      </c>
      <c r="AF16" s="39">
        <v>780</v>
      </c>
      <c r="AG16" s="39">
        <v>785</v>
      </c>
      <c r="AH16" s="39">
        <v>795</v>
      </c>
      <c r="AI16" s="39">
        <v>840</v>
      </c>
      <c r="AJ16" s="39">
        <v>815</v>
      </c>
      <c r="AK16" s="39">
        <v>905</v>
      </c>
      <c r="AL16" s="39">
        <v>970</v>
      </c>
      <c r="AM16" s="44">
        <v>1019</v>
      </c>
      <c r="AN16" s="15">
        <v>813</v>
      </c>
      <c r="AO16" s="3">
        <v>743</v>
      </c>
      <c r="AP16" s="3">
        <v>35</v>
      </c>
      <c r="AQ16" s="3">
        <v>20</v>
      </c>
      <c r="AR16" s="3">
        <v>11</v>
      </c>
      <c r="AS16" s="3">
        <v>2</v>
      </c>
      <c r="AT16" s="3">
        <v>2</v>
      </c>
      <c r="AU16" s="11">
        <v>70</v>
      </c>
      <c r="AV16" s="18">
        <v>0.91389913899138986</v>
      </c>
      <c r="AW16" s="19">
        <v>4.3050430504305043E-2</v>
      </c>
      <c r="AX16" s="19">
        <v>2.4600246002460024E-2</v>
      </c>
      <c r="AY16" s="19">
        <v>1.3530135301353014E-2</v>
      </c>
      <c r="AZ16" s="19">
        <v>2.4600246002460025E-3</v>
      </c>
      <c r="BA16" s="19">
        <v>2.4600246002460025E-3</v>
      </c>
      <c r="BB16" s="20">
        <v>8.6100861008610141E-2</v>
      </c>
      <c r="BC16" s="15">
        <v>2287</v>
      </c>
      <c r="BD16" s="3">
        <v>2241</v>
      </c>
      <c r="BE16" s="3">
        <v>46</v>
      </c>
      <c r="BF16" s="3">
        <v>33</v>
      </c>
      <c r="BG16" s="3">
        <v>13</v>
      </c>
      <c r="BH16" s="19">
        <v>0.71739130434782605</v>
      </c>
      <c r="BI16" s="20">
        <v>0.28260869565217389</v>
      </c>
      <c r="BJ16" s="15">
        <v>1662</v>
      </c>
      <c r="BK16" s="19">
        <v>0.68471720818291215</v>
      </c>
      <c r="BL16" s="19">
        <v>6.3778580024067388E-2</v>
      </c>
      <c r="BM16" s="20">
        <v>0.25150421179302046</v>
      </c>
      <c r="BN16" s="38">
        <v>5618</v>
      </c>
      <c r="BO16" s="39">
        <v>250</v>
      </c>
      <c r="BP16" s="39">
        <v>266</v>
      </c>
      <c r="BQ16" s="39">
        <v>117</v>
      </c>
      <c r="BR16" s="39">
        <v>3273</v>
      </c>
      <c r="BS16" s="39">
        <v>1883</v>
      </c>
      <c r="BT16" s="20">
        <v>0.12426978226234732</v>
      </c>
      <c r="BU16" s="38">
        <v>1082</v>
      </c>
      <c r="BV16" s="39">
        <v>0</v>
      </c>
      <c r="BW16" s="39">
        <v>244</v>
      </c>
      <c r="BX16" s="39">
        <v>431</v>
      </c>
      <c r="BY16" s="39">
        <v>139</v>
      </c>
      <c r="BZ16" s="40">
        <v>1896</v>
      </c>
      <c r="CA16" s="39">
        <v>642</v>
      </c>
      <c r="CB16" s="39">
        <v>533</v>
      </c>
      <c r="CC16" s="39">
        <v>108</v>
      </c>
      <c r="CD16" s="39">
        <v>109</v>
      </c>
      <c r="CE16" s="19">
        <v>0.16822429906542055</v>
      </c>
      <c r="CF16" s="104">
        <v>0.16978193146417445</v>
      </c>
      <c r="CG16" s="39">
        <v>130</v>
      </c>
      <c r="CH16" s="39">
        <v>110</v>
      </c>
      <c r="CI16" s="39">
        <v>100</v>
      </c>
      <c r="CJ16" s="39">
        <v>100</v>
      </c>
      <c r="CK16" s="44">
        <v>115</v>
      </c>
      <c r="CL16" s="38">
        <v>430</v>
      </c>
      <c r="CM16" s="39">
        <v>125</v>
      </c>
      <c r="CN16" s="19">
        <v>0.29069767441860467</v>
      </c>
      <c r="CO16" s="40">
        <v>47</v>
      </c>
      <c r="CP16" s="39">
        <v>141</v>
      </c>
      <c r="CQ16" s="39">
        <v>157</v>
      </c>
      <c r="CR16" s="39">
        <v>172</v>
      </c>
      <c r="CS16" s="39">
        <v>163</v>
      </c>
      <c r="CT16" s="39">
        <v>155</v>
      </c>
      <c r="CU16" s="124" t="s">
        <v>474</v>
      </c>
      <c r="CV16" s="39">
        <v>12</v>
      </c>
      <c r="CW16" s="39">
        <v>9</v>
      </c>
      <c r="CX16" s="39">
        <v>9</v>
      </c>
      <c r="CY16" s="39">
        <v>9</v>
      </c>
      <c r="CZ16" s="39">
        <v>6</v>
      </c>
      <c r="DA16" s="120" t="s">
        <v>474</v>
      </c>
      <c r="DB16" s="15">
        <v>17</v>
      </c>
      <c r="DC16" s="15">
        <v>13</v>
      </c>
      <c r="DD16" s="19">
        <v>8.387096774193549E-2</v>
      </c>
      <c r="DE16" s="19">
        <v>4.9668328719835564E-2</v>
      </c>
      <c r="DF16" s="20">
        <v>0.13820112955793193</v>
      </c>
      <c r="DG16" s="15">
        <v>22</v>
      </c>
      <c r="DH16" s="20">
        <v>2.7060270602706028E-2</v>
      </c>
      <c r="DI16" s="423">
        <v>5</v>
      </c>
      <c r="DJ16" s="428">
        <v>5</v>
      </c>
      <c r="DK16" s="3">
        <v>294</v>
      </c>
      <c r="DL16" s="20">
        <v>3.4154275092936802E-2</v>
      </c>
      <c r="DM16" s="15">
        <v>130</v>
      </c>
      <c r="DN16" s="3">
        <v>140</v>
      </c>
      <c r="DO16" s="3">
        <v>150</v>
      </c>
      <c r="DP16" s="3">
        <v>170</v>
      </c>
      <c r="DQ16" s="11">
        <v>175</v>
      </c>
      <c r="DR16" s="15">
        <v>110</v>
      </c>
      <c r="DS16" s="19">
        <v>0.13580246913580246</v>
      </c>
      <c r="DT16" s="19">
        <v>0.11392252397260774</v>
      </c>
      <c r="DU16" s="19">
        <v>0.16112055277732099</v>
      </c>
      <c r="DV16" s="3">
        <v>130</v>
      </c>
      <c r="DW16" s="19">
        <v>0.15950920245398773</v>
      </c>
      <c r="DX16" s="19">
        <v>0.13597689445352973</v>
      </c>
      <c r="DY16" s="19">
        <v>0.18623622260173264</v>
      </c>
      <c r="DZ16" s="3">
        <v>135</v>
      </c>
      <c r="EA16" s="19">
        <v>0.16363636363636364</v>
      </c>
      <c r="EB16" s="19">
        <v>0.13996165928184773</v>
      </c>
      <c r="EC16" s="19">
        <v>0.19042897924910338</v>
      </c>
      <c r="ED16" s="3">
        <v>135</v>
      </c>
      <c r="EE16" s="19">
        <v>0.16875000000000001</v>
      </c>
      <c r="EF16" s="19">
        <v>0.14439354842269603</v>
      </c>
      <c r="EG16" s="19">
        <v>0.19627245706356439</v>
      </c>
      <c r="EH16" s="3">
        <v>170</v>
      </c>
      <c r="EI16" s="20">
        <v>0.18994413407821228</v>
      </c>
      <c r="EJ16" s="20">
        <v>0.16559155241766899</v>
      </c>
      <c r="EK16" s="20">
        <v>0.21694694249312876</v>
      </c>
      <c r="EL16" s="438">
        <v>190</v>
      </c>
      <c r="EM16" s="20">
        <v>0.21111111111111111</v>
      </c>
      <c r="EN16" s="20">
        <v>0.18570548198479889</v>
      </c>
      <c r="EO16" s="104">
        <v>0.23897238057034351</v>
      </c>
      <c r="EP16" s="38">
        <v>345</v>
      </c>
      <c r="EQ16" s="20">
        <v>0.11815068493150685</v>
      </c>
      <c r="ER16" s="44">
        <v>355</v>
      </c>
      <c r="ES16" s="20">
        <v>0.12199312714776632</v>
      </c>
      <c r="ET16" s="44">
        <v>350</v>
      </c>
      <c r="EU16" s="20">
        <v>0.12216404886561955</v>
      </c>
      <c r="EV16" s="44">
        <v>325</v>
      </c>
      <c r="EW16" s="20">
        <v>0.11669658886894076</v>
      </c>
      <c r="EX16" s="44">
        <v>390</v>
      </c>
      <c r="EY16" s="20">
        <v>0.13287904599659284</v>
      </c>
      <c r="EZ16" s="44">
        <v>415</v>
      </c>
      <c r="FA16" s="104">
        <v>0.13673805601317957</v>
      </c>
      <c r="FB16" s="3">
        <v>178</v>
      </c>
      <c r="FC16" s="3">
        <v>6</v>
      </c>
      <c r="FD16" s="3">
        <v>172</v>
      </c>
      <c r="FE16" s="19">
        <v>0.9662921348314607</v>
      </c>
      <c r="FF16" s="3">
        <v>68</v>
      </c>
      <c r="FG16" s="3">
        <v>81</v>
      </c>
      <c r="FH16" s="19">
        <v>0.39534883720930231</v>
      </c>
      <c r="FI16" s="19">
        <v>0.47093023255813954</v>
      </c>
      <c r="FJ16" s="19">
        <v>0.32533233499934777</v>
      </c>
      <c r="FK16" s="19">
        <v>0.46993795371504055</v>
      </c>
      <c r="FL16" s="19">
        <v>0.39778405133173356</v>
      </c>
      <c r="FM16" s="104">
        <v>0.54534658442226325</v>
      </c>
      <c r="FN16" s="438">
        <v>182</v>
      </c>
      <c r="FO16" s="438">
        <v>56</v>
      </c>
      <c r="FP16" s="438">
        <v>24</v>
      </c>
      <c r="FQ16" s="438">
        <v>80</v>
      </c>
      <c r="FR16" s="497">
        <v>0.30769230769230771</v>
      </c>
      <c r="FS16" s="497">
        <v>0.43956043956043955</v>
      </c>
      <c r="FT16" s="497">
        <v>0.2451917830898642</v>
      </c>
      <c r="FU16" s="497">
        <v>0.37814307209151771</v>
      </c>
      <c r="FV16" s="497">
        <v>0.36943954423870295</v>
      </c>
      <c r="FW16" s="104">
        <v>0.51217998167544565</v>
      </c>
      <c r="FX16" s="438">
        <v>133</v>
      </c>
      <c r="FY16" s="438">
        <v>13</v>
      </c>
      <c r="FZ16" s="438">
        <v>120</v>
      </c>
      <c r="GA16" s="497">
        <v>0.90225563909774431</v>
      </c>
      <c r="GB16" s="438">
        <v>32</v>
      </c>
      <c r="GC16" s="438">
        <v>12</v>
      </c>
      <c r="GD16" s="438">
        <v>44</v>
      </c>
      <c r="GE16" s="497">
        <v>0.26666666666666666</v>
      </c>
      <c r="GF16" s="497">
        <v>0.36666666666666664</v>
      </c>
      <c r="GG16" s="497">
        <v>0.19568455046725244</v>
      </c>
      <c r="GH16" s="497">
        <v>0.35212439386147587</v>
      </c>
      <c r="GI16" s="497">
        <v>0.28582935190005759</v>
      </c>
      <c r="GJ16" s="104">
        <v>0.45577575914493001</v>
      </c>
      <c r="GK16" s="3">
        <v>149</v>
      </c>
      <c r="GL16" s="3">
        <v>10</v>
      </c>
      <c r="GM16" s="19">
        <v>6.7114093959731544E-2</v>
      </c>
      <c r="GN16" s="19">
        <v>3.6860340607094678E-2</v>
      </c>
      <c r="GO16" s="19">
        <v>0.11912782519982631</v>
      </c>
      <c r="GP16" s="353" t="s">
        <v>725</v>
      </c>
      <c r="GQ16" s="3">
        <v>179</v>
      </c>
      <c r="GR16" s="3">
        <v>16</v>
      </c>
      <c r="GS16" s="19">
        <v>8.9385474860335198E-2</v>
      </c>
      <c r="GT16" s="19">
        <v>5.5768700800059426E-2</v>
      </c>
      <c r="GU16" s="19">
        <v>0.14025609057858804</v>
      </c>
      <c r="GV16" s="3" t="s">
        <v>725</v>
      </c>
      <c r="GW16" s="3">
        <v>138</v>
      </c>
      <c r="GX16" s="3">
        <v>15</v>
      </c>
      <c r="GY16" s="19">
        <v>0.10869565217391304</v>
      </c>
      <c r="GZ16" s="19">
        <v>6.6985397787695536E-2</v>
      </c>
      <c r="HA16" s="19">
        <v>0.17160111353318763</v>
      </c>
      <c r="HB16" s="3" t="s">
        <v>725</v>
      </c>
      <c r="HC16" s="3">
        <v>191</v>
      </c>
      <c r="HD16" s="3">
        <v>18</v>
      </c>
      <c r="HE16" s="19">
        <v>9.4240837696335081E-2</v>
      </c>
      <c r="HF16" s="19">
        <v>6.0444414831651493E-2</v>
      </c>
      <c r="HG16" s="19">
        <v>0.14403700848472206</v>
      </c>
      <c r="HH16" s="3" t="s">
        <v>725</v>
      </c>
      <c r="HI16" s="3">
        <v>133</v>
      </c>
      <c r="HJ16" s="3">
        <v>19</v>
      </c>
      <c r="HK16" s="19">
        <v>0.14285714285714285</v>
      </c>
      <c r="HL16" s="19">
        <v>9.34023426858272E-2</v>
      </c>
      <c r="HM16" s="19">
        <v>0.21236360851993824</v>
      </c>
      <c r="HN16" s="11" t="s">
        <v>725</v>
      </c>
      <c r="HO16" s="11">
        <v>181</v>
      </c>
      <c r="HP16" s="11">
        <v>23</v>
      </c>
      <c r="HQ16" s="497">
        <v>0.1270718232044199</v>
      </c>
      <c r="HR16" s="497">
        <v>8.6187292341289315E-2</v>
      </c>
      <c r="HS16" s="497">
        <v>0.18345707823816465</v>
      </c>
      <c r="HT16" s="8" t="str">
        <f t="shared" si="0"/>
        <v>No Sig diff</v>
      </c>
      <c r="HU16" s="3">
        <v>175</v>
      </c>
      <c r="HV16" s="3">
        <v>22</v>
      </c>
      <c r="HW16" s="19">
        <v>0.12571428571428572</v>
      </c>
      <c r="HX16" s="19">
        <v>8.4504753621622061E-2</v>
      </c>
      <c r="HY16" s="19">
        <v>0.18300289888897292</v>
      </c>
      <c r="HZ16" s="3" t="s">
        <v>726</v>
      </c>
      <c r="IA16" s="3">
        <v>136</v>
      </c>
      <c r="IB16" s="3">
        <v>24</v>
      </c>
      <c r="IC16" s="19">
        <v>0.17647058823529413</v>
      </c>
      <c r="ID16" s="19">
        <v>0.12155217401413997</v>
      </c>
      <c r="IE16" s="19">
        <v>0.24916377287229574</v>
      </c>
      <c r="IF16" s="3" t="s">
        <v>725</v>
      </c>
      <c r="IG16" s="3">
        <v>155</v>
      </c>
      <c r="IH16" s="3">
        <v>19</v>
      </c>
      <c r="II16" s="19">
        <v>0.12258064516129032</v>
      </c>
      <c r="IJ16" s="19">
        <v>7.9896668098098103E-2</v>
      </c>
      <c r="IK16" s="19">
        <v>0.18351981731662126</v>
      </c>
      <c r="IL16" s="3" t="s">
        <v>726</v>
      </c>
      <c r="IM16" s="3">
        <v>164</v>
      </c>
      <c r="IN16" s="3">
        <v>23</v>
      </c>
      <c r="IO16" s="19">
        <v>0.1402439024390244</v>
      </c>
      <c r="IP16" s="19">
        <v>9.5303919572450629E-2</v>
      </c>
      <c r="IQ16" s="19">
        <v>0.20165166679396676</v>
      </c>
      <c r="IR16" s="3" t="s">
        <v>725</v>
      </c>
      <c r="IS16" s="3">
        <v>168</v>
      </c>
      <c r="IT16" s="3">
        <v>25</v>
      </c>
      <c r="IU16" s="19">
        <v>0.14880952380952381</v>
      </c>
      <c r="IV16" s="19">
        <v>0.102871852858841</v>
      </c>
      <c r="IW16" s="19">
        <v>0.21044868800594727</v>
      </c>
      <c r="IX16" s="580" t="s">
        <v>725</v>
      </c>
      <c r="IY16" s="580">
        <v>167</v>
      </c>
      <c r="IZ16" s="580">
        <v>36</v>
      </c>
      <c r="JA16" s="497">
        <v>0.21556886227544911</v>
      </c>
      <c r="JB16" s="497">
        <v>0.15997105257556704</v>
      </c>
      <c r="JC16" s="497">
        <v>0.28395783531980728</v>
      </c>
      <c r="JD16" s="371" t="str">
        <f t="shared" si="1"/>
        <v>Sig better than Eng.</v>
      </c>
      <c r="JE16" s="3">
        <v>190</v>
      </c>
      <c r="JF16" s="3">
        <v>81</v>
      </c>
      <c r="JG16" s="19">
        <v>0.4263157894736842</v>
      </c>
      <c r="JH16" s="19">
        <v>0.35814185509394658</v>
      </c>
      <c r="JI16" s="19">
        <v>0.49741020187906476</v>
      </c>
      <c r="JJ16" s="3">
        <v>190</v>
      </c>
      <c r="JK16" s="3">
        <v>33</v>
      </c>
      <c r="JL16" s="3">
        <v>38</v>
      </c>
      <c r="JM16" s="383">
        <v>22.763157894736842</v>
      </c>
      <c r="JN16" s="19">
        <v>0.31020733652312599</v>
      </c>
      <c r="JO16" s="3">
        <v>198</v>
      </c>
      <c r="JP16" s="3">
        <v>99</v>
      </c>
      <c r="JQ16" s="19">
        <v>0.5</v>
      </c>
      <c r="JR16" s="19">
        <v>0.43102163323431003</v>
      </c>
      <c r="JS16" s="19">
        <v>0.56897836676569002</v>
      </c>
      <c r="JT16" s="3">
        <v>198</v>
      </c>
      <c r="JU16" s="3">
        <v>33.5</v>
      </c>
      <c r="JV16" s="3">
        <v>39</v>
      </c>
      <c r="JW16" s="383">
        <v>22.179487179487182</v>
      </c>
      <c r="JX16" s="20">
        <v>0.33792575583620349</v>
      </c>
      <c r="JY16" s="44">
        <v>204</v>
      </c>
      <c r="JZ16" s="44">
        <v>111</v>
      </c>
      <c r="KA16" s="20">
        <v>0.54411764705882348</v>
      </c>
      <c r="KB16" s="20">
        <v>0.47558701772861045</v>
      </c>
      <c r="KC16" s="20">
        <v>0.61101745522944695</v>
      </c>
      <c r="KD16" s="438">
        <v>34</v>
      </c>
      <c r="KE16" s="438">
        <v>40</v>
      </c>
      <c r="KF16" s="384">
        <v>22.9</v>
      </c>
      <c r="KG16" s="104">
        <v>0.32600000000000001</v>
      </c>
      <c r="KH16" s="19">
        <v>0.88842592592592595</v>
      </c>
      <c r="KI16" s="19">
        <v>0.11157407407407409</v>
      </c>
      <c r="KJ16" s="19">
        <v>6.3644792722440502E-2</v>
      </c>
      <c r="KK16" s="19">
        <v>0.19880765197250103</v>
      </c>
      <c r="KL16" s="19">
        <v>0.88981481481481473</v>
      </c>
      <c r="KM16" s="19">
        <v>0.11018518518518521</v>
      </c>
      <c r="KN16" s="19">
        <v>6.3644792722440502E-2</v>
      </c>
      <c r="KO16" s="19">
        <v>0.19880765197250103</v>
      </c>
      <c r="KP16" s="19">
        <v>0.88796296296296306</v>
      </c>
      <c r="KQ16" s="19">
        <v>0.11203703703703703</v>
      </c>
      <c r="KR16" s="19">
        <v>6.3644792722440502E-2</v>
      </c>
      <c r="KS16" s="19">
        <v>0.19880765197250103</v>
      </c>
      <c r="KT16" s="19">
        <v>0.77314814814814803</v>
      </c>
      <c r="KU16" s="19">
        <v>0.22685185185185186</v>
      </c>
      <c r="KV16" s="19">
        <v>0.1733308743374927</v>
      </c>
      <c r="KW16" s="104">
        <v>0.35331770957120112</v>
      </c>
      <c r="KX16" s="438">
        <v>16</v>
      </c>
      <c r="KY16" s="438">
        <v>107</v>
      </c>
      <c r="KZ16" s="497">
        <v>0.14953271028037382</v>
      </c>
      <c r="LA16" s="497">
        <v>9.4188312088123075E-2</v>
      </c>
      <c r="LB16" s="497">
        <v>0.22916956502782221</v>
      </c>
      <c r="LC16" s="438">
        <v>12</v>
      </c>
      <c r="LD16" s="438">
        <v>107</v>
      </c>
      <c r="LE16" s="497">
        <v>0.11214953271028037</v>
      </c>
      <c r="LF16" s="497">
        <v>6.5328818815477516E-2</v>
      </c>
      <c r="LG16" s="497">
        <v>0.18585389852616863</v>
      </c>
      <c r="LH16" s="438">
        <v>11</v>
      </c>
      <c r="LI16" s="438">
        <v>105</v>
      </c>
      <c r="LJ16" s="497">
        <v>0.10476190476190476</v>
      </c>
      <c r="LK16" s="497">
        <v>5.9510872563431121E-2</v>
      </c>
      <c r="LL16" s="497">
        <v>0.17791206443767477</v>
      </c>
      <c r="LM16" s="438">
        <v>25</v>
      </c>
      <c r="LN16" s="438">
        <v>107</v>
      </c>
      <c r="LO16" s="497">
        <v>0.23364485981308411</v>
      </c>
      <c r="LP16" s="497">
        <v>0.16356165995161556</v>
      </c>
      <c r="LQ16" s="104">
        <v>0.32219032665650282</v>
      </c>
      <c r="LR16" s="3">
        <v>41</v>
      </c>
      <c r="LS16" s="3">
        <v>39</v>
      </c>
      <c r="LT16" s="3">
        <v>39</v>
      </c>
      <c r="LU16" s="3">
        <v>40</v>
      </c>
      <c r="LV16" s="3">
        <v>40</v>
      </c>
      <c r="LW16" s="3">
        <v>51</v>
      </c>
      <c r="LX16" s="3">
        <v>50</v>
      </c>
      <c r="LY16" s="3">
        <v>51</v>
      </c>
      <c r="LZ16" s="3">
        <v>50</v>
      </c>
      <c r="MA16" s="3">
        <v>51</v>
      </c>
      <c r="MB16" s="3">
        <v>51</v>
      </c>
      <c r="MC16" s="3">
        <v>50</v>
      </c>
      <c r="MD16" s="3">
        <v>51</v>
      </c>
      <c r="ME16" s="3">
        <v>58</v>
      </c>
      <c r="MF16" s="3">
        <v>57</v>
      </c>
      <c r="MG16" s="3">
        <v>56</v>
      </c>
      <c r="MH16" s="3">
        <v>53</v>
      </c>
      <c r="MI16" s="3">
        <v>56</v>
      </c>
      <c r="MJ16" s="3">
        <v>56</v>
      </c>
      <c r="MK16" s="3">
        <v>53</v>
      </c>
      <c r="ML16" s="3">
        <v>55</v>
      </c>
      <c r="MM16" s="3">
        <v>54</v>
      </c>
      <c r="MN16" s="8">
        <v>57</v>
      </c>
      <c r="MO16" s="3">
        <v>108</v>
      </c>
      <c r="MP16" s="24">
        <v>0.96299999999999997</v>
      </c>
      <c r="MQ16" s="24">
        <v>0</v>
      </c>
      <c r="MR16" s="24">
        <v>0.95399999999999996</v>
      </c>
      <c r="MS16" s="3">
        <v>104</v>
      </c>
      <c r="MT16" s="3">
        <v>0</v>
      </c>
      <c r="MU16" s="3">
        <v>103</v>
      </c>
      <c r="MV16" s="3">
        <v>105</v>
      </c>
      <c r="MW16" s="24">
        <v>0.98099999999999998</v>
      </c>
      <c r="MX16" s="24">
        <v>0.95199999999999996</v>
      </c>
      <c r="MY16" s="24">
        <v>0.97099999999999997</v>
      </c>
      <c r="MZ16" s="24">
        <v>0.93300000000000005</v>
      </c>
      <c r="NA16" s="24">
        <v>0.93300000000000005</v>
      </c>
      <c r="NB16" s="3">
        <v>103</v>
      </c>
      <c r="NC16" s="3">
        <v>100</v>
      </c>
      <c r="ND16" s="3">
        <v>102</v>
      </c>
      <c r="NE16" s="3">
        <v>98</v>
      </c>
      <c r="NF16" s="3">
        <v>98</v>
      </c>
      <c r="NG16" s="3">
        <v>143</v>
      </c>
      <c r="NH16" s="24">
        <v>0.95799999999999996</v>
      </c>
      <c r="NI16" s="24">
        <v>0.93</v>
      </c>
      <c r="NJ16" s="24">
        <v>0.95799999999999996</v>
      </c>
      <c r="NK16" s="24">
        <v>0.95799999999999996</v>
      </c>
      <c r="NL16" s="24">
        <v>0.96499999999999997</v>
      </c>
      <c r="NM16" s="24">
        <v>0.72</v>
      </c>
      <c r="NN16" s="24">
        <v>0.95099999999999996</v>
      </c>
      <c r="NO16" s="24">
        <v>0.93</v>
      </c>
      <c r="NP16" s="24">
        <v>0.96499999999999997</v>
      </c>
      <c r="NQ16" s="24">
        <v>0.93700000000000006</v>
      </c>
      <c r="NR16" s="3">
        <v>137</v>
      </c>
      <c r="NS16" s="3">
        <v>133</v>
      </c>
      <c r="NT16" s="3">
        <v>137</v>
      </c>
      <c r="NU16" s="3">
        <v>137</v>
      </c>
      <c r="NV16" s="3">
        <v>138</v>
      </c>
      <c r="NW16" s="3">
        <v>103</v>
      </c>
      <c r="NX16" s="3">
        <v>136</v>
      </c>
      <c r="NY16" s="3">
        <v>133</v>
      </c>
      <c r="NZ16" s="3">
        <v>138</v>
      </c>
      <c r="OA16" s="8">
        <v>134</v>
      </c>
    </row>
    <row r="17" spans="1:391" s="3" customFormat="1" ht="12.75" x14ac:dyDescent="0.2">
      <c r="A17" s="11" t="s">
        <v>44</v>
      </c>
      <c r="B17" s="8">
        <v>12</v>
      </c>
      <c r="C17" s="11" t="s">
        <v>173</v>
      </c>
      <c r="D17" s="11" t="s">
        <v>174</v>
      </c>
      <c r="E17" s="11" t="s">
        <v>891</v>
      </c>
      <c r="F17" s="11" t="s">
        <v>896</v>
      </c>
      <c r="G17" s="11" t="s">
        <v>175</v>
      </c>
      <c r="H17" s="11" t="s">
        <v>78</v>
      </c>
      <c r="I17" s="11" t="s">
        <v>44</v>
      </c>
      <c r="J17" s="11" t="s">
        <v>269</v>
      </c>
      <c r="K17" s="11" t="s">
        <v>374</v>
      </c>
      <c r="L17" s="11" t="s">
        <v>275</v>
      </c>
      <c r="M17" s="11" t="s">
        <v>337</v>
      </c>
      <c r="N17" s="3" t="s">
        <v>44</v>
      </c>
      <c r="O17" s="11">
        <v>487124</v>
      </c>
      <c r="P17" s="11">
        <v>105019</v>
      </c>
      <c r="Q17" s="128">
        <v>20690</v>
      </c>
      <c r="R17" s="128" t="s">
        <v>287</v>
      </c>
      <c r="S17" s="400" t="s">
        <v>817</v>
      </c>
      <c r="T17" s="38">
        <v>41665</v>
      </c>
      <c r="U17" s="39">
        <v>42175</v>
      </c>
      <c r="V17" s="39">
        <v>42615</v>
      </c>
      <c r="W17" s="39">
        <v>43230</v>
      </c>
      <c r="X17" s="39">
        <v>43680</v>
      </c>
      <c r="Y17" s="39">
        <v>44220</v>
      </c>
      <c r="Z17" s="39">
        <v>44815</v>
      </c>
      <c r="AA17" s="39">
        <v>45235</v>
      </c>
      <c r="AB17" s="39">
        <v>45765</v>
      </c>
      <c r="AC17" s="44">
        <v>46241</v>
      </c>
      <c r="AD17" s="38">
        <v>1985</v>
      </c>
      <c r="AE17" s="39">
        <v>2015</v>
      </c>
      <c r="AF17" s="39">
        <v>2075</v>
      </c>
      <c r="AG17" s="39">
        <v>2120</v>
      </c>
      <c r="AH17" s="39">
        <v>2235</v>
      </c>
      <c r="AI17" s="39">
        <v>2285</v>
      </c>
      <c r="AJ17" s="39">
        <v>2295</v>
      </c>
      <c r="AK17" s="39">
        <v>2425</v>
      </c>
      <c r="AL17" s="39">
        <v>2420</v>
      </c>
      <c r="AM17" s="44">
        <v>2475</v>
      </c>
      <c r="AN17" s="15">
        <v>2279</v>
      </c>
      <c r="AO17" s="3">
        <v>1983</v>
      </c>
      <c r="AP17" s="3">
        <v>101</v>
      </c>
      <c r="AQ17" s="3">
        <v>71</v>
      </c>
      <c r="AR17" s="3">
        <v>94</v>
      </c>
      <c r="AS17" s="3">
        <v>17</v>
      </c>
      <c r="AT17" s="3">
        <v>13</v>
      </c>
      <c r="AU17" s="11">
        <v>296</v>
      </c>
      <c r="AV17" s="18">
        <v>0.87011847301448009</v>
      </c>
      <c r="AW17" s="19">
        <v>4.4317683194383499E-2</v>
      </c>
      <c r="AX17" s="19">
        <v>3.1154014918824045E-2</v>
      </c>
      <c r="AY17" s="19">
        <v>4.1246160596752963E-2</v>
      </c>
      <c r="AZ17" s="19">
        <v>7.4594120228170246E-3</v>
      </c>
      <c r="BA17" s="19">
        <v>5.7042562527424307E-3</v>
      </c>
      <c r="BB17" s="20">
        <v>0.12988152698551991</v>
      </c>
      <c r="BC17" s="15">
        <v>5759</v>
      </c>
      <c r="BD17" s="3">
        <v>5641</v>
      </c>
      <c r="BE17" s="3">
        <v>118</v>
      </c>
      <c r="BF17" s="3">
        <v>98</v>
      </c>
      <c r="BG17" s="3">
        <v>20</v>
      </c>
      <c r="BH17" s="19">
        <v>0.83050847457627119</v>
      </c>
      <c r="BI17" s="20">
        <v>0.16949152542372881</v>
      </c>
      <c r="BJ17" s="15">
        <v>4345</v>
      </c>
      <c r="BK17" s="19">
        <v>0.48745684695051783</v>
      </c>
      <c r="BL17" s="19">
        <v>0.2948216340621404</v>
      </c>
      <c r="BM17" s="20">
        <v>0.21772151898734177</v>
      </c>
      <c r="BN17" s="38">
        <v>12293</v>
      </c>
      <c r="BO17" s="39">
        <v>731</v>
      </c>
      <c r="BP17" s="39">
        <v>698</v>
      </c>
      <c r="BQ17" s="39">
        <v>351</v>
      </c>
      <c r="BR17" s="39">
        <v>8125</v>
      </c>
      <c r="BS17" s="39">
        <v>4595</v>
      </c>
      <c r="BT17" s="20">
        <v>0.14907508161044614</v>
      </c>
      <c r="BU17" s="38">
        <v>2595</v>
      </c>
      <c r="BV17" s="39">
        <v>1</v>
      </c>
      <c r="BW17" s="39">
        <v>630</v>
      </c>
      <c r="BX17" s="39">
        <v>1053</v>
      </c>
      <c r="BY17" s="39">
        <v>346</v>
      </c>
      <c r="BZ17" s="40">
        <v>4625</v>
      </c>
      <c r="CA17" s="39">
        <v>1794</v>
      </c>
      <c r="CB17" s="39">
        <v>1462</v>
      </c>
      <c r="CC17" s="39">
        <v>328</v>
      </c>
      <c r="CD17" s="39">
        <v>332</v>
      </c>
      <c r="CE17" s="19">
        <v>0.18283166109253066</v>
      </c>
      <c r="CF17" s="104">
        <v>0.18506131549609811</v>
      </c>
      <c r="CG17" s="39">
        <v>320</v>
      </c>
      <c r="CH17" s="39">
        <v>325</v>
      </c>
      <c r="CI17" s="39">
        <v>260</v>
      </c>
      <c r="CJ17" s="39">
        <v>260</v>
      </c>
      <c r="CK17" s="44">
        <v>265</v>
      </c>
      <c r="CL17" s="38">
        <v>1052</v>
      </c>
      <c r="CM17" s="39">
        <v>358</v>
      </c>
      <c r="CN17" s="19">
        <v>0.34030418250950573</v>
      </c>
      <c r="CO17" s="40">
        <v>70</v>
      </c>
      <c r="CP17" s="39">
        <v>505</v>
      </c>
      <c r="CQ17" s="39">
        <v>459</v>
      </c>
      <c r="CR17" s="39">
        <v>510</v>
      </c>
      <c r="CS17" s="39">
        <v>480</v>
      </c>
      <c r="CT17" s="39">
        <v>430</v>
      </c>
      <c r="CU17" s="124" t="s">
        <v>474</v>
      </c>
      <c r="CV17" s="39">
        <v>35</v>
      </c>
      <c r="CW17" s="39">
        <v>26</v>
      </c>
      <c r="CX17" s="39">
        <v>29</v>
      </c>
      <c r="CY17" s="39">
        <v>23</v>
      </c>
      <c r="CZ17" s="39">
        <v>23</v>
      </c>
      <c r="DA17" s="120" t="s">
        <v>474</v>
      </c>
      <c r="DB17" s="15">
        <v>50</v>
      </c>
      <c r="DC17" s="15">
        <v>24</v>
      </c>
      <c r="DD17" s="19">
        <v>5.5813953488372092E-2</v>
      </c>
      <c r="DE17" s="19">
        <v>3.779043272891823E-2</v>
      </c>
      <c r="DF17" s="20">
        <v>8.1703584651564756E-2</v>
      </c>
      <c r="DG17" s="15">
        <v>44</v>
      </c>
      <c r="DH17" s="20">
        <v>1.9332161687170474E-2</v>
      </c>
      <c r="DI17" s="423">
        <v>4</v>
      </c>
      <c r="DJ17" s="428">
        <v>4</v>
      </c>
      <c r="DK17" s="3">
        <v>715</v>
      </c>
      <c r="DL17" s="20">
        <v>3.5893574297188757E-2</v>
      </c>
      <c r="DM17" s="15">
        <v>435</v>
      </c>
      <c r="DN17" s="3">
        <v>435</v>
      </c>
      <c r="DO17" s="3">
        <v>465</v>
      </c>
      <c r="DP17" s="3">
        <v>395</v>
      </c>
      <c r="DQ17" s="11">
        <v>385</v>
      </c>
      <c r="DR17" s="15">
        <v>375</v>
      </c>
      <c r="DS17" s="19">
        <v>0.18518518518518517</v>
      </c>
      <c r="DT17" s="19">
        <v>0.16886803557841171</v>
      </c>
      <c r="DU17" s="19">
        <v>0.20269449117460528</v>
      </c>
      <c r="DV17" s="3">
        <v>435</v>
      </c>
      <c r="DW17" s="19">
        <v>0.20046082949308755</v>
      </c>
      <c r="DX17" s="19">
        <v>0.18415242557767594</v>
      </c>
      <c r="DY17" s="19">
        <v>0.21782788226627869</v>
      </c>
      <c r="DZ17" s="3">
        <v>410</v>
      </c>
      <c r="EA17" s="19">
        <v>0.18385650224215247</v>
      </c>
      <c r="EB17" s="19">
        <v>0.16832729947897285</v>
      </c>
      <c r="EC17" s="19">
        <v>0.20047302677856851</v>
      </c>
      <c r="ED17" s="3">
        <v>415</v>
      </c>
      <c r="EE17" s="19">
        <v>0.18082788671023964</v>
      </c>
      <c r="EF17" s="19">
        <v>0.16561911473038332</v>
      </c>
      <c r="EG17" s="19">
        <v>0.19710335820102745</v>
      </c>
      <c r="EH17" s="3">
        <v>415</v>
      </c>
      <c r="EI17" s="20">
        <v>0.17584745762711865</v>
      </c>
      <c r="EJ17" s="20">
        <v>0.16101864662953547</v>
      </c>
      <c r="EK17" s="20">
        <v>0.19172982375083109</v>
      </c>
      <c r="EL17" s="438">
        <v>395</v>
      </c>
      <c r="EM17" s="20">
        <v>0.18287037037037038</v>
      </c>
      <c r="EN17" s="20">
        <v>0.16713621319806085</v>
      </c>
      <c r="EO17" s="104">
        <v>0.1997305253906998</v>
      </c>
      <c r="EP17" s="38">
        <v>1140</v>
      </c>
      <c r="EQ17" s="20">
        <v>0.16593886462882096</v>
      </c>
      <c r="ER17" s="44">
        <v>1175</v>
      </c>
      <c r="ES17" s="20">
        <v>0.16690340909090909</v>
      </c>
      <c r="ET17" s="44">
        <v>1105</v>
      </c>
      <c r="EU17" s="20">
        <v>0.15541490857946555</v>
      </c>
      <c r="EV17" s="44">
        <v>1085</v>
      </c>
      <c r="EW17" s="20">
        <v>0.1523876404494382</v>
      </c>
      <c r="EX17" s="44">
        <v>1050</v>
      </c>
      <c r="EY17" s="20">
        <v>0.14553014553014554</v>
      </c>
      <c r="EZ17" s="44">
        <v>1015</v>
      </c>
      <c r="FA17" s="104">
        <v>0.14285714285714285</v>
      </c>
      <c r="FB17" s="3">
        <v>452</v>
      </c>
      <c r="FC17" s="3">
        <v>40</v>
      </c>
      <c r="FD17" s="3">
        <v>412</v>
      </c>
      <c r="FE17" s="19">
        <v>0.91150442477876104</v>
      </c>
      <c r="FF17" s="3">
        <v>190</v>
      </c>
      <c r="FG17" s="3">
        <v>243</v>
      </c>
      <c r="FH17" s="19">
        <v>0.46116504854368934</v>
      </c>
      <c r="FI17" s="19">
        <v>0.58980582524271841</v>
      </c>
      <c r="FJ17" s="19">
        <v>0.41361089945461155</v>
      </c>
      <c r="FK17" s="19">
        <v>0.50943669639898514</v>
      </c>
      <c r="FL17" s="19">
        <v>0.54169372818176698</v>
      </c>
      <c r="FM17" s="104">
        <v>0.63625870640679072</v>
      </c>
      <c r="FN17" s="438">
        <v>405</v>
      </c>
      <c r="FO17" s="438">
        <v>172</v>
      </c>
      <c r="FP17" s="438">
        <v>52</v>
      </c>
      <c r="FQ17" s="438">
        <v>224</v>
      </c>
      <c r="FR17" s="497">
        <v>0.42469135802469138</v>
      </c>
      <c r="FS17" s="497">
        <v>0.55308641975308637</v>
      </c>
      <c r="FT17" s="497">
        <v>0.3774802425370406</v>
      </c>
      <c r="FU17" s="497">
        <v>0.47331766779241841</v>
      </c>
      <c r="FV17" s="497">
        <v>0.50439260225315674</v>
      </c>
      <c r="FW17" s="104">
        <v>0.6007826412850934</v>
      </c>
      <c r="FX17" s="438">
        <v>483</v>
      </c>
      <c r="FY17" s="438">
        <v>47</v>
      </c>
      <c r="FZ17" s="438">
        <v>436</v>
      </c>
      <c r="GA17" s="497">
        <v>0.90269151138716353</v>
      </c>
      <c r="GB17" s="438">
        <v>188</v>
      </c>
      <c r="GC17" s="438">
        <v>60</v>
      </c>
      <c r="GD17" s="438">
        <v>248</v>
      </c>
      <c r="GE17" s="497">
        <v>0.43119266055045874</v>
      </c>
      <c r="GF17" s="497">
        <v>0.56880733944954132</v>
      </c>
      <c r="GG17" s="497">
        <v>0.38550704714213102</v>
      </c>
      <c r="GH17" s="497">
        <v>0.47808016412059895</v>
      </c>
      <c r="GI17" s="497">
        <v>0.52191983587940105</v>
      </c>
      <c r="GJ17" s="104">
        <v>0.61449295285786898</v>
      </c>
      <c r="GK17" s="3">
        <v>349</v>
      </c>
      <c r="GL17" s="3">
        <v>35</v>
      </c>
      <c r="GM17" s="19">
        <v>0.10028653295128939</v>
      </c>
      <c r="GN17" s="19">
        <v>7.2995265798449754E-2</v>
      </c>
      <c r="GO17" s="19">
        <v>0.13628132847563371</v>
      </c>
      <c r="GP17" s="382" t="s">
        <v>725</v>
      </c>
      <c r="GQ17" s="3">
        <v>373</v>
      </c>
      <c r="GR17" s="3">
        <v>29</v>
      </c>
      <c r="GS17" s="19">
        <v>7.7747989276139406E-2</v>
      </c>
      <c r="GT17" s="19">
        <v>5.4676117732342343E-2</v>
      </c>
      <c r="GU17" s="19">
        <v>0.10942859360760356</v>
      </c>
      <c r="GV17" s="3" t="s">
        <v>725</v>
      </c>
      <c r="GW17" s="3">
        <v>388</v>
      </c>
      <c r="GX17" s="3">
        <v>26</v>
      </c>
      <c r="GY17" s="19">
        <v>6.7010309278350513E-2</v>
      </c>
      <c r="GZ17" s="19">
        <v>4.6136659976996015E-2</v>
      </c>
      <c r="HA17" s="19">
        <v>9.637367823161877E-2</v>
      </c>
      <c r="HB17" s="3" t="s">
        <v>725</v>
      </c>
      <c r="HC17" s="3">
        <v>383</v>
      </c>
      <c r="HD17" s="3">
        <v>29</v>
      </c>
      <c r="HE17" s="19">
        <v>7.5718015665796348E-2</v>
      </c>
      <c r="HF17" s="19">
        <v>5.3234401388678944E-2</v>
      </c>
      <c r="HG17" s="19">
        <v>0.10662814025621341</v>
      </c>
      <c r="HH17" s="3" t="s">
        <v>725</v>
      </c>
      <c r="HI17" s="3">
        <v>260</v>
      </c>
      <c r="HJ17" s="3">
        <v>26</v>
      </c>
      <c r="HK17" s="19">
        <v>0.1</v>
      </c>
      <c r="HL17" s="19">
        <v>6.9159290185869832E-2</v>
      </c>
      <c r="HM17" s="19">
        <v>0.1424884890156688</v>
      </c>
      <c r="HN17" s="11" t="s">
        <v>725</v>
      </c>
      <c r="HO17" s="11">
        <v>326</v>
      </c>
      <c r="HP17" s="11">
        <v>22</v>
      </c>
      <c r="HQ17" s="497">
        <v>6.7484662576687116E-2</v>
      </c>
      <c r="HR17" s="497">
        <v>4.4984906086232485E-2</v>
      </c>
      <c r="HS17" s="497">
        <v>0.1000588946286477</v>
      </c>
      <c r="HT17" s="8" t="str">
        <f t="shared" si="0"/>
        <v>No Sig diff</v>
      </c>
      <c r="HU17" s="3">
        <v>333</v>
      </c>
      <c r="HV17" s="3">
        <v>54</v>
      </c>
      <c r="HW17" s="19">
        <v>0.16216216216216217</v>
      </c>
      <c r="HX17" s="19">
        <v>0.12646370828997461</v>
      </c>
      <c r="HY17" s="19">
        <v>0.20556625979132698</v>
      </c>
      <c r="HZ17" s="3" t="s">
        <v>725</v>
      </c>
      <c r="IA17" s="3">
        <v>324</v>
      </c>
      <c r="IB17" s="3">
        <v>51</v>
      </c>
      <c r="IC17" s="19">
        <v>0.15740740740740741</v>
      </c>
      <c r="ID17" s="19">
        <v>0.12179595147916422</v>
      </c>
      <c r="IE17" s="19">
        <v>0.20104747168465792</v>
      </c>
      <c r="IF17" s="3" t="s">
        <v>725</v>
      </c>
      <c r="IG17" s="3">
        <v>333</v>
      </c>
      <c r="IH17" s="3">
        <v>57</v>
      </c>
      <c r="II17" s="19">
        <v>0.17117117117117117</v>
      </c>
      <c r="IJ17" s="19">
        <v>0.13452302236020316</v>
      </c>
      <c r="IK17" s="19">
        <v>0.21531947990559702</v>
      </c>
      <c r="IL17" s="3" t="s">
        <v>725</v>
      </c>
      <c r="IM17" s="3">
        <v>320</v>
      </c>
      <c r="IN17" s="3">
        <v>39</v>
      </c>
      <c r="IO17" s="19">
        <v>0.121875</v>
      </c>
      <c r="IP17" s="19">
        <v>9.0449037019305387E-2</v>
      </c>
      <c r="IQ17" s="19">
        <v>0.16227172059687262</v>
      </c>
      <c r="IR17" s="3" t="s">
        <v>726</v>
      </c>
      <c r="IS17" s="3">
        <v>330</v>
      </c>
      <c r="IT17" s="3">
        <v>53</v>
      </c>
      <c r="IU17" s="19">
        <v>0.16060606060606061</v>
      </c>
      <c r="IV17" s="19">
        <v>0.12493226911303648</v>
      </c>
      <c r="IW17" s="19">
        <v>0.20409055270398013</v>
      </c>
      <c r="IX17" s="580" t="s">
        <v>725</v>
      </c>
      <c r="IY17" s="580">
        <v>345</v>
      </c>
      <c r="IZ17" s="580">
        <v>46</v>
      </c>
      <c r="JA17" s="497">
        <v>0.13333333333333333</v>
      </c>
      <c r="JB17" s="497">
        <v>0.10147112968434463</v>
      </c>
      <c r="JC17" s="497">
        <v>0.17327103870555713</v>
      </c>
      <c r="JD17" s="371" t="str">
        <f t="shared" si="1"/>
        <v>Sig better than Eng.</v>
      </c>
      <c r="JE17" s="3">
        <v>457</v>
      </c>
      <c r="JF17" s="3">
        <v>224</v>
      </c>
      <c r="JG17" s="19">
        <v>0.49015317286652077</v>
      </c>
      <c r="JH17" s="19">
        <v>0.44459387098320663</v>
      </c>
      <c r="JI17" s="19">
        <v>0.53587663611259317</v>
      </c>
      <c r="JJ17" s="3">
        <v>457</v>
      </c>
      <c r="JK17" s="3">
        <v>34</v>
      </c>
      <c r="JL17" s="3">
        <v>91</v>
      </c>
      <c r="JM17" s="383">
        <v>20.461538461538463</v>
      </c>
      <c r="JN17" s="19">
        <v>0.3981900452488687</v>
      </c>
      <c r="JO17" s="3">
        <v>460</v>
      </c>
      <c r="JP17" s="3">
        <v>240</v>
      </c>
      <c r="JQ17" s="19">
        <v>0.52173913043478259</v>
      </c>
      <c r="JR17" s="19">
        <v>0.47609946596788244</v>
      </c>
      <c r="JS17" s="19">
        <v>0.5670187150822753</v>
      </c>
      <c r="JT17" s="3">
        <v>460</v>
      </c>
      <c r="JU17" s="3">
        <v>34</v>
      </c>
      <c r="JV17" s="3">
        <v>91</v>
      </c>
      <c r="JW17" s="383">
        <v>21.736263736263741</v>
      </c>
      <c r="JX17" s="20">
        <v>0.36069812540400764</v>
      </c>
      <c r="JY17" s="44">
        <v>448</v>
      </c>
      <c r="JZ17" s="44">
        <v>272</v>
      </c>
      <c r="KA17" s="20">
        <v>0.6071428571428571</v>
      </c>
      <c r="KB17" s="20">
        <v>0.56119109334165673</v>
      </c>
      <c r="KC17" s="20">
        <v>0.65127280992777759</v>
      </c>
      <c r="KD17" s="438">
        <v>34</v>
      </c>
      <c r="KE17" s="438">
        <v>89</v>
      </c>
      <c r="KF17" s="384">
        <v>24.8</v>
      </c>
      <c r="KG17" s="104">
        <v>0.27100000000000002</v>
      </c>
      <c r="KH17" s="357"/>
      <c r="KI17" s="357"/>
      <c r="KJ17" s="357"/>
      <c r="KK17" s="357"/>
      <c r="KL17" s="357"/>
      <c r="KM17" s="357"/>
      <c r="KN17" s="357"/>
      <c r="KO17" s="357"/>
      <c r="KP17" s="357"/>
      <c r="KQ17" s="357"/>
      <c r="KR17" s="357"/>
      <c r="KS17" s="357"/>
      <c r="KT17" s="357"/>
      <c r="KU17" s="357"/>
      <c r="KV17" s="357"/>
      <c r="KW17" s="360"/>
      <c r="KX17" s="438">
        <v>19</v>
      </c>
      <c r="KY17" s="438">
        <v>208</v>
      </c>
      <c r="KZ17" s="497">
        <v>9.1346153846153841E-2</v>
      </c>
      <c r="LA17" s="497">
        <v>5.9259151913276166E-2</v>
      </c>
      <c r="LB17" s="497">
        <v>0.13825392722440752</v>
      </c>
      <c r="LC17" s="438">
        <v>17</v>
      </c>
      <c r="LD17" s="438">
        <v>208</v>
      </c>
      <c r="LE17" s="497">
        <v>8.1730769230769232E-2</v>
      </c>
      <c r="LF17" s="497">
        <v>5.165287981199955E-2</v>
      </c>
      <c r="LG17" s="497">
        <v>0.12697815412892377</v>
      </c>
      <c r="LH17" s="438">
        <v>17</v>
      </c>
      <c r="LI17" s="438">
        <v>208</v>
      </c>
      <c r="LJ17" s="497">
        <v>8.1730769230769232E-2</v>
      </c>
      <c r="LK17" s="497">
        <v>5.165287981199955E-2</v>
      </c>
      <c r="LL17" s="497">
        <v>0.12697815412892377</v>
      </c>
      <c r="LM17" s="438">
        <v>34</v>
      </c>
      <c r="LN17" s="438">
        <v>202</v>
      </c>
      <c r="LO17" s="497">
        <v>0.16831683168316833</v>
      </c>
      <c r="LP17" s="497">
        <v>0.12302114483529501</v>
      </c>
      <c r="LQ17" s="104">
        <v>0.22599240779053587</v>
      </c>
      <c r="LR17" s="3">
        <v>117</v>
      </c>
      <c r="LS17" s="3">
        <v>111</v>
      </c>
      <c r="LT17" s="3">
        <v>111</v>
      </c>
      <c r="LU17" s="3">
        <v>116</v>
      </c>
      <c r="LV17" s="3">
        <v>110</v>
      </c>
      <c r="LW17" s="3">
        <v>108</v>
      </c>
      <c r="LX17" s="3">
        <v>104</v>
      </c>
      <c r="LY17" s="3">
        <v>105</v>
      </c>
      <c r="LZ17" s="3">
        <v>103</v>
      </c>
      <c r="MA17" s="3">
        <v>105</v>
      </c>
      <c r="MB17" s="3">
        <v>107</v>
      </c>
      <c r="MC17" s="3">
        <v>103</v>
      </c>
      <c r="MD17" s="3">
        <v>106</v>
      </c>
      <c r="ME17" s="3">
        <v>134</v>
      </c>
      <c r="MF17" s="3">
        <v>125</v>
      </c>
      <c r="MG17" s="3">
        <v>123</v>
      </c>
      <c r="MH17" s="3">
        <v>120</v>
      </c>
      <c r="MI17" s="3">
        <v>122</v>
      </c>
      <c r="MJ17" s="3">
        <v>125</v>
      </c>
      <c r="MK17" s="3">
        <v>118</v>
      </c>
      <c r="ML17" s="3">
        <v>124</v>
      </c>
      <c r="MM17" s="3">
        <v>120</v>
      </c>
      <c r="MN17" s="8">
        <v>126</v>
      </c>
      <c r="MO17" s="3">
        <v>476</v>
      </c>
      <c r="MP17" s="24">
        <v>0.96599999999999997</v>
      </c>
      <c r="MQ17" s="24">
        <v>4.0000000000000001E-3</v>
      </c>
      <c r="MR17" s="24">
        <v>0.96199999999999997</v>
      </c>
      <c r="MS17" s="3">
        <v>460</v>
      </c>
      <c r="MT17" s="3">
        <v>2</v>
      </c>
      <c r="MU17" s="3">
        <v>458</v>
      </c>
      <c r="MV17" s="3">
        <v>514</v>
      </c>
      <c r="MW17" s="24">
        <v>0.95299999999999996</v>
      </c>
      <c r="MX17" s="24">
        <v>0.93200000000000005</v>
      </c>
      <c r="MY17" s="24">
        <v>0.94699999999999995</v>
      </c>
      <c r="MZ17" s="24">
        <v>0.93799999999999994</v>
      </c>
      <c r="NA17" s="24">
        <v>0.93799999999999994</v>
      </c>
      <c r="NB17" s="3">
        <v>490</v>
      </c>
      <c r="NC17" s="3">
        <v>479</v>
      </c>
      <c r="ND17" s="3">
        <v>487</v>
      </c>
      <c r="NE17" s="3">
        <v>482</v>
      </c>
      <c r="NF17" s="3">
        <v>482</v>
      </c>
      <c r="NG17" s="3">
        <v>529</v>
      </c>
      <c r="NH17" s="24">
        <v>0.94299999999999995</v>
      </c>
      <c r="NI17" s="24">
        <v>0.89800000000000002</v>
      </c>
      <c r="NJ17" s="24">
        <v>0.94299999999999995</v>
      </c>
      <c r="NK17" s="24">
        <v>0.93799999999999994</v>
      </c>
      <c r="NL17" s="24">
        <v>0.94099999999999995</v>
      </c>
      <c r="NM17" s="24">
        <v>0.90200000000000002</v>
      </c>
      <c r="NN17" s="24">
        <v>0.94</v>
      </c>
      <c r="NO17" s="24">
        <v>0.89400000000000002</v>
      </c>
      <c r="NP17" s="24">
        <v>0.94899999999999995</v>
      </c>
      <c r="NQ17" s="24">
        <v>0.88300000000000001</v>
      </c>
      <c r="NR17" s="3">
        <v>499</v>
      </c>
      <c r="NS17" s="3">
        <v>475</v>
      </c>
      <c r="NT17" s="3">
        <v>499</v>
      </c>
      <c r="NU17" s="3">
        <v>496</v>
      </c>
      <c r="NV17" s="3">
        <v>498</v>
      </c>
      <c r="NW17" s="3">
        <v>477</v>
      </c>
      <c r="NX17" s="3">
        <v>497</v>
      </c>
      <c r="NY17" s="3">
        <v>473</v>
      </c>
      <c r="NZ17" s="3">
        <v>502</v>
      </c>
      <c r="OA17" s="8">
        <v>467</v>
      </c>
    </row>
    <row r="18" spans="1:391" s="3" customFormat="1" ht="12.75" x14ac:dyDescent="0.2">
      <c r="A18" s="11" t="s">
        <v>45</v>
      </c>
      <c r="B18" s="8">
        <v>13</v>
      </c>
      <c r="C18" s="11" t="s">
        <v>176</v>
      </c>
      <c r="D18" s="11" t="s">
        <v>177</v>
      </c>
      <c r="E18" s="11" t="s">
        <v>287</v>
      </c>
      <c r="F18" s="11" t="s">
        <v>287</v>
      </c>
      <c r="G18" s="11" t="s">
        <v>178</v>
      </c>
      <c r="H18" s="11" t="s">
        <v>267</v>
      </c>
      <c r="I18" s="11" t="s">
        <v>44</v>
      </c>
      <c r="J18" s="11" t="s">
        <v>269</v>
      </c>
      <c r="K18" s="11" t="s">
        <v>375</v>
      </c>
      <c r="L18" s="11" t="s">
        <v>275</v>
      </c>
      <c r="M18" s="11" t="s">
        <v>338</v>
      </c>
      <c r="N18" s="3" t="s">
        <v>44</v>
      </c>
      <c r="O18" s="11">
        <v>488285</v>
      </c>
      <c r="P18" s="11">
        <v>121355</v>
      </c>
      <c r="Q18" s="128">
        <v>22003</v>
      </c>
      <c r="R18" s="128" t="s">
        <v>287</v>
      </c>
      <c r="S18" s="400" t="s">
        <v>817</v>
      </c>
      <c r="T18" s="38">
        <v>15990</v>
      </c>
      <c r="U18" s="39">
        <v>15980</v>
      </c>
      <c r="V18" s="39">
        <v>16045</v>
      </c>
      <c r="W18" s="39">
        <v>16120</v>
      </c>
      <c r="X18" s="39">
        <v>16080</v>
      </c>
      <c r="Y18" s="39">
        <v>16020</v>
      </c>
      <c r="Z18" s="39">
        <v>16095</v>
      </c>
      <c r="AA18" s="39">
        <v>16150</v>
      </c>
      <c r="AB18" s="39">
        <v>16255</v>
      </c>
      <c r="AC18" s="44">
        <v>16145</v>
      </c>
      <c r="AD18" s="38">
        <v>770</v>
      </c>
      <c r="AE18" s="39">
        <v>810</v>
      </c>
      <c r="AF18" s="39">
        <v>830</v>
      </c>
      <c r="AG18" s="39">
        <v>830</v>
      </c>
      <c r="AH18" s="39">
        <v>815</v>
      </c>
      <c r="AI18" s="39">
        <v>815</v>
      </c>
      <c r="AJ18" s="39">
        <v>790</v>
      </c>
      <c r="AK18" s="39">
        <v>785</v>
      </c>
      <c r="AL18" s="39">
        <v>815</v>
      </c>
      <c r="AM18" s="44">
        <v>754</v>
      </c>
      <c r="AN18" s="15">
        <v>814</v>
      </c>
      <c r="AO18" s="3">
        <v>756</v>
      </c>
      <c r="AP18" s="3">
        <v>14</v>
      </c>
      <c r="AQ18" s="3">
        <v>34</v>
      </c>
      <c r="AR18" s="3">
        <v>6</v>
      </c>
      <c r="AS18" s="3">
        <v>1</v>
      </c>
      <c r="AT18" s="3">
        <v>3</v>
      </c>
      <c r="AU18" s="11">
        <v>58</v>
      </c>
      <c r="AV18" s="18">
        <v>0.92874692874692877</v>
      </c>
      <c r="AW18" s="19">
        <v>1.7199017199017199E-2</v>
      </c>
      <c r="AX18" s="19">
        <v>4.1769041769041768E-2</v>
      </c>
      <c r="AY18" s="19">
        <v>7.3710073710073713E-3</v>
      </c>
      <c r="AZ18" s="19">
        <v>1.2285012285012285E-3</v>
      </c>
      <c r="BA18" s="19">
        <v>3.6855036855036856E-3</v>
      </c>
      <c r="BB18" s="20">
        <v>7.1253071253071232E-2</v>
      </c>
      <c r="BC18" s="15">
        <v>2199</v>
      </c>
      <c r="BD18" s="3">
        <v>2181</v>
      </c>
      <c r="BE18" s="3">
        <v>18</v>
      </c>
      <c r="BF18" s="3">
        <v>15</v>
      </c>
      <c r="BG18" s="3">
        <v>3</v>
      </c>
      <c r="BH18" s="19">
        <v>0.83333333333333337</v>
      </c>
      <c r="BI18" s="20">
        <v>0.16666666666666666</v>
      </c>
      <c r="BJ18" s="15">
        <v>1649</v>
      </c>
      <c r="BK18" s="19">
        <v>0.60097028502122496</v>
      </c>
      <c r="BL18" s="19">
        <v>0.1952698605215282</v>
      </c>
      <c r="BM18" s="20">
        <v>0.20375985445724681</v>
      </c>
      <c r="BN18" s="38">
        <v>4811</v>
      </c>
      <c r="BO18" s="39">
        <v>198</v>
      </c>
      <c r="BP18" s="39">
        <v>277</v>
      </c>
      <c r="BQ18" s="39">
        <v>134</v>
      </c>
      <c r="BR18" s="39">
        <v>3061</v>
      </c>
      <c r="BS18" s="39">
        <v>1708</v>
      </c>
      <c r="BT18" s="20">
        <v>0.15690866510538642</v>
      </c>
      <c r="BU18" s="38">
        <v>1116</v>
      </c>
      <c r="BV18" s="39">
        <v>0</v>
      </c>
      <c r="BW18" s="39">
        <v>206</v>
      </c>
      <c r="BX18" s="39">
        <v>308</v>
      </c>
      <c r="BY18" s="39">
        <v>86</v>
      </c>
      <c r="BZ18" s="40">
        <v>1716</v>
      </c>
      <c r="CA18" s="39">
        <v>612</v>
      </c>
      <c r="CB18" s="39">
        <v>532</v>
      </c>
      <c r="CC18" s="39">
        <v>78</v>
      </c>
      <c r="CD18" s="39">
        <v>80</v>
      </c>
      <c r="CE18" s="19">
        <v>0.12745098039215685</v>
      </c>
      <c r="CF18" s="104">
        <v>0.13071895424836602</v>
      </c>
      <c r="CG18" s="39">
        <v>70</v>
      </c>
      <c r="CH18" s="39">
        <v>65</v>
      </c>
      <c r="CI18" s="39">
        <v>50</v>
      </c>
      <c r="CJ18" s="39">
        <v>60</v>
      </c>
      <c r="CK18" s="44">
        <v>55</v>
      </c>
      <c r="CL18" s="38">
        <v>308</v>
      </c>
      <c r="CM18" s="39">
        <v>98</v>
      </c>
      <c r="CN18" s="19">
        <v>0.31818181818181818</v>
      </c>
      <c r="CO18" s="40">
        <v>26</v>
      </c>
      <c r="CP18" s="39">
        <v>121</v>
      </c>
      <c r="CQ18" s="39">
        <v>126</v>
      </c>
      <c r="CR18" s="39">
        <v>99</v>
      </c>
      <c r="CS18" s="39">
        <v>127</v>
      </c>
      <c r="CT18" s="39">
        <v>97</v>
      </c>
      <c r="CU18" s="124" t="s">
        <v>474</v>
      </c>
      <c r="CV18" s="39">
        <v>5</v>
      </c>
      <c r="CW18" s="39">
        <v>7</v>
      </c>
      <c r="CX18" s="39">
        <v>1</v>
      </c>
      <c r="CY18" s="39">
        <v>5</v>
      </c>
      <c r="CZ18" s="39">
        <v>3</v>
      </c>
      <c r="DA18" s="120" t="s">
        <v>474</v>
      </c>
      <c r="DB18" s="15">
        <v>7</v>
      </c>
      <c r="DC18" s="15">
        <v>13</v>
      </c>
      <c r="DD18" s="19">
        <v>0.13402061855670103</v>
      </c>
      <c r="DE18" s="19">
        <v>8.002456680409932E-2</v>
      </c>
      <c r="DF18" s="20">
        <v>0.21589993854994483</v>
      </c>
      <c r="DG18" s="15">
        <v>12</v>
      </c>
      <c r="DH18" s="20">
        <v>1.4742014742014743E-2</v>
      </c>
      <c r="DI18" s="423">
        <v>6</v>
      </c>
      <c r="DJ18" s="428">
        <v>6</v>
      </c>
      <c r="DK18" s="3">
        <v>207</v>
      </c>
      <c r="DL18" s="20">
        <v>2.8618830360846122E-2</v>
      </c>
      <c r="DM18" s="15">
        <v>85</v>
      </c>
      <c r="DN18" s="3">
        <v>95</v>
      </c>
      <c r="DO18" s="3">
        <v>95</v>
      </c>
      <c r="DP18" s="3">
        <v>80</v>
      </c>
      <c r="DQ18" s="11">
        <v>70</v>
      </c>
      <c r="DR18" s="15">
        <v>70</v>
      </c>
      <c r="DS18" s="19">
        <v>8.5365853658536592E-2</v>
      </c>
      <c r="DT18" s="19">
        <v>6.812093171674348E-2</v>
      </c>
      <c r="DU18" s="19">
        <v>0.10647753899702604</v>
      </c>
      <c r="DV18" s="3">
        <v>75</v>
      </c>
      <c r="DW18" s="19">
        <v>9.4339622641509441E-2</v>
      </c>
      <c r="DX18" s="19">
        <v>7.5926994854083177E-2</v>
      </c>
      <c r="DY18" s="19">
        <v>0.11665371953172962</v>
      </c>
      <c r="DZ18" s="3">
        <v>85</v>
      </c>
      <c r="EA18" s="19">
        <v>0.10493827160493827</v>
      </c>
      <c r="EB18" s="19">
        <v>8.5664817895442877E-2</v>
      </c>
      <c r="EC18" s="19">
        <v>0.127941231460412</v>
      </c>
      <c r="ED18" s="3">
        <v>110</v>
      </c>
      <c r="EE18" s="19">
        <v>0.13836477987421383</v>
      </c>
      <c r="EF18" s="19">
        <v>0.11609698059816681</v>
      </c>
      <c r="EG18" s="19">
        <v>0.16411063300158879</v>
      </c>
      <c r="EH18" s="3">
        <v>80</v>
      </c>
      <c r="EI18" s="20">
        <v>0.10457516339869281</v>
      </c>
      <c r="EJ18" s="20">
        <v>8.4830729401685165E-2</v>
      </c>
      <c r="EK18" s="20">
        <v>0.12827101861279661</v>
      </c>
      <c r="EL18" s="438">
        <v>95</v>
      </c>
      <c r="EM18" s="20">
        <v>0.14285714285714285</v>
      </c>
      <c r="EN18" s="20">
        <v>0.1183097405244007</v>
      </c>
      <c r="EO18" s="104">
        <v>0.1715070109109495</v>
      </c>
      <c r="EP18" s="38">
        <v>280</v>
      </c>
      <c r="EQ18" s="20">
        <v>0.10294117647058823</v>
      </c>
      <c r="ER18" s="44">
        <v>250</v>
      </c>
      <c r="ES18" s="20">
        <v>9.3109869646182494E-2</v>
      </c>
      <c r="ET18" s="44">
        <v>240</v>
      </c>
      <c r="EU18" s="20">
        <v>9.0737240075614373E-2</v>
      </c>
      <c r="EV18" s="44">
        <v>245</v>
      </c>
      <c r="EW18" s="20">
        <v>9.0909090909090912E-2</v>
      </c>
      <c r="EX18" s="44">
        <v>235</v>
      </c>
      <c r="EY18" s="20">
        <v>8.7850467289719625E-2</v>
      </c>
      <c r="EZ18" s="44">
        <v>245</v>
      </c>
      <c r="FA18" s="104">
        <v>9.2979127134724851E-2</v>
      </c>
      <c r="FB18" s="3">
        <v>138</v>
      </c>
      <c r="FC18" s="3">
        <v>4</v>
      </c>
      <c r="FD18" s="3">
        <v>134</v>
      </c>
      <c r="FE18" s="19">
        <v>0.97101449275362317</v>
      </c>
      <c r="FF18" s="3">
        <v>67</v>
      </c>
      <c r="FG18" s="3">
        <v>83</v>
      </c>
      <c r="FH18" s="19">
        <v>0.5</v>
      </c>
      <c r="FI18" s="19">
        <v>0.61940298507462688</v>
      </c>
      <c r="FJ18" s="19">
        <v>0.41652894110160354</v>
      </c>
      <c r="FK18" s="19">
        <v>0.58347105889839646</v>
      </c>
      <c r="FL18" s="19">
        <v>0.53495096670916298</v>
      </c>
      <c r="FM18" s="104">
        <v>0.69719955969215563</v>
      </c>
      <c r="FN18" s="438">
        <v>90</v>
      </c>
      <c r="FO18" s="438">
        <v>33</v>
      </c>
      <c r="FP18" s="438">
        <v>13</v>
      </c>
      <c r="FQ18" s="438">
        <v>46</v>
      </c>
      <c r="FR18" s="497">
        <v>0.36666666666666664</v>
      </c>
      <c r="FS18" s="497">
        <v>0.51111111111111107</v>
      </c>
      <c r="FT18" s="497">
        <v>0.27447254779029895</v>
      </c>
      <c r="FU18" s="497">
        <v>0.46977695236018824</v>
      </c>
      <c r="FV18" s="497">
        <v>0.40951745785285504</v>
      </c>
      <c r="FW18" s="104">
        <v>0.61179508380127101</v>
      </c>
      <c r="FX18" s="438">
        <v>91</v>
      </c>
      <c r="FY18" s="438">
        <v>0</v>
      </c>
      <c r="FZ18" s="438">
        <v>91</v>
      </c>
      <c r="GA18" s="497">
        <v>1</v>
      </c>
      <c r="GB18" s="438">
        <v>34</v>
      </c>
      <c r="GC18" s="438">
        <v>13</v>
      </c>
      <c r="GD18" s="438">
        <v>47</v>
      </c>
      <c r="GE18" s="497">
        <v>0.37362637362637363</v>
      </c>
      <c r="GF18" s="497">
        <v>0.51648351648351654</v>
      </c>
      <c r="GG18" s="497">
        <v>0.2812496751488513</v>
      </c>
      <c r="GH18" s="497">
        <v>0.47624034782218433</v>
      </c>
      <c r="GI18" s="497">
        <v>0.41524031664952332</v>
      </c>
      <c r="GJ18" s="104">
        <v>0.61639141948468945</v>
      </c>
      <c r="GK18" s="3">
        <v>114</v>
      </c>
      <c r="GL18" s="3">
        <v>10</v>
      </c>
      <c r="GM18" s="19">
        <v>8.771929824561403E-2</v>
      </c>
      <c r="GN18" s="19">
        <v>4.8345105411009885E-2</v>
      </c>
      <c r="GO18" s="19">
        <v>0.15397298415856125</v>
      </c>
      <c r="GP18" s="353" t="s">
        <v>725</v>
      </c>
      <c r="GQ18" s="3">
        <v>133</v>
      </c>
      <c r="GR18" s="3">
        <v>9</v>
      </c>
      <c r="GS18" s="19">
        <v>6.7669172932330823E-2</v>
      </c>
      <c r="GT18" s="19">
        <v>3.6006387177108239E-2</v>
      </c>
      <c r="GU18" s="19">
        <v>0.12360502744039735</v>
      </c>
      <c r="GV18" s="3" t="s">
        <v>725</v>
      </c>
      <c r="GW18" s="3">
        <v>141</v>
      </c>
      <c r="GX18" s="3">
        <v>7</v>
      </c>
      <c r="GY18" s="19">
        <v>4.9645390070921988E-2</v>
      </c>
      <c r="GZ18" s="19">
        <v>2.4253530324488033E-2</v>
      </c>
      <c r="HA18" s="19">
        <v>9.8925695885742834E-2</v>
      </c>
      <c r="HB18" s="3" t="s">
        <v>725</v>
      </c>
      <c r="HC18" s="3">
        <v>123</v>
      </c>
      <c r="HD18" s="3">
        <v>6</v>
      </c>
      <c r="HE18" s="19">
        <v>4.878048780487805E-2</v>
      </c>
      <c r="HF18" s="19">
        <v>2.2545774253251705E-2</v>
      </c>
      <c r="HG18" s="19">
        <v>0.10234603137544228</v>
      </c>
      <c r="HH18" s="3" t="s">
        <v>725</v>
      </c>
      <c r="HI18" s="3">
        <v>112</v>
      </c>
      <c r="HJ18" s="3">
        <v>8</v>
      </c>
      <c r="HK18" s="19">
        <v>7.1428571428571425E-2</v>
      </c>
      <c r="HL18" s="19">
        <v>3.663590189789058E-2</v>
      </c>
      <c r="HM18" s="19">
        <v>0.13464525273091843</v>
      </c>
      <c r="HN18" s="11" t="s">
        <v>725</v>
      </c>
      <c r="HO18" s="11">
        <v>120</v>
      </c>
      <c r="HP18" s="11">
        <v>6</v>
      </c>
      <c r="HQ18" s="497">
        <v>0.05</v>
      </c>
      <c r="HR18" s="497">
        <v>2.3114364414465797E-2</v>
      </c>
      <c r="HS18" s="497">
        <v>0.10480288536236732</v>
      </c>
      <c r="HT18" s="8" t="str">
        <f t="shared" si="0"/>
        <v>No Sig diff</v>
      </c>
      <c r="HU18" s="3">
        <v>88</v>
      </c>
      <c r="HV18" s="3">
        <v>10</v>
      </c>
      <c r="HW18" s="19">
        <v>0.11363636363636363</v>
      </c>
      <c r="HX18" s="19">
        <v>6.2908003751013547E-2</v>
      </c>
      <c r="HY18" s="19">
        <v>0.1966856386718577</v>
      </c>
      <c r="HZ18" s="3" t="s">
        <v>725</v>
      </c>
      <c r="IA18" s="3">
        <v>88</v>
      </c>
      <c r="IB18" s="3">
        <v>17</v>
      </c>
      <c r="IC18" s="19">
        <v>0.19318181818181818</v>
      </c>
      <c r="ID18" s="19">
        <v>0.12425957732106709</v>
      </c>
      <c r="IE18" s="19">
        <v>0.2877706681323895</v>
      </c>
      <c r="IF18" s="3" t="s">
        <v>725</v>
      </c>
      <c r="IG18" s="3">
        <v>91</v>
      </c>
      <c r="IH18" s="3">
        <v>13</v>
      </c>
      <c r="II18" s="19">
        <v>0.14285714285714285</v>
      </c>
      <c r="IJ18" s="19">
        <v>8.542758136548774E-2</v>
      </c>
      <c r="IK18" s="19">
        <v>0.22921813572656949</v>
      </c>
      <c r="IL18" s="3" t="s">
        <v>725</v>
      </c>
      <c r="IM18" s="3">
        <v>100</v>
      </c>
      <c r="IN18" s="3">
        <v>6</v>
      </c>
      <c r="IO18" s="19">
        <v>0.06</v>
      </c>
      <c r="IP18" s="19">
        <v>2.7786123963188188E-2</v>
      </c>
      <c r="IQ18" s="19">
        <v>0.1247681544589592</v>
      </c>
      <c r="IR18" s="3" t="s">
        <v>726</v>
      </c>
      <c r="IS18" s="3">
        <v>106</v>
      </c>
      <c r="IT18" s="3">
        <v>17</v>
      </c>
      <c r="IU18" s="19">
        <v>0.16037735849056603</v>
      </c>
      <c r="IV18" s="19">
        <v>0.10261020166712782</v>
      </c>
      <c r="IW18" s="19">
        <v>0.24189959660919289</v>
      </c>
      <c r="IX18" s="580" t="s">
        <v>725</v>
      </c>
      <c r="IY18" s="580">
        <v>114</v>
      </c>
      <c r="IZ18" s="580">
        <v>15</v>
      </c>
      <c r="JA18" s="497">
        <v>0.13157894736842105</v>
      </c>
      <c r="JB18" s="497">
        <v>8.138650983774752E-2</v>
      </c>
      <c r="JC18" s="497">
        <v>0.20579135743718838</v>
      </c>
      <c r="JD18" s="371" t="str">
        <f t="shared" si="1"/>
        <v>Sig better than Eng.</v>
      </c>
      <c r="JE18" s="3">
        <v>150</v>
      </c>
      <c r="JF18" s="3">
        <v>80</v>
      </c>
      <c r="JG18" s="19">
        <v>0.53333333333333333</v>
      </c>
      <c r="JH18" s="19">
        <v>0.45366249130807695</v>
      </c>
      <c r="JI18" s="19">
        <v>0.61133949240071794</v>
      </c>
      <c r="JJ18" s="3">
        <v>150</v>
      </c>
      <c r="JK18" s="3">
        <v>34</v>
      </c>
      <c r="JL18" s="3">
        <v>30</v>
      </c>
      <c r="JM18" s="383">
        <v>25.433333333333334</v>
      </c>
      <c r="JN18" s="19">
        <v>0.25196078431372548</v>
      </c>
      <c r="JO18" s="3">
        <v>166</v>
      </c>
      <c r="JP18" s="3">
        <v>90</v>
      </c>
      <c r="JQ18" s="19">
        <v>0.54216867469879515</v>
      </c>
      <c r="JR18" s="19">
        <v>0.46628048237198927</v>
      </c>
      <c r="JS18" s="19">
        <v>0.61614933245184689</v>
      </c>
      <c r="JT18" s="3">
        <v>166</v>
      </c>
      <c r="JU18" s="3">
        <v>34</v>
      </c>
      <c r="JV18" s="3">
        <v>33</v>
      </c>
      <c r="JW18" s="383">
        <v>25.515151515151519</v>
      </c>
      <c r="JX18" s="20">
        <v>0.2495543672014259</v>
      </c>
      <c r="JY18" s="44">
        <v>149</v>
      </c>
      <c r="JZ18" s="44">
        <v>93</v>
      </c>
      <c r="KA18" s="20">
        <v>0.62416107382550334</v>
      </c>
      <c r="KB18" s="20">
        <v>0.54419201143024809</v>
      </c>
      <c r="KC18" s="20">
        <v>0.69788890225303812</v>
      </c>
      <c r="KD18" s="438">
        <v>34</v>
      </c>
      <c r="KE18" s="438">
        <v>29</v>
      </c>
      <c r="KF18" s="384">
        <v>23.9</v>
      </c>
      <c r="KG18" s="104">
        <v>0.29599999999999999</v>
      </c>
      <c r="KH18" s="19"/>
      <c r="KI18" s="19">
        <v>0.15909090909090909</v>
      </c>
      <c r="KJ18" s="19">
        <v>9.71981376163292E-2</v>
      </c>
      <c r="KK18" s="19">
        <v>0.24950313936490803</v>
      </c>
      <c r="KL18" s="19"/>
      <c r="KM18" s="19">
        <v>0.125</v>
      </c>
      <c r="KN18" s="19">
        <v>7.1252008979545867E-2</v>
      </c>
      <c r="KO18" s="19">
        <v>0.21011939569981511</v>
      </c>
      <c r="KP18" s="19"/>
      <c r="KQ18" s="19">
        <v>0.12643678160919541</v>
      </c>
      <c r="KR18" s="19">
        <v>7.2088787763500334E-2</v>
      </c>
      <c r="KS18" s="19">
        <v>0.21238000186592054</v>
      </c>
      <c r="KT18" s="19"/>
      <c r="KU18" s="19">
        <v>0.29545454545454547</v>
      </c>
      <c r="KV18" s="19">
        <v>0.21030723719315755</v>
      </c>
      <c r="KW18" s="104">
        <v>0.39771352899558482</v>
      </c>
      <c r="KX18" s="438">
        <v>10</v>
      </c>
      <c r="KY18" s="438">
        <v>56</v>
      </c>
      <c r="KZ18" s="497">
        <v>0.17857142857142858</v>
      </c>
      <c r="LA18" s="497">
        <v>9.9998567524123047E-2</v>
      </c>
      <c r="LB18" s="497">
        <v>0.29841182036651054</v>
      </c>
      <c r="LC18" s="438">
        <v>7</v>
      </c>
      <c r="LD18" s="438">
        <v>56</v>
      </c>
      <c r="LE18" s="497">
        <v>0.125</v>
      </c>
      <c r="LF18" s="497">
        <v>6.1890686957171197E-2</v>
      </c>
      <c r="LG18" s="497">
        <v>0.23625476558190131</v>
      </c>
      <c r="LH18" s="438">
        <v>11</v>
      </c>
      <c r="LI18" s="438">
        <v>56</v>
      </c>
      <c r="LJ18" s="497">
        <v>0.19642857142857142</v>
      </c>
      <c r="LK18" s="497">
        <v>0.11338595674323659</v>
      </c>
      <c r="LL18" s="497">
        <v>0.31844607626458404</v>
      </c>
      <c r="LM18" s="438">
        <v>15</v>
      </c>
      <c r="LN18" s="438">
        <v>56</v>
      </c>
      <c r="LO18" s="497">
        <v>0.26785714285714285</v>
      </c>
      <c r="LP18" s="497">
        <v>0.1695730541850172</v>
      </c>
      <c r="LQ18" s="104">
        <v>0.39594555929155151</v>
      </c>
      <c r="LR18" s="3">
        <v>29</v>
      </c>
      <c r="LS18" s="3">
        <v>27</v>
      </c>
      <c r="LT18" s="3">
        <v>27</v>
      </c>
      <c r="LU18" s="3">
        <v>28</v>
      </c>
      <c r="LV18" s="3">
        <v>27</v>
      </c>
      <c r="LW18" s="3">
        <v>22</v>
      </c>
      <c r="LX18" s="3">
        <v>22</v>
      </c>
      <c r="LY18" s="3">
        <v>22</v>
      </c>
      <c r="LZ18" s="3">
        <v>22</v>
      </c>
      <c r="MA18" s="3">
        <v>22</v>
      </c>
      <c r="MB18" s="3">
        <v>22</v>
      </c>
      <c r="MC18" s="3">
        <v>22</v>
      </c>
      <c r="MD18" s="3">
        <v>22</v>
      </c>
      <c r="ME18" s="3">
        <v>39</v>
      </c>
      <c r="MF18" s="3">
        <v>33</v>
      </c>
      <c r="MG18" s="3">
        <v>33</v>
      </c>
      <c r="MH18" s="3">
        <v>33</v>
      </c>
      <c r="MI18" s="3">
        <v>33</v>
      </c>
      <c r="MJ18" s="3">
        <v>34</v>
      </c>
      <c r="MK18" s="3">
        <v>33</v>
      </c>
      <c r="ML18" s="3">
        <v>34</v>
      </c>
      <c r="MM18" s="3">
        <v>31</v>
      </c>
      <c r="MN18" s="8">
        <v>33</v>
      </c>
      <c r="MO18" s="3">
        <v>99</v>
      </c>
      <c r="MP18" s="24">
        <v>0.94899999999999995</v>
      </c>
      <c r="MQ18" s="24">
        <v>0.03</v>
      </c>
      <c r="MR18" s="24">
        <v>0.94899999999999995</v>
      </c>
      <c r="MS18" s="3">
        <v>94</v>
      </c>
      <c r="MT18" s="3">
        <v>3</v>
      </c>
      <c r="MU18" s="3">
        <v>94</v>
      </c>
      <c r="MV18" s="3">
        <v>121</v>
      </c>
      <c r="MW18" s="24">
        <v>0.99199999999999999</v>
      </c>
      <c r="MX18" s="24">
        <v>0.96699999999999997</v>
      </c>
      <c r="MY18" s="24">
        <v>0.98299999999999998</v>
      </c>
      <c r="MZ18" s="24">
        <v>0.96699999999999997</v>
      </c>
      <c r="NA18" s="24">
        <v>0.97499999999999998</v>
      </c>
      <c r="NB18" s="3">
        <v>120</v>
      </c>
      <c r="NC18" s="3">
        <v>117</v>
      </c>
      <c r="ND18" s="3">
        <v>119</v>
      </c>
      <c r="NE18" s="3">
        <v>117</v>
      </c>
      <c r="NF18" s="3">
        <v>118</v>
      </c>
      <c r="NG18" s="3">
        <v>115</v>
      </c>
      <c r="NH18" s="24">
        <v>0.98299999999999998</v>
      </c>
      <c r="NI18" s="24">
        <v>0.94799999999999995</v>
      </c>
      <c r="NJ18" s="24">
        <v>0.98299999999999998</v>
      </c>
      <c r="NK18" s="24">
        <v>0.97399999999999998</v>
      </c>
      <c r="NL18" s="24">
        <v>0.96499999999999997</v>
      </c>
      <c r="NM18" s="24">
        <v>0.94799999999999995</v>
      </c>
      <c r="NN18" s="24">
        <v>0.96499999999999997</v>
      </c>
      <c r="NO18" s="24">
        <v>0.94799999999999995</v>
      </c>
      <c r="NP18" s="24">
        <v>0.97399999999999998</v>
      </c>
      <c r="NQ18" s="24">
        <v>0.95699999999999996</v>
      </c>
      <c r="NR18" s="3">
        <v>113</v>
      </c>
      <c r="NS18" s="3">
        <v>109</v>
      </c>
      <c r="NT18" s="3">
        <v>113</v>
      </c>
      <c r="NU18" s="3">
        <v>112</v>
      </c>
      <c r="NV18" s="3">
        <v>111</v>
      </c>
      <c r="NW18" s="3">
        <v>109</v>
      </c>
      <c r="NX18" s="3">
        <v>111</v>
      </c>
      <c r="NY18" s="3">
        <v>109</v>
      </c>
      <c r="NZ18" s="3">
        <v>112</v>
      </c>
      <c r="OA18" s="8">
        <v>110</v>
      </c>
    </row>
    <row r="19" spans="1:391" s="3" customFormat="1" ht="12.75" x14ac:dyDescent="0.2">
      <c r="A19" s="11" t="s">
        <v>46</v>
      </c>
      <c r="B19" s="8">
        <v>14</v>
      </c>
      <c r="C19" s="11" t="s">
        <v>179</v>
      </c>
      <c r="D19" s="11" t="s">
        <v>180</v>
      </c>
      <c r="E19" s="11" t="s">
        <v>287</v>
      </c>
      <c r="F19" s="11" t="s">
        <v>287</v>
      </c>
      <c r="G19" s="11" t="s">
        <v>181</v>
      </c>
      <c r="H19" s="11" t="s">
        <v>267</v>
      </c>
      <c r="I19" s="11" t="s">
        <v>44</v>
      </c>
      <c r="J19" s="11" t="s">
        <v>269</v>
      </c>
      <c r="K19" s="11" t="s">
        <v>375</v>
      </c>
      <c r="L19" s="11" t="s">
        <v>275</v>
      </c>
      <c r="M19" s="11" t="s">
        <v>339</v>
      </c>
      <c r="N19" s="3" t="s">
        <v>402</v>
      </c>
      <c r="O19" s="11">
        <v>497644</v>
      </c>
      <c r="P19" s="11">
        <v>121052</v>
      </c>
      <c r="Q19" s="128">
        <v>22371</v>
      </c>
      <c r="R19" s="128" t="s">
        <v>287</v>
      </c>
      <c r="S19" s="400" t="s">
        <v>817</v>
      </c>
      <c r="T19" s="38">
        <v>11265</v>
      </c>
      <c r="U19" s="39">
        <v>11190</v>
      </c>
      <c r="V19" s="39">
        <v>11230</v>
      </c>
      <c r="W19" s="39">
        <v>11395</v>
      </c>
      <c r="X19" s="39">
        <v>11450</v>
      </c>
      <c r="Y19" s="39">
        <v>11565</v>
      </c>
      <c r="Z19" s="39">
        <v>11620</v>
      </c>
      <c r="AA19" s="39">
        <v>11600</v>
      </c>
      <c r="AB19" s="39">
        <v>11620</v>
      </c>
      <c r="AC19" s="44">
        <v>11624</v>
      </c>
      <c r="AD19" s="38">
        <v>585</v>
      </c>
      <c r="AE19" s="39">
        <v>580</v>
      </c>
      <c r="AF19" s="39">
        <v>590</v>
      </c>
      <c r="AG19" s="39">
        <v>610</v>
      </c>
      <c r="AH19" s="39">
        <v>605</v>
      </c>
      <c r="AI19" s="39">
        <v>620</v>
      </c>
      <c r="AJ19" s="39">
        <v>635</v>
      </c>
      <c r="AK19" s="39">
        <v>630</v>
      </c>
      <c r="AL19" s="39">
        <v>605</v>
      </c>
      <c r="AM19" s="44">
        <v>587</v>
      </c>
      <c r="AN19" s="15">
        <v>634</v>
      </c>
      <c r="AO19" s="3">
        <v>589</v>
      </c>
      <c r="AP19" s="3">
        <v>18</v>
      </c>
      <c r="AQ19" s="3">
        <v>19</v>
      </c>
      <c r="AR19" s="3">
        <v>3</v>
      </c>
      <c r="AS19" s="3">
        <v>4</v>
      </c>
      <c r="AT19" s="3">
        <v>1</v>
      </c>
      <c r="AU19" s="11">
        <v>45</v>
      </c>
      <c r="AV19" s="18">
        <v>0.92902208201892744</v>
      </c>
      <c r="AW19" s="19">
        <v>2.8391167192429023E-2</v>
      </c>
      <c r="AX19" s="19">
        <v>2.996845425867508E-2</v>
      </c>
      <c r="AY19" s="19">
        <v>4.7318611987381704E-3</v>
      </c>
      <c r="AZ19" s="19">
        <v>6.3091482649842269E-3</v>
      </c>
      <c r="BA19" s="19">
        <v>1.5772870662460567E-3</v>
      </c>
      <c r="BB19" s="20">
        <v>7.0977917981072558E-2</v>
      </c>
      <c r="BC19" s="15">
        <v>1918</v>
      </c>
      <c r="BD19" s="3">
        <v>1907</v>
      </c>
      <c r="BE19" s="3">
        <v>11</v>
      </c>
      <c r="BF19" s="3">
        <v>10</v>
      </c>
      <c r="BG19" s="3">
        <v>1</v>
      </c>
      <c r="BH19" s="19">
        <v>0.90909090909090906</v>
      </c>
      <c r="BI19" s="20">
        <v>9.0909090909090912E-2</v>
      </c>
      <c r="BJ19" s="15">
        <v>1327</v>
      </c>
      <c r="BK19" s="19">
        <v>0.63903541823662391</v>
      </c>
      <c r="BL19" s="19">
        <v>0.1680482290881688</v>
      </c>
      <c r="BM19" s="20">
        <v>0.19291635267520724</v>
      </c>
      <c r="BN19" s="38">
        <v>3412</v>
      </c>
      <c r="BO19" s="39">
        <v>168</v>
      </c>
      <c r="BP19" s="39">
        <v>209</v>
      </c>
      <c r="BQ19" s="39">
        <v>102</v>
      </c>
      <c r="BR19" s="39">
        <v>2364</v>
      </c>
      <c r="BS19" s="39">
        <v>1297</v>
      </c>
      <c r="BT19" s="20">
        <v>0.17270624518118735</v>
      </c>
      <c r="BU19" s="38">
        <v>905</v>
      </c>
      <c r="BV19" s="39">
        <v>0</v>
      </c>
      <c r="BW19" s="39">
        <v>129</v>
      </c>
      <c r="BX19" s="39">
        <v>202</v>
      </c>
      <c r="BY19" s="39">
        <v>71</v>
      </c>
      <c r="BZ19" s="40">
        <v>1307</v>
      </c>
      <c r="CA19" s="39">
        <v>482</v>
      </c>
      <c r="CB19" s="39">
        <v>436</v>
      </c>
      <c r="CC19" s="39">
        <v>45</v>
      </c>
      <c r="CD19" s="39">
        <v>46</v>
      </c>
      <c r="CE19" s="19">
        <v>9.3360995850622408E-2</v>
      </c>
      <c r="CF19" s="104">
        <v>9.5435684647302899E-2</v>
      </c>
      <c r="CG19" s="39">
        <v>45</v>
      </c>
      <c r="CH19" s="39">
        <v>30</v>
      </c>
      <c r="CI19" s="39">
        <v>30</v>
      </c>
      <c r="CJ19" s="39">
        <v>35</v>
      </c>
      <c r="CK19" s="44">
        <v>20</v>
      </c>
      <c r="CL19" s="38">
        <v>201</v>
      </c>
      <c r="CM19" s="39">
        <v>60</v>
      </c>
      <c r="CN19" s="19">
        <v>0.29850746268656714</v>
      </c>
      <c r="CO19" s="40">
        <v>20</v>
      </c>
      <c r="CP19" s="39">
        <v>96</v>
      </c>
      <c r="CQ19" s="39">
        <v>96</v>
      </c>
      <c r="CR19" s="39">
        <v>81</v>
      </c>
      <c r="CS19" s="39">
        <v>61</v>
      </c>
      <c r="CT19" s="39">
        <v>55</v>
      </c>
      <c r="CU19" s="124" t="s">
        <v>474</v>
      </c>
      <c r="CV19" s="39">
        <v>4</v>
      </c>
      <c r="CW19" s="39">
        <v>5</v>
      </c>
      <c r="CX19" s="39">
        <v>3</v>
      </c>
      <c r="CY19" s="39">
        <v>2</v>
      </c>
      <c r="CZ19" s="39">
        <v>4</v>
      </c>
      <c r="DA19" s="120" t="s">
        <v>474</v>
      </c>
      <c r="DB19" s="15">
        <v>5</v>
      </c>
      <c r="DC19" s="15">
        <v>3</v>
      </c>
      <c r="DD19" s="19">
        <v>5.4545454545454543E-2</v>
      </c>
      <c r="DE19" s="19">
        <v>1.8723215554684484E-2</v>
      </c>
      <c r="DF19" s="20">
        <v>0.14853060544053792</v>
      </c>
      <c r="DG19" s="15">
        <v>2</v>
      </c>
      <c r="DH19" s="20">
        <v>3.1645569620253164E-3</v>
      </c>
      <c r="DI19" s="423">
        <v>5</v>
      </c>
      <c r="DJ19" s="428">
        <v>5</v>
      </c>
      <c r="DK19" s="3">
        <v>104</v>
      </c>
      <c r="DL19" s="20">
        <v>2.2029231095106967E-2</v>
      </c>
      <c r="DM19" s="15">
        <v>60</v>
      </c>
      <c r="DN19" s="3">
        <v>60</v>
      </c>
      <c r="DO19" s="3">
        <v>50</v>
      </c>
      <c r="DP19" s="3">
        <v>55</v>
      </c>
      <c r="DQ19" s="11">
        <v>45</v>
      </c>
      <c r="DR19" s="15">
        <v>40</v>
      </c>
      <c r="DS19" s="19">
        <v>7.0796460176991149E-2</v>
      </c>
      <c r="DT19" s="19">
        <v>5.2419329831462934E-2</v>
      </c>
      <c r="DU19" s="19">
        <v>9.4970522860554005E-2</v>
      </c>
      <c r="DV19" s="3">
        <v>45</v>
      </c>
      <c r="DW19" s="19">
        <v>7.8260869565217397E-2</v>
      </c>
      <c r="DX19" s="19">
        <v>5.9001573315813488E-2</v>
      </c>
      <c r="DY19" s="19">
        <v>0.10311787647598709</v>
      </c>
      <c r="DZ19" s="3">
        <v>60</v>
      </c>
      <c r="EA19" s="19">
        <v>0.10169491525423729</v>
      </c>
      <c r="EB19" s="19">
        <v>7.9825910200960387E-2</v>
      </c>
      <c r="EC19" s="19">
        <v>0.12871705523400614</v>
      </c>
      <c r="ED19" s="3">
        <v>60</v>
      </c>
      <c r="EE19" s="19">
        <v>0.10256410256410256</v>
      </c>
      <c r="EF19" s="19">
        <v>8.0515452963804385E-2</v>
      </c>
      <c r="EG19" s="19">
        <v>0.12979830291323316</v>
      </c>
      <c r="EH19" s="3">
        <v>50</v>
      </c>
      <c r="EI19" s="20">
        <v>8.6206896551724144E-2</v>
      </c>
      <c r="EJ19" s="20">
        <v>6.6000819456146734E-2</v>
      </c>
      <c r="EK19" s="20">
        <v>0.11185818190775827</v>
      </c>
      <c r="EL19" s="438">
        <v>40</v>
      </c>
      <c r="EM19" s="20">
        <v>8.6956521739130432E-2</v>
      </c>
      <c r="EN19" s="20">
        <v>6.4507632774906926E-2</v>
      </c>
      <c r="EO19" s="104">
        <v>0.11624692727209501</v>
      </c>
      <c r="EP19" s="38">
        <v>180</v>
      </c>
      <c r="EQ19" s="20">
        <v>8.8452088452088448E-2</v>
      </c>
      <c r="ER19" s="44">
        <v>180</v>
      </c>
      <c r="ES19" s="20">
        <v>8.7167070217917669E-2</v>
      </c>
      <c r="ET19" s="44">
        <v>200</v>
      </c>
      <c r="EU19" s="20">
        <v>9.7087378640776698E-2</v>
      </c>
      <c r="EV19" s="44">
        <v>175</v>
      </c>
      <c r="EW19" s="20">
        <v>8.4541062801932368E-2</v>
      </c>
      <c r="EX19" s="44">
        <v>155</v>
      </c>
      <c r="EY19" s="20">
        <v>7.5609756097560973E-2</v>
      </c>
      <c r="EZ19" s="44">
        <v>120</v>
      </c>
      <c r="FA19" s="104">
        <v>5.9405940594059403E-2</v>
      </c>
      <c r="FB19" s="3">
        <v>61</v>
      </c>
      <c r="FC19" s="3">
        <v>0</v>
      </c>
      <c r="FD19" s="3">
        <v>61</v>
      </c>
      <c r="FE19" s="19">
        <v>1</v>
      </c>
      <c r="FF19" s="3">
        <v>22</v>
      </c>
      <c r="FG19" s="3">
        <v>28</v>
      </c>
      <c r="FH19" s="19">
        <v>0.36065573770491804</v>
      </c>
      <c r="FI19" s="19">
        <v>0.45901639344262296</v>
      </c>
      <c r="FJ19" s="19">
        <v>0.25173936505814554</v>
      </c>
      <c r="FK19" s="19">
        <v>0.48608326732600293</v>
      </c>
      <c r="FL19" s="19">
        <v>0.34012730888289117</v>
      </c>
      <c r="FM19" s="104">
        <v>0.58276170064185839</v>
      </c>
      <c r="FN19" s="438">
        <v>62</v>
      </c>
      <c r="FO19" s="438">
        <v>20</v>
      </c>
      <c r="FP19" s="438">
        <v>11</v>
      </c>
      <c r="FQ19" s="438">
        <v>31</v>
      </c>
      <c r="FR19" s="497">
        <v>0.32258064516129031</v>
      </c>
      <c r="FS19" s="497">
        <v>0.5</v>
      </c>
      <c r="FT19" s="497">
        <v>0.21954490651283892</v>
      </c>
      <c r="FU19" s="497">
        <v>0.44631911907151894</v>
      </c>
      <c r="FV19" s="497">
        <v>0.37922741194566084</v>
      </c>
      <c r="FW19" s="104">
        <v>0.6207725880543391</v>
      </c>
      <c r="FX19" s="438">
        <v>54</v>
      </c>
      <c r="FY19" s="438">
        <v>3</v>
      </c>
      <c r="FZ19" s="438">
        <v>51</v>
      </c>
      <c r="GA19" s="497">
        <v>0.94444444444444442</v>
      </c>
      <c r="GB19" s="438">
        <v>15</v>
      </c>
      <c r="GC19" s="438">
        <v>9</v>
      </c>
      <c r="GD19" s="438">
        <v>24</v>
      </c>
      <c r="GE19" s="497">
        <v>0.29411764705882354</v>
      </c>
      <c r="GF19" s="497">
        <v>0.47058823529411764</v>
      </c>
      <c r="GG19" s="497">
        <v>0.18708726420135471</v>
      </c>
      <c r="GH19" s="497">
        <v>0.42999075575686413</v>
      </c>
      <c r="GI19" s="497">
        <v>0.34052990209499595</v>
      </c>
      <c r="GJ19" s="104">
        <v>0.60476695789903534</v>
      </c>
      <c r="GK19" s="3">
        <v>83</v>
      </c>
      <c r="GL19" s="3">
        <v>5</v>
      </c>
      <c r="GM19" s="19">
        <v>6.0240963855421686E-2</v>
      </c>
      <c r="GN19" s="19">
        <v>2.6003401041882011E-2</v>
      </c>
      <c r="GO19" s="19">
        <v>0.13338428093238414</v>
      </c>
      <c r="GP19" s="353" t="s">
        <v>725</v>
      </c>
      <c r="GQ19" s="3">
        <v>89</v>
      </c>
      <c r="GR19" s="3">
        <v>8</v>
      </c>
      <c r="GS19" s="19">
        <v>8.98876404494382E-2</v>
      </c>
      <c r="GT19" s="19">
        <v>4.6252429145950645E-2</v>
      </c>
      <c r="GU19" s="19">
        <v>0.1674609169467059</v>
      </c>
      <c r="GV19" s="3" t="s">
        <v>725</v>
      </c>
      <c r="GW19" s="3">
        <v>82</v>
      </c>
      <c r="GX19" s="3">
        <v>5</v>
      </c>
      <c r="GY19" s="19">
        <v>6.097560975609756E-2</v>
      </c>
      <c r="GZ19" s="19">
        <v>2.6323955067816089E-2</v>
      </c>
      <c r="HA19" s="19">
        <v>0.13492049500154024</v>
      </c>
      <c r="HB19" s="3" t="s">
        <v>725</v>
      </c>
      <c r="HC19" s="3">
        <v>100</v>
      </c>
      <c r="HD19" s="3">
        <v>7</v>
      </c>
      <c r="HE19" s="19">
        <v>7.0000000000000007E-2</v>
      </c>
      <c r="HF19" s="19">
        <v>3.4319261067272677E-2</v>
      </c>
      <c r="HG19" s="19">
        <v>0.13749514739073496</v>
      </c>
      <c r="HH19" s="3" t="s">
        <v>725</v>
      </c>
      <c r="HI19" s="3">
        <v>97</v>
      </c>
      <c r="HJ19" s="3">
        <v>6</v>
      </c>
      <c r="HK19" s="19">
        <v>6.1855670103092786E-2</v>
      </c>
      <c r="HL19" s="19">
        <v>2.8654885715718274E-2</v>
      </c>
      <c r="HM19" s="19">
        <v>0.12843783196165856</v>
      </c>
      <c r="HN19" s="11" t="s">
        <v>725</v>
      </c>
      <c r="HO19" s="11">
        <v>91</v>
      </c>
      <c r="HP19" s="11">
        <v>1</v>
      </c>
      <c r="HQ19" s="497">
        <v>1.098901098901099E-2</v>
      </c>
      <c r="HR19" s="497">
        <v>1.9424713318492146E-3</v>
      </c>
      <c r="HS19" s="497">
        <v>5.964935668650613E-2</v>
      </c>
      <c r="HT19" s="8" t="str">
        <f t="shared" si="0"/>
        <v>Sig better than Eng.</v>
      </c>
      <c r="HU19" s="3">
        <v>65</v>
      </c>
      <c r="HV19" s="3">
        <v>13</v>
      </c>
      <c r="HW19" s="19">
        <v>0.2</v>
      </c>
      <c r="HX19" s="19">
        <v>0.12077959241205476</v>
      </c>
      <c r="HY19" s="19">
        <v>0.31270132638165932</v>
      </c>
      <c r="HZ19" s="3" t="s">
        <v>725</v>
      </c>
      <c r="IA19" s="3">
        <v>61</v>
      </c>
      <c r="IB19" s="3">
        <v>12</v>
      </c>
      <c r="IC19" s="19">
        <v>0.19672131147540983</v>
      </c>
      <c r="ID19" s="19">
        <v>0.11627802231427166</v>
      </c>
      <c r="IE19" s="19">
        <v>0.31309940575507544</v>
      </c>
      <c r="IF19" s="3" t="s">
        <v>725</v>
      </c>
      <c r="IG19" s="3">
        <v>64</v>
      </c>
      <c r="IH19" s="3">
        <v>8</v>
      </c>
      <c r="II19" s="19">
        <v>0.125</v>
      </c>
      <c r="IJ19" s="19">
        <v>6.4722426633304547E-2</v>
      </c>
      <c r="IK19" s="19">
        <v>0.22774561821129938</v>
      </c>
      <c r="IL19" s="3" t="s">
        <v>725</v>
      </c>
      <c r="IM19" s="3">
        <v>63</v>
      </c>
      <c r="IN19" s="3">
        <v>12</v>
      </c>
      <c r="IO19" s="19">
        <v>0.19047619047619047</v>
      </c>
      <c r="IP19" s="19">
        <v>0.11246191872292463</v>
      </c>
      <c r="IQ19" s="19">
        <v>0.30406787149874537</v>
      </c>
      <c r="IR19" s="3" t="s">
        <v>725</v>
      </c>
      <c r="IS19" s="3">
        <v>71</v>
      </c>
      <c r="IT19" s="3">
        <v>8</v>
      </c>
      <c r="IU19" s="19">
        <v>0.11267605633802817</v>
      </c>
      <c r="IV19" s="19">
        <v>5.8212717297928721E-2</v>
      </c>
      <c r="IW19" s="19">
        <v>0.20690048510811301</v>
      </c>
      <c r="IX19" s="580" t="s">
        <v>725</v>
      </c>
      <c r="IY19" s="580">
        <v>64</v>
      </c>
      <c r="IZ19" s="580">
        <v>15</v>
      </c>
      <c r="JA19" s="497">
        <v>0.234375</v>
      </c>
      <c r="JB19" s="497">
        <v>0.14749895593924134</v>
      </c>
      <c r="JC19" s="497">
        <v>0.35133257582568639</v>
      </c>
      <c r="JD19" s="371" t="str">
        <f t="shared" si="1"/>
        <v>No sig diff</v>
      </c>
      <c r="JE19" s="3">
        <v>121</v>
      </c>
      <c r="JF19" s="3">
        <v>66</v>
      </c>
      <c r="JG19" s="19">
        <v>0.54545454545454541</v>
      </c>
      <c r="JH19" s="19">
        <v>0.45669996779439898</v>
      </c>
      <c r="JI19" s="19">
        <v>0.63141178693764843</v>
      </c>
      <c r="JJ19" s="3">
        <v>121</v>
      </c>
      <c r="JK19" s="3">
        <v>35</v>
      </c>
      <c r="JL19" s="3">
        <v>24</v>
      </c>
      <c r="JM19" s="383">
        <v>25.541666666666664</v>
      </c>
      <c r="JN19" s="19">
        <v>0.27023809523809533</v>
      </c>
      <c r="JO19" s="3">
        <v>114</v>
      </c>
      <c r="JP19" s="3">
        <v>69</v>
      </c>
      <c r="JQ19" s="19">
        <v>0.60526315789473684</v>
      </c>
      <c r="JR19" s="19">
        <v>0.51351296049528616</v>
      </c>
      <c r="JS19" s="19">
        <v>0.6901505059975892</v>
      </c>
      <c r="JT19" s="3">
        <v>114</v>
      </c>
      <c r="JU19" s="3">
        <v>34</v>
      </c>
      <c r="JV19" s="3">
        <v>22</v>
      </c>
      <c r="JW19" s="383">
        <v>24.863636363636363</v>
      </c>
      <c r="JX19" s="20">
        <v>0.26871657754010697</v>
      </c>
      <c r="JY19" s="44">
        <v>119</v>
      </c>
      <c r="JZ19" s="44">
        <v>81</v>
      </c>
      <c r="KA19" s="20">
        <v>0.68067226890756305</v>
      </c>
      <c r="KB19" s="20">
        <v>0.59238423561390174</v>
      </c>
      <c r="KC19" s="20">
        <v>0.75766045135749827</v>
      </c>
      <c r="KD19" s="438">
        <v>35</v>
      </c>
      <c r="KE19" s="438">
        <v>23</v>
      </c>
      <c r="KF19" s="384">
        <v>25.2</v>
      </c>
      <c r="KG19" s="104">
        <v>0.27900000000000003</v>
      </c>
      <c r="KH19" s="19"/>
      <c r="KI19" s="19">
        <v>0.1111111111111111</v>
      </c>
      <c r="KJ19" s="19">
        <v>4.4065689087418335E-2</v>
      </c>
      <c r="KK19" s="19">
        <v>0.25315129015036325</v>
      </c>
      <c r="KL19" s="19"/>
      <c r="KM19" s="19">
        <v>5.5555555555555552E-2</v>
      </c>
      <c r="KN19" s="19">
        <v>1.5369663767066871E-2</v>
      </c>
      <c r="KO19" s="19">
        <v>0.18144974107611211</v>
      </c>
      <c r="KP19" s="19"/>
      <c r="KQ19" s="19">
        <v>8.3333333333333329E-2</v>
      </c>
      <c r="KR19" s="19">
        <v>2.8748089271291792E-2</v>
      </c>
      <c r="KS19" s="19">
        <v>0.21827010276918851</v>
      </c>
      <c r="KT19" s="19"/>
      <c r="KU19" s="19">
        <v>0.14285714285714285</v>
      </c>
      <c r="KV19" s="19">
        <v>6.2601388048534976E-2</v>
      </c>
      <c r="KW19" s="104">
        <v>0.29375880308674268</v>
      </c>
      <c r="KX19" s="438">
        <v>2</v>
      </c>
      <c r="KY19" s="438">
        <v>28</v>
      </c>
      <c r="KZ19" s="497">
        <v>7.1428571428571425E-2</v>
      </c>
      <c r="LA19" s="497">
        <v>1.9812064115305748E-2</v>
      </c>
      <c r="LB19" s="497">
        <v>0.22645362568399049</v>
      </c>
      <c r="LC19" s="438">
        <v>0</v>
      </c>
      <c r="LD19" s="438">
        <v>28</v>
      </c>
      <c r="LE19" s="497">
        <v>0</v>
      </c>
      <c r="LF19" s="497">
        <v>0</v>
      </c>
      <c r="LG19" s="497">
        <v>0.1206433047658456</v>
      </c>
      <c r="LH19" s="438">
        <v>2</v>
      </c>
      <c r="LI19" s="438">
        <v>28</v>
      </c>
      <c r="LJ19" s="497">
        <v>7.1428571428571425E-2</v>
      </c>
      <c r="LK19" s="497">
        <v>1.9812064115305748E-2</v>
      </c>
      <c r="LL19" s="497">
        <v>0.22645362568399049</v>
      </c>
      <c r="LM19" s="438">
        <v>4</v>
      </c>
      <c r="LN19" s="438">
        <v>28</v>
      </c>
      <c r="LO19" s="497">
        <v>0.14285714285714285</v>
      </c>
      <c r="LP19" s="497">
        <v>5.6990053197493958E-2</v>
      </c>
      <c r="LQ19" s="104">
        <v>0.31489802163525293</v>
      </c>
      <c r="LR19" s="3">
        <v>12</v>
      </c>
      <c r="LS19" s="3">
        <v>12</v>
      </c>
      <c r="LT19" s="3">
        <v>12</v>
      </c>
      <c r="LU19" s="3">
        <v>12</v>
      </c>
      <c r="LV19" s="3">
        <v>12</v>
      </c>
      <c r="LW19" s="3">
        <v>22</v>
      </c>
      <c r="LX19" s="3">
        <v>21</v>
      </c>
      <c r="LY19" s="3">
        <v>21</v>
      </c>
      <c r="LZ19" s="3">
        <v>21</v>
      </c>
      <c r="MA19" s="3">
        <v>21</v>
      </c>
      <c r="MB19" s="3">
        <v>20</v>
      </c>
      <c r="MC19" s="3">
        <v>20</v>
      </c>
      <c r="MD19" s="3">
        <v>21</v>
      </c>
      <c r="ME19" s="3">
        <v>21</v>
      </c>
      <c r="MF19" s="3">
        <v>20</v>
      </c>
      <c r="MG19" s="3">
        <v>17</v>
      </c>
      <c r="MH19" s="3">
        <v>20</v>
      </c>
      <c r="MI19" s="3">
        <v>17</v>
      </c>
      <c r="MJ19" s="3">
        <v>17</v>
      </c>
      <c r="MK19" s="3">
        <v>17</v>
      </c>
      <c r="ML19" s="3">
        <v>20</v>
      </c>
      <c r="MM19" s="3">
        <v>17</v>
      </c>
      <c r="MN19" s="8">
        <v>20</v>
      </c>
      <c r="MO19" s="3">
        <v>48</v>
      </c>
      <c r="MP19" s="24">
        <v>1</v>
      </c>
      <c r="MQ19" s="24">
        <v>2.1000000000000001E-2</v>
      </c>
      <c r="MR19" s="24">
        <v>1</v>
      </c>
      <c r="MS19" s="3">
        <v>48</v>
      </c>
      <c r="MT19" s="3">
        <v>1</v>
      </c>
      <c r="MU19" s="3">
        <v>48</v>
      </c>
      <c r="MV19" s="3">
        <v>52</v>
      </c>
      <c r="MW19" s="24">
        <v>1</v>
      </c>
      <c r="MX19" s="24">
        <v>0.94199999999999995</v>
      </c>
      <c r="MY19" s="24">
        <v>0.98099999999999998</v>
      </c>
      <c r="MZ19" s="24">
        <v>0.98099999999999998</v>
      </c>
      <c r="NA19" s="24">
        <v>0.98099999999999998</v>
      </c>
      <c r="NB19" s="3">
        <v>52</v>
      </c>
      <c r="NC19" s="3">
        <v>49</v>
      </c>
      <c r="ND19" s="3">
        <v>51</v>
      </c>
      <c r="NE19" s="3">
        <v>51</v>
      </c>
      <c r="NF19" s="3">
        <v>51</v>
      </c>
      <c r="NG19" s="3">
        <v>58</v>
      </c>
      <c r="NH19" s="24">
        <v>0.98299999999999998</v>
      </c>
      <c r="NI19" s="24">
        <v>0.98299999999999998</v>
      </c>
      <c r="NJ19" s="24">
        <v>0.98299999999999998</v>
      </c>
      <c r="NK19" s="24">
        <v>0.98299999999999998</v>
      </c>
      <c r="NL19" s="24">
        <v>0.96599999999999997</v>
      </c>
      <c r="NM19" s="24">
        <v>0.82799999999999996</v>
      </c>
      <c r="NN19" s="24">
        <v>0.879</v>
      </c>
      <c r="NO19" s="24">
        <v>0.96599999999999997</v>
      </c>
      <c r="NP19" s="24">
        <v>0.96599999999999997</v>
      </c>
      <c r="NQ19" s="24">
        <v>0.91400000000000003</v>
      </c>
      <c r="NR19" s="3">
        <v>57</v>
      </c>
      <c r="NS19" s="3">
        <v>57</v>
      </c>
      <c r="NT19" s="3">
        <v>57</v>
      </c>
      <c r="NU19" s="3">
        <v>57</v>
      </c>
      <c r="NV19" s="3">
        <v>56</v>
      </c>
      <c r="NW19" s="3">
        <v>48</v>
      </c>
      <c r="NX19" s="3">
        <v>51</v>
      </c>
      <c r="NY19" s="3">
        <v>56</v>
      </c>
      <c r="NZ19" s="3">
        <v>56</v>
      </c>
      <c r="OA19" s="8">
        <v>53</v>
      </c>
    </row>
    <row r="20" spans="1:391" s="3" customFormat="1" ht="12.75" x14ac:dyDescent="0.2">
      <c r="A20" s="11" t="s">
        <v>47</v>
      </c>
      <c r="B20" s="8">
        <v>15</v>
      </c>
      <c r="C20" s="11" t="s">
        <v>182</v>
      </c>
      <c r="D20" s="11" t="s">
        <v>183</v>
      </c>
      <c r="E20" s="11" t="s">
        <v>287</v>
      </c>
      <c r="F20" s="11" t="s">
        <v>287</v>
      </c>
      <c r="G20" s="11" t="s">
        <v>184</v>
      </c>
      <c r="H20" s="11" t="s">
        <v>267</v>
      </c>
      <c r="I20" s="11" t="s">
        <v>44</v>
      </c>
      <c r="J20" s="11" t="s">
        <v>269</v>
      </c>
      <c r="K20" s="11" t="s">
        <v>376</v>
      </c>
      <c r="L20" s="11" t="s">
        <v>275</v>
      </c>
      <c r="M20" s="11" t="s">
        <v>340</v>
      </c>
      <c r="N20" s="3" t="s">
        <v>44</v>
      </c>
      <c r="O20" s="11">
        <v>485640</v>
      </c>
      <c r="P20" s="11">
        <v>93142</v>
      </c>
      <c r="Q20" s="128">
        <v>22667</v>
      </c>
      <c r="R20" s="128" t="s">
        <v>287</v>
      </c>
      <c r="S20" s="400" t="s">
        <v>817</v>
      </c>
      <c r="T20" s="38">
        <v>20845</v>
      </c>
      <c r="U20" s="39">
        <v>21190</v>
      </c>
      <c r="V20" s="39">
        <v>21470</v>
      </c>
      <c r="W20" s="39">
        <v>21585</v>
      </c>
      <c r="X20" s="39">
        <v>21515</v>
      </c>
      <c r="Y20" s="39">
        <v>21515</v>
      </c>
      <c r="Z20" s="39">
        <v>21455</v>
      </c>
      <c r="AA20" s="39">
        <v>21385</v>
      </c>
      <c r="AB20" s="39">
        <v>21365</v>
      </c>
      <c r="AC20" s="44">
        <v>21491</v>
      </c>
      <c r="AD20" s="38">
        <v>740</v>
      </c>
      <c r="AE20" s="39">
        <v>770</v>
      </c>
      <c r="AF20" s="39">
        <v>825</v>
      </c>
      <c r="AG20" s="39">
        <v>875</v>
      </c>
      <c r="AH20" s="39">
        <v>890</v>
      </c>
      <c r="AI20" s="39">
        <v>885</v>
      </c>
      <c r="AJ20" s="39">
        <v>890</v>
      </c>
      <c r="AK20" s="39">
        <v>910</v>
      </c>
      <c r="AL20" s="39">
        <v>885</v>
      </c>
      <c r="AM20" s="44">
        <v>908</v>
      </c>
      <c r="AN20" s="15">
        <v>887</v>
      </c>
      <c r="AO20" s="3">
        <v>841</v>
      </c>
      <c r="AP20" s="3">
        <v>29</v>
      </c>
      <c r="AQ20" s="3">
        <v>11</v>
      </c>
      <c r="AR20" s="3">
        <v>5</v>
      </c>
      <c r="AS20" s="3">
        <v>1</v>
      </c>
      <c r="AT20" s="3">
        <v>0</v>
      </c>
      <c r="AU20" s="11">
        <v>46</v>
      </c>
      <c r="AV20" s="18">
        <v>0.94813979706877116</v>
      </c>
      <c r="AW20" s="19">
        <v>3.269447576099211E-2</v>
      </c>
      <c r="AX20" s="19">
        <v>1.2401352874859075E-2</v>
      </c>
      <c r="AY20" s="19">
        <v>5.6369785794813977E-3</v>
      </c>
      <c r="AZ20" s="19">
        <v>1.1273957158962795E-3</v>
      </c>
      <c r="BA20" s="19">
        <v>0</v>
      </c>
      <c r="BB20" s="20">
        <v>5.1860202931228838E-2</v>
      </c>
      <c r="BC20" s="15">
        <v>2519</v>
      </c>
      <c r="BD20" s="3">
        <v>2482</v>
      </c>
      <c r="BE20" s="3">
        <v>37</v>
      </c>
      <c r="BF20" s="3">
        <v>34</v>
      </c>
      <c r="BG20" s="3">
        <v>3</v>
      </c>
      <c r="BH20" s="19">
        <v>0.91891891891891897</v>
      </c>
      <c r="BI20" s="20">
        <v>8.1081081081081086E-2</v>
      </c>
      <c r="BJ20" s="15">
        <v>1788</v>
      </c>
      <c r="BK20" s="19">
        <v>0.61353467561521258</v>
      </c>
      <c r="BL20" s="19">
        <v>0.13646532438478748</v>
      </c>
      <c r="BM20" s="20">
        <v>0.25</v>
      </c>
      <c r="BN20" s="38">
        <v>6502</v>
      </c>
      <c r="BO20" s="39">
        <v>259</v>
      </c>
      <c r="BP20" s="39">
        <v>270</v>
      </c>
      <c r="BQ20" s="39">
        <v>166</v>
      </c>
      <c r="BR20" s="39">
        <v>3509</v>
      </c>
      <c r="BS20" s="39">
        <v>1966</v>
      </c>
      <c r="BT20" s="20">
        <v>0.15564598168870802</v>
      </c>
      <c r="BU20" s="38">
        <v>1107</v>
      </c>
      <c r="BV20" s="39">
        <v>3</v>
      </c>
      <c r="BW20" s="39">
        <v>259</v>
      </c>
      <c r="BX20" s="39">
        <v>429</v>
      </c>
      <c r="BY20" s="39">
        <v>182</v>
      </c>
      <c r="BZ20" s="40">
        <v>1980</v>
      </c>
      <c r="CA20" s="39">
        <v>697</v>
      </c>
      <c r="CB20" s="39">
        <v>574</v>
      </c>
      <c r="CC20" s="39">
        <v>123</v>
      </c>
      <c r="CD20" s="39">
        <v>123</v>
      </c>
      <c r="CE20" s="19">
        <v>0.17647058823529413</v>
      </c>
      <c r="CF20" s="104">
        <v>0.17647058823529413</v>
      </c>
      <c r="CG20" s="39">
        <v>130</v>
      </c>
      <c r="CH20" s="39">
        <v>100</v>
      </c>
      <c r="CI20" s="39">
        <v>105</v>
      </c>
      <c r="CJ20" s="39">
        <v>110</v>
      </c>
      <c r="CK20" s="44">
        <v>100</v>
      </c>
      <c r="CL20" s="38">
        <v>427</v>
      </c>
      <c r="CM20" s="39">
        <v>142</v>
      </c>
      <c r="CN20" s="19">
        <v>0.33255269320843089</v>
      </c>
      <c r="CO20" s="40">
        <v>39</v>
      </c>
      <c r="CP20" s="39">
        <v>196</v>
      </c>
      <c r="CQ20" s="39">
        <v>172</v>
      </c>
      <c r="CR20" s="39">
        <v>188</v>
      </c>
      <c r="CS20" s="39">
        <v>190</v>
      </c>
      <c r="CT20" s="39">
        <v>177</v>
      </c>
      <c r="CU20" s="124" t="s">
        <v>474</v>
      </c>
      <c r="CV20" s="39">
        <v>13</v>
      </c>
      <c r="CW20" s="39">
        <v>11</v>
      </c>
      <c r="CX20" s="39">
        <v>13</v>
      </c>
      <c r="CY20" s="39">
        <v>11</v>
      </c>
      <c r="CZ20" s="39">
        <v>12</v>
      </c>
      <c r="DA20" s="120" t="s">
        <v>474</v>
      </c>
      <c r="DB20" s="15">
        <v>20</v>
      </c>
      <c r="DC20" s="15">
        <v>19</v>
      </c>
      <c r="DD20" s="19">
        <v>0.10734463276836158</v>
      </c>
      <c r="DE20" s="19">
        <v>6.9804882037872676E-2</v>
      </c>
      <c r="DF20" s="20">
        <v>0.16156606074013427</v>
      </c>
      <c r="DG20" s="15">
        <v>16</v>
      </c>
      <c r="DH20" s="20">
        <v>1.8079096045197741E-2</v>
      </c>
      <c r="DI20" s="423">
        <v>4</v>
      </c>
      <c r="DJ20" s="428">
        <v>4</v>
      </c>
      <c r="DK20" s="3">
        <v>306</v>
      </c>
      <c r="DL20" s="20">
        <v>3.1436202999794535E-2</v>
      </c>
      <c r="DM20" s="15">
        <v>170</v>
      </c>
      <c r="DN20" s="3">
        <v>150</v>
      </c>
      <c r="DO20" s="3">
        <v>165</v>
      </c>
      <c r="DP20" s="3">
        <v>170</v>
      </c>
      <c r="DQ20" s="11">
        <v>175</v>
      </c>
      <c r="DR20" s="15">
        <v>150</v>
      </c>
      <c r="DS20" s="19">
        <v>0.16759776536312848</v>
      </c>
      <c r="DT20" s="19">
        <v>0.1445592502600313</v>
      </c>
      <c r="DU20" s="19">
        <v>0.19347751455424736</v>
      </c>
      <c r="DV20" s="3">
        <v>180</v>
      </c>
      <c r="DW20" s="19">
        <v>0.19148936170212766</v>
      </c>
      <c r="DX20" s="19">
        <v>0.16761130888020026</v>
      </c>
      <c r="DY20" s="19">
        <v>0.21787870686386843</v>
      </c>
      <c r="DZ20" s="3">
        <v>175</v>
      </c>
      <c r="EA20" s="19">
        <v>0.19125683060109289</v>
      </c>
      <c r="EB20" s="19">
        <v>0.16708515389000358</v>
      </c>
      <c r="EC20" s="19">
        <v>0.21801007165068892</v>
      </c>
      <c r="ED20" s="3">
        <v>165</v>
      </c>
      <c r="EE20" s="19">
        <v>0.17741935483870969</v>
      </c>
      <c r="EF20" s="19">
        <v>0.15420843476217166</v>
      </c>
      <c r="EG20" s="19">
        <v>0.20328421633760635</v>
      </c>
      <c r="EH20" s="3">
        <v>160</v>
      </c>
      <c r="EI20" s="20">
        <v>0.1702127659574468</v>
      </c>
      <c r="EJ20" s="20">
        <v>0.14754139630829566</v>
      </c>
      <c r="EK20" s="20">
        <v>0.19556862052157087</v>
      </c>
      <c r="EL20" s="438">
        <v>180</v>
      </c>
      <c r="EM20" s="20">
        <v>0.20930232558139536</v>
      </c>
      <c r="EN20" s="20">
        <v>0.18343591382141053</v>
      </c>
      <c r="EO20" s="104">
        <v>0.23775417274540703</v>
      </c>
      <c r="EP20" s="38">
        <v>490</v>
      </c>
      <c r="EQ20" s="20">
        <v>0.15241057542768274</v>
      </c>
      <c r="ER20" s="44">
        <v>555</v>
      </c>
      <c r="ES20" s="20">
        <v>0.17370892018779344</v>
      </c>
      <c r="ET20" s="44">
        <v>525</v>
      </c>
      <c r="EU20" s="20">
        <v>0.1640625</v>
      </c>
      <c r="EV20" s="44">
        <v>490</v>
      </c>
      <c r="EW20" s="20">
        <v>0.15336463223787167</v>
      </c>
      <c r="EX20" s="44">
        <v>450</v>
      </c>
      <c r="EY20" s="20">
        <v>0.14285714285714285</v>
      </c>
      <c r="EZ20" s="44">
        <v>480</v>
      </c>
      <c r="FA20" s="104">
        <v>0.15660685154975529</v>
      </c>
      <c r="FB20" s="3">
        <v>173</v>
      </c>
      <c r="FC20" s="3">
        <v>21</v>
      </c>
      <c r="FD20" s="3">
        <v>152</v>
      </c>
      <c r="FE20" s="19">
        <v>0.87861271676300579</v>
      </c>
      <c r="FF20" s="3">
        <v>48</v>
      </c>
      <c r="FG20" s="3">
        <v>66</v>
      </c>
      <c r="FH20" s="19">
        <v>0.31578947368421051</v>
      </c>
      <c r="FI20" s="19">
        <v>0.43421052631578949</v>
      </c>
      <c r="FJ20" s="19">
        <v>0.24720854569312695</v>
      </c>
      <c r="FK20" s="19">
        <v>0.39345222781022515</v>
      </c>
      <c r="FL20" s="19">
        <v>0.35799524971462582</v>
      </c>
      <c r="FM20" s="104">
        <v>0.5136693122508571</v>
      </c>
      <c r="FN20" s="438">
        <v>160</v>
      </c>
      <c r="FO20" s="438">
        <v>55</v>
      </c>
      <c r="FP20" s="438">
        <v>17</v>
      </c>
      <c r="FQ20" s="438">
        <v>72</v>
      </c>
      <c r="FR20" s="497">
        <v>0.34375</v>
      </c>
      <c r="FS20" s="497">
        <v>0.45</v>
      </c>
      <c r="FT20" s="497">
        <v>0.27459483771231336</v>
      </c>
      <c r="FU20" s="497">
        <v>0.42023209827878205</v>
      </c>
      <c r="FV20" s="497">
        <v>0.37498630307022346</v>
      </c>
      <c r="FW20" s="104">
        <v>0.5273583164469271</v>
      </c>
      <c r="FX20" s="438">
        <v>162</v>
      </c>
      <c r="FY20" s="438">
        <v>10</v>
      </c>
      <c r="FZ20" s="438">
        <v>152</v>
      </c>
      <c r="GA20" s="497">
        <v>0.93827160493827155</v>
      </c>
      <c r="GB20" s="438">
        <v>53</v>
      </c>
      <c r="GC20" s="438">
        <v>15</v>
      </c>
      <c r="GD20" s="438">
        <v>68</v>
      </c>
      <c r="GE20" s="497">
        <v>0.34868421052631576</v>
      </c>
      <c r="GF20" s="497">
        <v>0.44736842105263158</v>
      </c>
      <c r="GG20" s="497">
        <v>0.27750105671174635</v>
      </c>
      <c r="GH20" s="497">
        <v>0.42732716840820695</v>
      </c>
      <c r="GI20" s="497">
        <v>0.37058986641016933</v>
      </c>
      <c r="GJ20" s="104">
        <v>0.52674169015329264</v>
      </c>
      <c r="GK20" s="3">
        <v>191</v>
      </c>
      <c r="GL20" s="3">
        <v>20</v>
      </c>
      <c r="GM20" s="19">
        <v>0.10471204188481675</v>
      </c>
      <c r="GN20" s="19">
        <v>6.8812850350840088E-2</v>
      </c>
      <c r="GO20" s="19">
        <v>0.15619808462188514</v>
      </c>
      <c r="GP20" s="353" t="s">
        <v>725</v>
      </c>
      <c r="GQ20" s="3">
        <v>162</v>
      </c>
      <c r="GR20" s="3">
        <v>19</v>
      </c>
      <c r="GS20" s="19">
        <v>0.11728395061728394</v>
      </c>
      <c r="GT20" s="19">
        <v>7.6382886848500614E-2</v>
      </c>
      <c r="GU20" s="19">
        <v>0.1759150555250806</v>
      </c>
      <c r="GV20" s="3" t="s">
        <v>725</v>
      </c>
      <c r="GW20" s="3">
        <v>179</v>
      </c>
      <c r="GX20" s="3">
        <v>16</v>
      </c>
      <c r="GY20" s="19">
        <v>8.9385474860335198E-2</v>
      </c>
      <c r="GZ20" s="19">
        <v>5.5768700800059426E-2</v>
      </c>
      <c r="HA20" s="19">
        <v>0.14025609057858801</v>
      </c>
      <c r="HB20" s="3" t="s">
        <v>725</v>
      </c>
      <c r="HC20" s="3">
        <v>176</v>
      </c>
      <c r="HD20" s="3">
        <v>30</v>
      </c>
      <c r="HE20" s="19">
        <v>0.17045454545454544</v>
      </c>
      <c r="HF20" s="19">
        <v>0.12208717509263066</v>
      </c>
      <c r="HG20" s="19">
        <v>0.23290026350652712</v>
      </c>
      <c r="HH20" s="3" t="s">
        <v>727</v>
      </c>
      <c r="HI20" s="3">
        <v>123</v>
      </c>
      <c r="HJ20" s="3">
        <v>8</v>
      </c>
      <c r="HK20" s="19">
        <v>6.5040650406504072E-2</v>
      </c>
      <c r="HL20" s="19">
        <v>3.3322636380229045E-2</v>
      </c>
      <c r="HM20" s="19">
        <v>0.12310459967625974</v>
      </c>
      <c r="HN20" s="11" t="s">
        <v>725</v>
      </c>
      <c r="HO20" s="11">
        <v>161</v>
      </c>
      <c r="HP20" s="11">
        <v>11</v>
      </c>
      <c r="HQ20" s="497">
        <v>6.8322981366459631E-2</v>
      </c>
      <c r="HR20" s="497">
        <v>3.8575583671797274E-2</v>
      </c>
      <c r="HS20" s="497">
        <v>0.11818994731518034</v>
      </c>
      <c r="HT20" s="8" t="str">
        <f t="shared" si="0"/>
        <v>No Sig diff</v>
      </c>
      <c r="HU20" s="3">
        <v>165</v>
      </c>
      <c r="HV20" s="3">
        <v>31</v>
      </c>
      <c r="HW20" s="19">
        <v>0.18787878787878787</v>
      </c>
      <c r="HX20" s="19">
        <v>0.13563438589221086</v>
      </c>
      <c r="HY20" s="19">
        <v>0.25432587197677792</v>
      </c>
      <c r="HZ20" s="3" t="s">
        <v>725</v>
      </c>
      <c r="IA20" s="3">
        <v>159</v>
      </c>
      <c r="IB20" s="3">
        <v>31</v>
      </c>
      <c r="IC20" s="19">
        <v>0.19496855345911951</v>
      </c>
      <c r="ID20" s="19">
        <v>0.14089118738057674</v>
      </c>
      <c r="IE20" s="19">
        <v>0.26343741110730967</v>
      </c>
      <c r="IF20" s="3" t="s">
        <v>725</v>
      </c>
      <c r="IG20" s="3">
        <v>156</v>
      </c>
      <c r="IH20" s="3">
        <v>22</v>
      </c>
      <c r="II20" s="19">
        <v>0.14102564102564102</v>
      </c>
      <c r="IJ20" s="19">
        <v>9.5011143828233793E-2</v>
      </c>
      <c r="IK20" s="19">
        <v>0.20429455053708973</v>
      </c>
      <c r="IL20" s="3" t="s">
        <v>725</v>
      </c>
      <c r="IM20" s="3">
        <v>156</v>
      </c>
      <c r="IN20" s="3">
        <v>30</v>
      </c>
      <c r="IO20" s="19">
        <v>0.19230769230769232</v>
      </c>
      <c r="IP20" s="19">
        <v>0.13815889455002239</v>
      </c>
      <c r="IQ20" s="19">
        <v>0.2612459863345406</v>
      </c>
      <c r="IR20" s="3" t="s">
        <v>725</v>
      </c>
      <c r="IS20" s="3">
        <v>157</v>
      </c>
      <c r="IT20" s="3">
        <v>31</v>
      </c>
      <c r="IU20" s="19">
        <v>0.19745222929936307</v>
      </c>
      <c r="IV20" s="19">
        <v>0.14273533101787392</v>
      </c>
      <c r="IW20" s="19">
        <v>0.26662093386215374</v>
      </c>
      <c r="IX20" s="580" t="s">
        <v>725</v>
      </c>
      <c r="IY20" s="580">
        <v>142</v>
      </c>
      <c r="IZ20" s="580">
        <v>27</v>
      </c>
      <c r="JA20" s="497">
        <v>0.19014084507042253</v>
      </c>
      <c r="JB20" s="497">
        <v>0.13409479019339512</v>
      </c>
      <c r="JC20" s="497">
        <v>0.26251025811325773</v>
      </c>
      <c r="JD20" s="371" t="str">
        <f t="shared" si="1"/>
        <v>Sig better than Eng.</v>
      </c>
      <c r="JE20" s="3">
        <v>198</v>
      </c>
      <c r="JF20" s="3">
        <v>122</v>
      </c>
      <c r="JG20" s="19">
        <v>0.61616161616161613</v>
      </c>
      <c r="JH20" s="19">
        <v>0.54682338136658892</v>
      </c>
      <c r="JI20" s="19">
        <v>0.68107826118378578</v>
      </c>
      <c r="JJ20" s="3">
        <v>198</v>
      </c>
      <c r="JK20" s="3">
        <v>34</v>
      </c>
      <c r="JL20" s="3">
        <v>39</v>
      </c>
      <c r="JM20" s="383">
        <v>25.512820512820511</v>
      </c>
      <c r="JN20" s="19">
        <v>0.24962292609351439</v>
      </c>
      <c r="JO20" s="3">
        <v>206</v>
      </c>
      <c r="JP20" s="3">
        <v>130</v>
      </c>
      <c r="JQ20" s="19">
        <v>0.6310679611650486</v>
      </c>
      <c r="JR20" s="19">
        <v>0.5633394478729038</v>
      </c>
      <c r="JS20" s="19">
        <v>0.69399768799852601</v>
      </c>
      <c r="JT20" s="3">
        <v>206</v>
      </c>
      <c r="JU20" s="3">
        <v>34</v>
      </c>
      <c r="JV20" s="3">
        <v>41</v>
      </c>
      <c r="JW20" s="383">
        <v>23.317073170731703</v>
      </c>
      <c r="JX20" s="20">
        <v>0.31420373027259696</v>
      </c>
      <c r="JY20" s="44">
        <v>195</v>
      </c>
      <c r="JZ20" s="44">
        <v>128</v>
      </c>
      <c r="KA20" s="20">
        <v>0.65641025641025641</v>
      </c>
      <c r="KB20" s="20">
        <v>0.587310522642564</v>
      </c>
      <c r="KC20" s="20">
        <v>0.71946654669591315</v>
      </c>
      <c r="KD20" s="438">
        <v>34</v>
      </c>
      <c r="KE20" s="438">
        <v>39</v>
      </c>
      <c r="KF20" s="384">
        <v>26.3</v>
      </c>
      <c r="KG20" s="104">
        <v>0.22500000000000001</v>
      </c>
      <c r="KH20" s="19"/>
      <c r="KI20" s="19">
        <v>0.17543859649122806</v>
      </c>
      <c r="KJ20" s="19">
        <v>9.8187471335966101E-2</v>
      </c>
      <c r="KK20" s="19">
        <v>0.29367599050593152</v>
      </c>
      <c r="KL20" s="19"/>
      <c r="KM20" s="19">
        <v>0.14035087719298245</v>
      </c>
      <c r="KN20" s="19">
        <v>7.2871892271282851E-2</v>
      </c>
      <c r="KO20" s="19">
        <v>0.25324707895892806</v>
      </c>
      <c r="KP20" s="19"/>
      <c r="KQ20" s="19">
        <v>0.17543859649122806</v>
      </c>
      <c r="KR20" s="19">
        <v>9.8187471335966101E-2</v>
      </c>
      <c r="KS20" s="19">
        <v>0.29367599050593152</v>
      </c>
      <c r="KT20" s="19"/>
      <c r="KU20" s="19">
        <v>0.23636363636363636</v>
      </c>
      <c r="KV20" s="19">
        <v>0.1436652158745749</v>
      </c>
      <c r="KW20" s="104">
        <v>0.36348618721439618</v>
      </c>
      <c r="KX20" s="438">
        <v>19</v>
      </c>
      <c r="KY20" s="438">
        <v>100</v>
      </c>
      <c r="KZ20" s="497">
        <v>0.19</v>
      </c>
      <c r="LA20" s="497">
        <v>0.12514751509768735</v>
      </c>
      <c r="LB20" s="497">
        <v>0.27778845379064371</v>
      </c>
      <c r="LC20" s="438">
        <v>11</v>
      </c>
      <c r="LD20" s="438">
        <v>100</v>
      </c>
      <c r="LE20" s="497">
        <v>0.11</v>
      </c>
      <c r="LF20" s="497">
        <v>6.2541963570645676E-2</v>
      </c>
      <c r="LG20" s="497">
        <v>0.18631296503080311</v>
      </c>
      <c r="LH20" s="438">
        <v>17</v>
      </c>
      <c r="LI20" s="438">
        <v>100</v>
      </c>
      <c r="LJ20" s="497">
        <v>0.17</v>
      </c>
      <c r="LK20" s="497">
        <v>0.10893566114059929</v>
      </c>
      <c r="LL20" s="497">
        <v>0.25548004767601123</v>
      </c>
      <c r="LM20" s="438">
        <v>24</v>
      </c>
      <c r="LN20" s="438">
        <v>93</v>
      </c>
      <c r="LO20" s="497">
        <v>0.25806451612903225</v>
      </c>
      <c r="LP20" s="497">
        <v>0.17998522171036938</v>
      </c>
      <c r="LQ20" s="104">
        <v>0.35533776342434115</v>
      </c>
      <c r="LR20" s="3">
        <v>61</v>
      </c>
      <c r="LS20" s="3">
        <v>55</v>
      </c>
      <c r="LT20" s="3">
        <v>56</v>
      </c>
      <c r="LU20" s="3">
        <v>58</v>
      </c>
      <c r="LV20" s="3">
        <v>56</v>
      </c>
      <c r="LW20" s="3">
        <v>45</v>
      </c>
      <c r="LX20" s="3">
        <v>41</v>
      </c>
      <c r="LY20" s="3">
        <v>43</v>
      </c>
      <c r="LZ20" s="3">
        <v>41</v>
      </c>
      <c r="MA20" s="3">
        <v>43</v>
      </c>
      <c r="MB20" s="3">
        <v>44</v>
      </c>
      <c r="MC20" s="3">
        <v>40</v>
      </c>
      <c r="MD20" s="3">
        <v>43</v>
      </c>
      <c r="ME20" s="3">
        <v>47</v>
      </c>
      <c r="MF20" s="3">
        <v>42</v>
      </c>
      <c r="MG20" s="3">
        <v>41</v>
      </c>
      <c r="MH20" s="3">
        <v>37</v>
      </c>
      <c r="MI20" s="3">
        <v>40</v>
      </c>
      <c r="MJ20" s="3">
        <v>41</v>
      </c>
      <c r="MK20" s="3">
        <v>40</v>
      </c>
      <c r="ML20" s="3">
        <v>42</v>
      </c>
      <c r="MM20" s="3">
        <v>42</v>
      </c>
      <c r="MN20" s="8">
        <v>42</v>
      </c>
      <c r="MO20" s="3">
        <v>130</v>
      </c>
      <c r="MP20" s="24">
        <v>0.95399999999999996</v>
      </c>
      <c r="MQ20" s="24">
        <v>0</v>
      </c>
      <c r="MR20" s="24">
        <v>0.95399999999999996</v>
      </c>
      <c r="MS20" s="3">
        <v>124</v>
      </c>
      <c r="MT20" s="3">
        <v>0</v>
      </c>
      <c r="MU20" s="3">
        <v>124</v>
      </c>
      <c r="MV20" s="3">
        <v>138</v>
      </c>
      <c r="MW20" s="24">
        <v>0.94199999999999995</v>
      </c>
      <c r="MX20" s="24">
        <v>0.877</v>
      </c>
      <c r="MY20" s="24">
        <v>0.95699999999999996</v>
      </c>
      <c r="MZ20" s="24">
        <v>0.87</v>
      </c>
      <c r="NA20" s="24">
        <v>0.88400000000000001</v>
      </c>
      <c r="NB20" s="3">
        <v>130</v>
      </c>
      <c r="NC20" s="3">
        <v>121</v>
      </c>
      <c r="ND20" s="3">
        <v>132</v>
      </c>
      <c r="NE20" s="3">
        <v>120</v>
      </c>
      <c r="NF20" s="3">
        <v>122</v>
      </c>
      <c r="NG20" s="3">
        <v>130</v>
      </c>
      <c r="NH20" s="24">
        <v>0.90800000000000003</v>
      </c>
      <c r="NI20" s="24">
        <v>0.90800000000000003</v>
      </c>
      <c r="NJ20" s="24">
        <v>0.90800000000000003</v>
      </c>
      <c r="NK20" s="24">
        <v>0.9</v>
      </c>
      <c r="NL20" s="24">
        <v>0.93100000000000005</v>
      </c>
      <c r="NM20" s="24">
        <v>0.90800000000000003</v>
      </c>
      <c r="NN20" s="24">
        <v>0.90800000000000003</v>
      </c>
      <c r="NO20" s="24">
        <v>0.89200000000000002</v>
      </c>
      <c r="NP20" s="24">
        <v>0.93799999999999994</v>
      </c>
      <c r="NQ20" s="24">
        <v>0.90800000000000003</v>
      </c>
      <c r="NR20" s="3">
        <v>118</v>
      </c>
      <c r="NS20" s="3">
        <v>118</v>
      </c>
      <c r="NT20" s="3">
        <v>118</v>
      </c>
      <c r="NU20" s="3">
        <v>117</v>
      </c>
      <c r="NV20" s="3">
        <v>121</v>
      </c>
      <c r="NW20" s="3">
        <v>118</v>
      </c>
      <c r="NX20" s="3">
        <v>118</v>
      </c>
      <c r="NY20" s="3">
        <v>116</v>
      </c>
      <c r="NZ20" s="3">
        <v>122</v>
      </c>
      <c r="OA20" s="8">
        <v>118</v>
      </c>
    </row>
    <row r="21" spans="1:391" s="3" customFormat="1" ht="12.75" x14ac:dyDescent="0.2">
      <c r="A21" s="11" t="s">
        <v>330</v>
      </c>
      <c r="B21" s="8">
        <v>16</v>
      </c>
      <c r="C21" s="11" t="s">
        <v>185</v>
      </c>
      <c r="D21" s="11" t="s">
        <v>186</v>
      </c>
      <c r="E21" s="11" t="s">
        <v>287</v>
      </c>
      <c r="F21" s="11" t="s">
        <v>287</v>
      </c>
      <c r="G21" s="11" t="s">
        <v>187</v>
      </c>
      <c r="H21" s="11" t="s">
        <v>267</v>
      </c>
      <c r="I21" s="11" t="s">
        <v>44</v>
      </c>
      <c r="J21" s="11" t="s">
        <v>269</v>
      </c>
      <c r="K21" s="11" t="s">
        <v>330</v>
      </c>
      <c r="L21" s="11" t="s">
        <v>275</v>
      </c>
      <c r="M21" s="11" t="s">
        <v>341</v>
      </c>
      <c r="N21" s="3" t="s">
        <v>44</v>
      </c>
      <c r="O21" s="11">
        <v>476518</v>
      </c>
      <c r="P21" s="11">
        <v>106288</v>
      </c>
      <c r="Q21" s="128" t="s">
        <v>287</v>
      </c>
      <c r="R21" s="128" t="s">
        <v>287</v>
      </c>
      <c r="S21" s="128" t="s">
        <v>287</v>
      </c>
      <c r="T21" s="38">
        <v>13545</v>
      </c>
      <c r="U21" s="39">
        <v>13600</v>
      </c>
      <c r="V21" s="39">
        <v>13605</v>
      </c>
      <c r="W21" s="39">
        <v>13840</v>
      </c>
      <c r="X21" s="39">
        <v>14100</v>
      </c>
      <c r="Y21" s="39">
        <v>14275</v>
      </c>
      <c r="Z21" s="39">
        <v>14155</v>
      </c>
      <c r="AA21" s="39">
        <v>14250</v>
      </c>
      <c r="AB21" s="39">
        <v>14385</v>
      </c>
      <c r="AC21" s="44">
        <v>14133</v>
      </c>
      <c r="AD21" s="38">
        <v>670</v>
      </c>
      <c r="AE21" s="39">
        <v>670</v>
      </c>
      <c r="AF21" s="39">
        <v>685</v>
      </c>
      <c r="AG21" s="39">
        <v>735</v>
      </c>
      <c r="AH21" s="39">
        <v>745</v>
      </c>
      <c r="AI21" s="39">
        <v>735</v>
      </c>
      <c r="AJ21" s="39">
        <v>735</v>
      </c>
      <c r="AK21" s="39">
        <v>780</v>
      </c>
      <c r="AL21" s="39">
        <v>775</v>
      </c>
      <c r="AM21" s="44">
        <v>750</v>
      </c>
      <c r="AN21" s="15">
        <v>732</v>
      </c>
      <c r="AO21" s="3">
        <v>669</v>
      </c>
      <c r="AP21" s="3">
        <v>16</v>
      </c>
      <c r="AQ21" s="3">
        <v>9</v>
      </c>
      <c r="AR21" s="3">
        <v>8</v>
      </c>
      <c r="AS21" s="3">
        <v>26</v>
      </c>
      <c r="AT21" s="3">
        <v>4</v>
      </c>
      <c r="AU21" s="11">
        <v>63</v>
      </c>
      <c r="AV21" s="18">
        <v>0.91393442622950816</v>
      </c>
      <c r="AW21" s="19">
        <v>2.185792349726776E-2</v>
      </c>
      <c r="AX21" s="19">
        <v>1.2295081967213115E-2</v>
      </c>
      <c r="AY21" s="19">
        <v>1.092896174863388E-2</v>
      </c>
      <c r="AZ21" s="19">
        <v>3.5519125683060107E-2</v>
      </c>
      <c r="BA21" s="19">
        <v>5.4644808743169399E-3</v>
      </c>
      <c r="BB21" s="20">
        <v>8.6065573770491843E-2</v>
      </c>
      <c r="BC21" s="15">
        <v>1936</v>
      </c>
      <c r="BD21" s="3">
        <v>1914</v>
      </c>
      <c r="BE21" s="3">
        <v>22</v>
      </c>
      <c r="BF21" s="3">
        <v>20</v>
      </c>
      <c r="BG21" s="3">
        <v>2</v>
      </c>
      <c r="BH21" s="19">
        <v>0.90909090909090906</v>
      </c>
      <c r="BI21" s="20">
        <v>9.0909090909090912E-2</v>
      </c>
      <c r="BJ21" s="15">
        <v>1435</v>
      </c>
      <c r="BK21" s="19">
        <v>0.6020905923344948</v>
      </c>
      <c r="BL21" s="19">
        <v>9.1289198606271771E-2</v>
      </c>
      <c r="BM21" s="20">
        <v>0.30662020905923343</v>
      </c>
      <c r="BN21" s="38">
        <v>4066</v>
      </c>
      <c r="BO21" s="39">
        <v>199</v>
      </c>
      <c r="BP21" s="39">
        <v>254</v>
      </c>
      <c r="BQ21" s="39">
        <v>95</v>
      </c>
      <c r="BR21" s="39">
        <v>2682</v>
      </c>
      <c r="BS21" s="39">
        <v>1511</v>
      </c>
      <c r="BT21" s="20">
        <v>0.1343481138318994</v>
      </c>
      <c r="BU21" s="38">
        <v>1015</v>
      </c>
      <c r="BV21" s="39">
        <v>1</v>
      </c>
      <c r="BW21" s="39">
        <v>170</v>
      </c>
      <c r="BX21" s="39">
        <v>225</v>
      </c>
      <c r="BY21" s="39">
        <v>108</v>
      </c>
      <c r="BZ21" s="40">
        <v>1519</v>
      </c>
      <c r="CA21" s="39">
        <v>548</v>
      </c>
      <c r="CB21" s="39">
        <v>492</v>
      </c>
      <c r="CC21" s="39">
        <v>56</v>
      </c>
      <c r="CD21" s="39">
        <v>56</v>
      </c>
      <c r="CE21" s="19">
        <v>0.10218978102189781</v>
      </c>
      <c r="CF21" s="104">
        <v>0.10218978102189781</v>
      </c>
      <c r="CG21" s="39">
        <v>50</v>
      </c>
      <c r="CH21" s="39">
        <v>60</v>
      </c>
      <c r="CI21" s="39">
        <v>40</v>
      </c>
      <c r="CJ21" s="39">
        <v>30</v>
      </c>
      <c r="CK21" s="44">
        <v>40</v>
      </c>
      <c r="CL21" s="38">
        <v>224</v>
      </c>
      <c r="CM21" s="39">
        <v>53</v>
      </c>
      <c r="CN21" s="19">
        <v>0.23660714285714285</v>
      </c>
      <c r="CO21" s="40">
        <v>25</v>
      </c>
      <c r="CP21" s="39">
        <v>132</v>
      </c>
      <c r="CQ21" s="39">
        <v>143</v>
      </c>
      <c r="CR21" s="39">
        <v>129</v>
      </c>
      <c r="CS21" s="39">
        <v>106</v>
      </c>
      <c r="CT21" s="39">
        <v>105</v>
      </c>
      <c r="CU21" s="124" t="s">
        <v>474</v>
      </c>
      <c r="CV21" s="39">
        <v>0</v>
      </c>
      <c r="CW21" s="39">
        <v>5</v>
      </c>
      <c r="CX21" s="39">
        <v>3</v>
      </c>
      <c r="CY21" s="39">
        <v>3</v>
      </c>
      <c r="CZ21" s="39">
        <v>8</v>
      </c>
      <c r="DA21" s="120" t="s">
        <v>474</v>
      </c>
      <c r="DB21" s="15">
        <v>10</v>
      </c>
      <c r="DC21" s="15">
        <v>5</v>
      </c>
      <c r="DD21" s="19">
        <v>4.7619047619047616E-2</v>
      </c>
      <c r="DE21" s="19">
        <v>2.0509165674361975E-2</v>
      </c>
      <c r="DF21" s="20">
        <v>0.10666166583292792</v>
      </c>
      <c r="DG21" s="15">
        <v>11</v>
      </c>
      <c r="DH21" s="20">
        <v>1.5027322404371584E-2</v>
      </c>
      <c r="DI21" s="423">
        <v>7</v>
      </c>
      <c r="DJ21" s="428">
        <v>8</v>
      </c>
      <c r="DK21" s="3">
        <v>137</v>
      </c>
      <c r="DL21" s="20">
        <v>2.3406799931658978E-2</v>
      </c>
      <c r="DM21" s="15">
        <v>45</v>
      </c>
      <c r="DN21" s="3">
        <v>45</v>
      </c>
      <c r="DO21" s="3">
        <v>75</v>
      </c>
      <c r="DP21" s="3">
        <v>50</v>
      </c>
      <c r="DQ21" s="11">
        <v>60</v>
      </c>
      <c r="DR21" s="15">
        <v>65</v>
      </c>
      <c r="DS21" s="19">
        <v>9.154929577464789E-2</v>
      </c>
      <c r="DT21" s="19">
        <v>7.2477846279145317E-2</v>
      </c>
      <c r="DU21" s="19">
        <v>0.11501680980570535</v>
      </c>
      <c r="DV21" s="3">
        <v>50</v>
      </c>
      <c r="DW21" s="19">
        <v>6.8965517241379309E-2</v>
      </c>
      <c r="DX21" s="19">
        <v>5.2701298170905991E-2</v>
      </c>
      <c r="DY21" s="19">
        <v>8.9773388969854859E-2</v>
      </c>
      <c r="DZ21" s="3">
        <v>60</v>
      </c>
      <c r="EA21" s="19">
        <v>8.3333333333333329E-2</v>
      </c>
      <c r="EB21" s="19">
        <v>6.5289011531414351E-2</v>
      </c>
      <c r="EC21" s="19">
        <v>0.10580019220452616</v>
      </c>
      <c r="ED21" s="3">
        <v>60</v>
      </c>
      <c r="EE21" s="19">
        <v>8.4507042253521125E-2</v>
      </c>
      <c r="EF21" s="19">
        <v>6.6216554338352052E-2</v>
      </c>
      <c r="EG21" s="19">
        <v>0.10726938892037535</v>
      </c>
      <c r="EH21" s="3">
        <v>50</v>
      </c>
      <c r="EI21" s="20">
        <v>6.7114093959731544E-2</v>
      </c>
      <c r="EJ21" s="20">
        <v>5.1276189246498141E-2</v>
      </c>
      <c r="EK21" s="20">
        <v>8.7393294924727999E-2</v>
      </c>
      <c r="EL21" s="438">
        <v>50</v>
      </c>
      <c r="EM21" s="20">
        <v>7.1942446043165464E-2</v>
      </c>
      <c r="EN21" s="20">
        <v>5.4993974738062903E-2</v>
      </c>
      <c r="EO21" s="104">
        <v>9.3596893061807199E-2</v>
      </c>
      <c r="EP21" s="38">
        <v>180</v>
      </c>
      <c r="EQ21" s="20">
        <v>7.4999999999999997E-2</v>
      </c>
      <c r="ER21" s="44">
        <v>175</v>
      </c>
      <c r="ES21" s="20">
        <v>7.2765072765072769E-2</v>
      </c>
      <c r="ET21" s="44">
        <v>205</v>
      </c>
      <c r="EU21" s="20">
        <v>8.5594989561586635E-2</v>
      </c>
      <c r="EV21" s="44">
        <v>185</v>
      </c>
      <c r="EW21" s="20">
        <v>7.7894736842105267E-2</v>
      </c>
      <c r="EX21" s="44">
        <v>170</v>
      </c>
      <c r="EY21" s="20">
        <v>7.0981210855949897E-2</v>
      </c>
      <c r="EZ21" s="44">
        <v>155</v>
      </c>
      <c r="FA21" s="104">
        <v>6.471816283924843E-2</v>
      </c>
      <c r="FB21" s="3">
        <v>95</v>
      </c>
      <c r="FC21" s="3">
        <v>2</v>
      </c>
      <c r="FD21" s="3">
        <v>93</v>
      </c>
      <c r="FE21" s="19">
        <v>0.97894736842105268</v>
      </c>
      <c r="FF21" s="3">
        <v>49</v>
      </c>
      <c r="FG21" s="3">
        <v>60</v>
      </c>
      <c r="FH21" s="19">
        <v>0.5268817204301075</v>
      </c>
      <c r="FI21" s="19">
        <v>0.64516129032258063</v>
      </c>
      <c r="FJ21" s="19">
        <v>0.42636839646712893</v>
      </c>
      <c r="FK21" s="19">
        <v>0.62526230769306668</v>
      </c>
      <c r="FL21" s="19">
        <v>0.54393306563242183</v>
      </c>
      <c r="FM21" s="104">
        <v>0.73487273683263454</v>
      </c>
      <c r="FN21" s="438">
        <v>93</v>
      </c>
      <c r="FO21" s="438">
        <v>39</v>
      </c>
      <c r="FP21" s="438">
        <v>17</v>
      </c>
      <c r="FQ21" s="438">
        <v>56</v>
      </c>
      <c r="FR21" s="497">
        <v>0.41935483870967744</v>
      </c>
      <c r="FS21" s="497">
        <v>0.60215053763440862</v>
      </c>
      <c r="FT21" s="497">
        <v>0.32422211691722247</v>
      </c>
      <c r="FU21" s="497">
        <v>0.52088554479434779</v>
      </c>
      <c r="FV21" s="497">
        <v>0.5005311962132275</v>
      </c>
      <c r="FW21" s="104">
        <v>0.69566576561878357</v>
      </c>
      <c r="FX21" s="438">
        <v>89</v>
      </c>
      <c r="FY21" s="438">
        <v>5</v>
      </c>
      <c r="FZ21" s="438">
        <v>84</v>
      </c>
      <c r="GA21" s="497">
        <v>0.9438202247191011</v>
      </c>
      <c r="GB21" s="438">
        <v>28</v>
      </c>
      <c r="GC21" s="438">
        <v>14</v>
      </c>
      <c r="GD21" s="438">
        <v>42</v>
      </c>
      <c r="GE21" s="497">
        <v>0.33333333333333331</v>
      </c>
      <c r="GF21" s="497">
        <v>0.5</v>
      </c>
      <c r="GG21" s="497">
        <v>0.24177214000720681</v>
      </c>
      <c r="GH21" s="497">
        <v>0.43947176946434641</v>
      </c>
      <c r="GI21" s="497">
        <v>0.39543933768541362</v>
      </c>
      <c r="GJ21" s="104">
        <v>0.60456066231458638</v>
      </c>
      <c r="GK21" s="3">
        <v>126</v>
      </c>
      <c r="GL21" s="3">
        <v>18</v>
      </c>
      <c r="GM21" s="19">
        <v>0.14285714285714285</v>
      </c>
      <c r="GN21" s="19">
        <v>9.2313796541076673E-2</v>
      </c>
      <c r="GO21" s="19">
        <v>0.21453317808906508</v>
      </c>
      <c r="GP21" s="353" t="s">
        <v>725</v>
      </c>
      <c r="GQ21" s="3">
        <v>108</v>
      </c>
      <c r="GR21" s="3">
        <v>6</v>
      </c>
      <c r="GS21" s="19">
        <v>5.5555555555555552E-2</v>
      </c>
      <c r="GT21" s="19">
        <v>2.5707729609183876E-2</v>
      </c>
      <c r="GU21" s="19">
        <v>0.11593436794331127</v>
      </c>
      <c r="GV21" s="3" t="s">
        <v>725</v>
      </c>
      <c r="GW21" s="3">
        <v>112</v>
      </c>
      <c r="GX21" s="3">
        <v>6</v>
      </c>
      <c r="GY21" s="19">
        <v>5.3571428571428568E-2</v>
      </c>
      <c r="GZ21" s="19">
        <v>2.4780939016041947E-2</v>
      </c>
      <c r="HA21" s="19">
        <v>0.11197026372230079</v>
      </c>
      <c r="HB21" s="3" t="s">
        <v>725</v>
      </c>
      <c r="HC21" s="3">
        <v>138</v>
      </c>
      <c r="HD21" s="3">
        <v>8</v>
      </c>
      <c r="HE21" s="19">
        <v>5.7971014492753624E-2</v>
      </c>
      <c r="HF21" s="19">
        <v>2.9664427433011134E-2</v>
      </c>
      <c r="HG21" s="19">
        <v>0.11022033535539391</v>
      </c>
      <c r="HH21" s="3" t="s">
        <v>725</v>
      </c>
      <c r="HI21" s="3">
        <v>115</v>
      </c>
      <c r="HJ21" s="3">
        <v>11</v>
      </c>
      <c r="HK21" s="19">
        <v>9.5652173913043481E-2</v>
      </c>
      <c r="HL21" s="19">
        <v>5.4252518982852285E-2</v>
      </c>
      <c r="HM21" s="19">
        <v>0.16319229427615739</v>
      </c>
      <c r="HN21" s="11" t="s">
        <v>725</v>
      </c>
      <c r="HO21" s="11">
        <v>120</v>
      </c>
      <c r="HP21" s="11">
        <v>9</v>
      </c>
      <c r="HQ21" s="497">
        <v>7.4999999999999997E-2</v>
      </c>
      <c r="HR21" s="497">
        <v>3.995711539596028E-2</v>
      </c>
      <c r="HS21" s="497">
        <v>0.13640917605993763</v>
      </c>
      <c r="HT21" s="8" t="str">
        <f t="shared" si="0"/>
        <v>No Sig diff</v>
      </c>
      <c r="HU21" s="3">
        <v>111</v>
      </c>
      <c r="HV21" s="3">
        <v>15</v>
      </c>
      <c r="HW21" s="19">
        <v>0.13513513513513514</v>
      </c>
      <c r="HX21" s="19">
        <v>8.3634396766943495E-2</v>
      </c>
      <c r="HY21" s="19">
        <v>0.21104540936066715</v>
      </c>
      <c r="HZ21" s="3" t="s">
        <v>725</v>
      </c>
      <c r="IA21" s="3">
        <v>107</v>
      </c>
      <c r="IB21" s="3">
        <v>12</v>
      </c>
      <c r="IC21" s="19">
        <v>0.11214953271028037</v>
      </c>
      <c r="ID21" s="19">
        <v>6.5328818815477516E-2</v>
      </c>
      <c r="IE21" s="19">
        <v>0.18585389852616863</v>
      </c>
      <c r="IF21" s="3" t="s">
        <v>726</v>
      </c>
      <c r="IG21" s="3">
        <v>91</v>
      </c>
      <c r="IH21" s="3">
        <v>13</v>
      </c>
      <c r="II21" s="19">
        <v>0.14285714285714285</v>
      </c>
      <c r="IJ21" s="19">
        <v>8.542758136548774E-2</v>
      </c>
      <c r="IK21" s="19">
        <v>0.22921813572656949</v>
      </c>
      <c r="IL21" s="3" t="s">
        <v>725</v>
      </c>
      <c r="IM21" s="3">
        <v>100</v>
      </c>
      <c r="IN21" s="3">
        <v>8</v>
      </c>
      <c r="IO21" s="19">
        <v>0.08</v>
      </c>
      <c r="IP21" s="19">
        <v>4.109346148438061E-2</v>
      </c>
      <c r="IQ21" s="19">
        <v>0.14998107700948732</v>
      </c>
      <c r="IR21" s="3" t="s">
        <v>726</v>
      </c>
      <c r="IS21" s="3">
        <v>110</v>
      </c>
      <c r="IT21" s="3">
        <v>13</v>
      </c>
      <c r="IU21" s="19">
        <v>0.11818181818181818</v>
      </c>
      <c r="IV21" s="19">
        <v>7.0381282269267861E-2</v>
      </c>
      <c r="IW21" s="19">
        <v>0.19175045014023931</v>
      </c>
      <c r="IX21" s="580" t="s">
        <v>725</v>
      </c>
      <c r="IY21" s="580">
        <v>119</v>
      </c>
      <c r="IZ21" s="580">
        <v>12</v>
      </c>
      <c r="JA21" s="497">
        <v>0.10084033613445378</v>
      </c>
      <c r="JB21" s="497">
        <v>5.8630296197426456E-2</v>
      </c>
      <c r="JC21" s="497">
        <v>0.16801516281924789</v>
      </c>
      <c r="JD21" s="371" t="str">
        <f t="shared" si="1"/>
        <v>Sig better than Eng.</v>
      </c>
      <c r="JE21" s="3">
        <v>154</v>
      </c>
      <c r="JF21" s="3">
        <v>81</v>
      </c>
      <c r="JG21" s="19">
        <v>0.52597402597402598</v>
      </c>
      <c r="JH21" s="19">
        <v>0.44744231332063877</v>
      </c>
      <c r="JI21" s="19">
        <v>0.6032414554418376</v>
      </c>
      <c r="JJ21" s="3">
        <v>154</v>
      </c>
      <c r="JK21" s="3">
        <v>34</v>
      </c>
      <c r="JL21" s="3">
        <v>30</v>
      </c>
      <c r="JM21" s="383">
        <v>23.266666666666662</v>
      </c>
      <c r="JN21" s="19">
        <v>0.31568627450980408</v>
      </c>
      <c r="JO21" s="3">
        <v>153</v>
      </c>
      <c r="JP21" s="3">
        <v>92</v>
      </c>
      <c r="JQ21" s="19">
        <v>0.60130718954248363</v>
      </c>
      <c r="JR21" s="19">
        <v>0.52215817780146556</v>
      </c>
      <c r="JS21" s="19">
        <v>0.67549364355426489</v>
      </c>
      <c r="JT21" s="3">
        <v>153</v>
      </c>
      <c r="JU21" s="3">
        <v>34</v>
      </c>
      <c r="JV21" s="3">
        <v>30</v>
      </c>
      <c r="JW21" s="383">
        <v>23.633333333333333</v>
      </c>
      <c r="JX21" s="20">
        <v>0.30490196078431375</v>
      </c>
      <c r="JY21" s="44">
        <v>153</v>
      </c>
      <c r="JZ21" s="44">
        <v>102</v>
      </c>
      <c r="KA21" s="20">
        <v>0.66666666666666663</v>
      </c>
      <c r="KB21" s="20">
        <v>0.58869634428979867</v>
      </c>
      <c r="KC21" s="20">
        <v>0.73647278116640313</v>
      </c>
      <c r="KD21" s="438">
        <v>34</v>
      </c>
      <c r="KE21" s="438">
        <v>30</v>
      </c>
      <c r="KF21" s="384">
        <v>25.2</v>
      </c>
      <c r="KG21" s="104">
        <v>0.26</v>
      </c>
      <c r="KH21" s="19">
        <v>0.87962962962962965</v>
      </c>
      <c r="KI21" s="19">
        <v>0.12037037037037036</v>
      </c>
      <c r="KJ21" s="19">
        <v>7.3067660241051213E-2</v>
      </c>
      <c r="KK21" s="19">
        <v>0.38517021976637866</v>
      </c>
      <c r="KL21" s="19">
        <v>0.91666666666666663</v>
      </c>
      <c r="KM21" s="19">
        <v>8.3333333333333329E-2</v>
      </c>
      <c r="KN21" s="19">
        <v>4.7489172642362694E-2</v>
      </c>
      <c r="KO21" s="19">
        <v>0.33335411879470006</v>
      </c>
      <c r="KP21" s="19">
        <v>0.87962962962962965</v>
      </c>
      <c r="KQ21" s="19">
        <v>0.12037037037037036</v>
      </c>
      <c r="KR21" s="19">
        <v>7.3067660241051213E-2</v>
      </c>
      <c r="KS21" s="19">
        <v>0.38517021976637866</v>
      </c>
      <c r="KT21" s="19">
        <v>0.74074074074074081</v>
      </c>
      <c r="KU21" s="19">
        <v>0.25925925925925924</v>
      </c>
      <c r="KV21" s="19">
        <v>0.13150582015814438</v>
      </c>
      <c r="KW21" s="104">
        <v>0.48152123699001981</v>
      </c>
      <c r="KX21" s="438">
        <v>5</v>
      </c>
      <c r="KY21" s="438">
        <v>47</v>
      </c>
      <c r="KZ21" s="497">
        <v>0.10638297872340426</v>
      </c>
      <c r="LA21" s="497">
        <v>4.6304782181081604E-2</v>
      </c>
      <c r="LB21" s="497">
        <v>0.22594269343738355</v>
      </c>
      <c r="LC21" s="438">
        <v>4</v>
      </c>
      <c r="LD21" s="438">
        <v>46</v>
      </c>
      <c r="LE21" s="497">
        <v>8.6956521739130432E-2</v>
      </c>
      <c r="LF21" s="497">
        <v>3.4335867894725897E-2</v>
      </c>
      <c r="LG21" s="497">
        <v>0.20324664074118834</v>
      </c>
      <c r="LH21" s="438">
        <v>7</v>
      </c>
      <c r="LI21" s="438">
        <v>47</v>
      </c>
      <c r="LJ21" s="497">
        <v>0.14893617021276595</v>
      </c>
      <c r="LK21" s="497">
        <v>7.406719996431721E-2</v>
      </c>
      <c r="LL21" s="497">
        <v>0.27685622423593548</v>
      </c>
      <c r="LM21" s="438">
        <v>11</v>
      </c>
      <c r="LN21" s="438">
        <v>47</v>
      </c>
      <c r="LO21" s="497">
        <v>0.23404255319148937</v>
      </c>
      <c r="LP21" s="497">
        <v>0.13603274586227188</v>
      </c>
      <c r="LQ21" s="104">
        <v>0.37224257550155593</v>
      </c>
      <c r="LR21" s="3">
        <v>34</v>
      </c>
      <c r="LS21" s="3">
        <v>33</v>
      </c>
      <c r="LT21" s="3">
        <v>33</v>
      </c>
      <c r="LU21" s="3">
        <v>33</v>
      </c>
      <c r="LV21" s="3">
        <v>33</v>
      </c>
      <c r="LW21" s="3">
        <v>29</v>
      </c>
      <c r="LX21" s="3">
        <v>25</v>
      </c>
      <c r="LY21" s="3">
        <v>28</v>
      </c>
      <c r="LZ21" s="3">
        <v>25</v>
      </c>
      <c r="MA21" s="3">
        <v>28</v>
      </c>
      <c r="MB21" s="3">
        <v>28</v>
      </c>
      <c r="MC21" s="3">
        <v>25</v>
      </c>
      <c r="MD21" s="3">
        <v>29</v>
      </c>
      <c r="ME21" s="3">
        <v>41</v>
      </c>
      <c r="MF21" s="3">
        <v>32</v>
      </c>
      <c r="MG21" s="3">
        <v>32</v>
      </c>
      <c r="MH21" s="3">
        <v>31</v>
      </c>
      <c r="MI21" s="3">
        <v>32</v>
      </c>
      <c r="MJ21" s="3">
        <v>32</v>
      </c>
      <c r="MK21" s="3">
        <v>26</v>
      </c>
      <c r="ML21" s="3">
        <v>36</v>
      </c>
      <c r="MM21" s="3">
        <v>32</v>
      </c>
      <c r="MN21" s="8">
        <v>33</v>
      </c>
      <c r="MO21" s="3">
        <v>95</v>
      </c>
      <c r="MP21" s="24">
        <v>0.95799999999999996</v>
      </c>
      <c r="MQ21" s="24">
        <v>0</v>
      </c>
      <c r="MR21" s="24">
        <v>0.94699999999999995</v>
      </c>
      <c r="MS21" s="3">
        <v>91</v>
      </c>
      <c r="MT21" s="3">
        <v>0</v>
      </c>
      <c r="MU21" s="3">
        <v>90</v>
      </c>
      <c r="MV21" s="3">
        <v>90</v>
      </c>
      <c r="MW21" s="24">
        <v>0.96699999999999997</v>
      </c>
      <c r="MX21" s="24">
        <v>0.93300000000000005</v>
      </c>
      <c r="MY21" s="24">
        <v>0.97799999999999998</v>
      </c>
      <c r="MZ21" s="24">
        <v>0.95599999999999996</v>
      </c>
      <c r="NA21" s="24">
        <v>0.95599999999999996</v>
      </c>
      <c r="NB21" s="3">
        <v>87</v>
      </c>
      <c r="NC21" s="3">
        <v>84</v>
      </c>
      <c r="ND21" s="3">
        <v>88</v>
      </c>
      <c r="NE21" s="3">
        <v>86</v>
      </c>
      <c r="NF21" s="3">
        <v>86</v>
      </c>
      <c r="NG21" s="3">
        <v>95</v>
      </c>
      <c r="NH21" s="24">
        <v>0.93700000000000006</v>
      </c>
      <c r="NI21" s="24">
        <v>0.92600000000000005</v>
      </c>
      <c r="NJ21" s="24">
        <v>0.93700000000000006</v>
      </c>
      <c r="NK21" s="24">
        <v>0.93700000000000006</v>
      </c>
      <c r="NL21" s="24">
        <v>0.93700000000000006</v>
      </c>
      <c r="NM21" s="24">
        <v>0.88400000000000001</v>
      </c>
      <c r="NN21" s="24">
        <v>0.93700000000000006</v>
      </c>
      <c r="NO21" s="24">
        <v>0.92600000000000005</v>
      </c>
      <c r="NP21" s="24">
        <v>0.95799999999999996</v>
      </c>
      <c r="NQ21" s="24">
        <v>0.93700000000000006</v>
      </c>
      <c r="NR21" s="3">
        <v>89</v>
      </c>
      <c r="NS21" s="3">
        <v>88</v>
      </c>
      <c r="NT21" s="3">
        <v>89</v>
      </c>
      <c r="NU21" s="3">
        <v>89</v>
      </c>
      <c r="NV21" s="3">
        <v>89</v>
      </c>
      <c r="NW21" s="3">
        <v>84</v>
      </c>
      <c r="NX21" s="3">
        <v>89</v>
      </c>
      <c r="NY21" s="3">
        <v>88</v>
      </c>
      <c r="NZ21" s="3">
        <v>91</v>
      </c>
      <c r="OA21" s="8">
        <v>89</v>
      </c>
    </row>
    <row r="22" spans="1:391" s="3" customFormat="1" ht="12.75" x14ac:dyDescent="0.2">
      <c r="A22" s="11" t="s">
        <v>48</v>
      </c>
      <c r="B22" s="8">
        <v>17</v>
      </c>
      <c r="C22" s="11" t="s">
        <v>188</v>
      </c>
      <c r="D22" s="11" t="s">
        <v>189</v>
      </c>
      <c r="E22" s="11" t="s">
        <v>287</v>
      </c>
      <c r="F22" s="11" t="s">
        <v>287</v>
      </c>
      <c r="G22" s="11" t="s">
        <v>190</v>
      </c>
      <c r="H22" s="11" t="s">
        <v>79</v>
      </c>
      <c r="I22" s="11" t="s">
        <v>79</v>
      </c>
      <c r="J22" s="11" t="s">
        <v>270</v>
      </c>
      <c r="K22" s="11" t="s">
        <v>377</v>
      </c>
      <c r="L22" s="11" t="s">
        <v>273</v>
      </c>
      <c r="M22" s="11" t="s">
        <v>342</v>
      </c>
      <c r="N22" s="3" t="s">
        <v>79</v>
      </c>
      <c r="O22" s="11">
        <v>524572</v>
      </c>
      <c r="P22" s="11">
        <v>135334</v>
      </c>
      <c r="Q22" s="128">
        <v>20288</v>
      </c>
      <c r="R22" s="128">
        <v>80266</v>
      </c>
      <c r="S22" s="400" t="s">
        <v>817</v>
      </c>
      <c r="T22" s="38">
        <v>13945</v>
      </c>
      <c r="U22" s="39">
        <v>14000</v>
      </c>
      <c r="V22" s="39">
        <v>13975</v>
      </c>
      <c r="W22" s="39">
        <v>14045</v>
      </c>
      <c r="X22" s="39">
        <v>14080</v>
      </c>
      <c r="Y22" s="39">
        <v>14005</v>
      </c>
      <c r="Z22" s="39">
        <v>14160</v>
      </c>
      <c r="AA22" s="39">
        <v>14250</v>
      </c>
      <c r="AB22" s="39">
        <v>14270</v>
      </c>
      <c r="AC22" s="44">
        <v>14397</v>
      </c>
      <c r="AD22" s="38">
        <v>950</v>
      </c>
      <c r="AE22" s="39">
        <v>930</v>
      </c>
      <c r="AF22" s="39">
        <v>935</v>
      </c>
      <c r="AG22" s="39">
        <v>950</v>
      </c>
      <c r="AH22" s="39">
        <v>975</v>
      </c>
      <c r="AI22" s="39">
        <v>1040</v>
      </c>
      <c r="AJ22" s="39">
        <v>1085</v>
      </c>
      <c r="AK22" s="39">
        <v>1120</v>
      </c>
      <c r="AL22" s="39">
        <v>1145</v>
      </c>
      <c r="AM22" s="44">
        <v>1159</v>
      </c>
      <c r="AN22" s="15">
        <v>1088</v>
      </c>
      <c r="AO22" s="3">
        <v>670</v>
      </c>
      <c r="AP22" s="3">
        <v>83</v>
      </c>
      <c r="AQ22" s="3">
        <v>83</v>
      </c>
      <c r="AR22" s="3">
        <v>144</v>
      </c>
      <c r="AS22" s="3">
        <v>90</v>
      </c>
      <c r="AT22" s="3">
        <v>18</v>
      </c>
      <c r="AU22" s="11">
        <v>418</v>
      </c>
      <c r="AV22" s="18">
        <v>0.6158088235294118</v>
      </c>
      <c r="AW22" s="19">
        <v>7.6286764705882359E-2</v>
      </c>
      <c r="AX22" s="19">
        <v>7.6286764705882359E-2</v>
      </c>
      <c r="AY22" s="19">
        <v>0.13235294117647059</v>
      </c>
      <c r="AZ22" s="19">
        <v>8.2720588235294115E-2</v>
      </c>
      <c r="BA22" s="19">
        <v>1.6544117647058824E-2</v>
      </c>
      <c r="BB22" s="20">
        <v>0.3841911764705882</v>
      </c>
      <c r="BC22" s="15">
        <v>2434</v>
      </c>
      <c r="BD22" s="3">
        <v>2172</v>
      </c>
      <c r="BE22" s="3">
        <v>262</v>
      </c>
      <c r="BF22" s="3">
        <v>223</v>
      </c>
      <c r="BG22" s="3">
        <v>39</v>
      </c>
      <c r="BH22" s="19">
        <v>0.85114503816793896</v>
      </c>
      <c r="BI22" s="20">
        <v>0.14885496183206107</v>
      </c>
      <c r="BJ22" s="15">
        <v>1979</v>
      </c>
      <c r="BK22" s="19">
        <v>0.4770085901970692</v>
      </c>
      <c r="BL22" s="19">
        <v>0.32491157150075795</v>
      </c>
      <c r="BM22" s="20">
        <v>0.19807983830217282</v>
      </c>
      <c r="BN22" s="38">
        <v>3967</v>
      </c>
      <c r="BO22" s="39">
        <v>337</v>
      </c>
      <c r="BP22" s="39">
        <v>306</v>
      </c>
      <c r="BQ22" s="39">
        <v>203</v>
      </c>
      <c r="BR22" s="39">
        <v>3572</v>
      </c>
      <c r="BS22" s="39">
        <v>1995</v>
      </c>
      <c r="BT22" s="20">
        <v>0.1724310776942356</v>
      </c>
      <c r="BU22" s="38">
        <v>985</v>
      </c>
      <c r="BV22" s="39">
        <v>1</v>
      </c>
      <c r="BW22" s="39">
        <v>244</v>
      </c>
      <c r="BX22" s="39">
        <v>521</v>
      </c>
      <c r="BY22" s="39">
        <v>248</v>
      </c>
      <c r="BZ22" s="40">
        <v>1999</v>
      </c>
      <c r="CA22" s="39">
        <v>853</v>
      </c>
      <c r="CB22" s="39">
        <v>647</v>
      </c>
      <c r="CC22" s="39">
        <v>200</v>
      </c>
      <c r="CD22" s="39">
        <v>206</v>
      </c>
      <c r="CE22" s="19">
        <v>0.23446658851113716</v>
      </c>
      <c r="CF22" s="104">
        <v>0.24150058616647127</v>
      </c>
      <c r="CG22" s="39">
        <v>220</v>
      </c>
      <c r="CH22" s="39">
        <v>180</v>
      </c>
      <c r="CI22" s="39">
        <v>165</v>
      </c>
      <c r="CJ22" s="39">
        <v>155</v>
      </c>
      <c r="CK22" s="44">
        <v>145</v>
      </c>
      <c r="CL22" s="38">
        <v>519</v>
      </c>
      <c r="CM22" s="39">
        <v>232</v>
      </c>
      <c r="CN22" s="19">
        <v>0.44701348747591524</v>
      </c>
      <c r="CO22" s="40">
        <v>39</v>
      </c>
      <c r="CP22" s="39">
        <v>227</v>
      </c>
      <c r="CQ22" s="39">
        <v>214</v>
      </c>
      <c r="CR22" s="39">
        <v>199</v>
      </c>
      <c r="CS22" s="39">
        <v>196</v>
      </c>
      <c r="CT22" s="39">
        <v>236</v>
      </c>
      <c r="CU22" s="124" t="s">
        <v>474</v>
      </c>
      <c r="CV22" s="39">
        <v>15</v>
      </c>
      <c r="CW22" s="39">
        <v>12</v>
      </c>
      <c r="CX22" s="39">
        <v>8</v>
      </c>
      <c r="CY22" s="39">
        <v>14</v>
      </c>
      <c r="CZ22" s="39">
        <v>15</v>
      </c>
      <c r="DA22" s="120" t="s">
        <v>474</v>
      </c>
      <c r="DB22" s="15">
        <v>26</v>
      </c>
      <c r="DC22" s="15">
        <v>22</v>
      </c>
      <c r="DD22" s="19">
        <v>9.3220338983050849E-2</v>
      </c>
      <c r="DE22" s="19">
        <v>6.2367935694190454E-2</v>
      </c>
      <c r="DF22" s="20">
        <v>0.13710324437589275</v>
      </c>
      <c r="DG22" s="15">
        <v>24</v>
      </c>
      <c r="DH22" s="20">
        <v>2.2058823529411766E-2</v>
      </c>
      <c r="DI22" s="423">
        <v>2</v>
      </c>
      <c r="DJ22" s="428">
        <v>2</v>
      </c>
      <c r="DK22" s="3">
        <v>287</v>
      </c>
      <c r="DL22" s="20">
        <v>5.3524804177545689E-2</v>
      </c>
      <c r="DM22" s="15">
        <v>260</v>
      </c>
      <c r="DN22" s="3">
        <v>265</v>
      </c>
      <c r="DO22" s="3">
        <v>285</v>
      </c>
      <c r="DP22" s="3">
        <v>265</v>
      </c>
      <c r="DQ22" s="11">
        <v>245</v>
      </c>
      <c r="DR22" s="15">
        <v>195</v>
      </c>
      <c r="DS22" s="19">
        <v>0.20967741935483872</v>
      </c>
      <c r="DT22" s="19">
        <v>0.18473543493235009</v>
      </c>
      <c r="DU22" s="19">
        <v>0.23700795105745012</v>
      </c>
      <c r="DV22" s="3">
        <v>210</v>
      </c>
      <c r="DW22" s="19">
        <v>0.21761658031088082</v>
      </c>
      <c r="DX22" s="19">
        <v>0.1927298209654176</v>
      </c>
      <c r="DY22" s="19">
        <v>0.24474264159477049</v>
      </c>
      <c r="DZ22" s="3">
        <v>245</v>
      </c>
      <c r="EA22" s="19">
        <v>0.24378109452736318</v>
      </c>
      <c r="EB22" s="19">
        <v>0.21824398058625152</v>
      </c>
      <c r="EC22" s="19">
        <v>0.27126946526080975</v>
      </c>
      <c r="ED22" s="3">
        <v>265</v>
      </c>
      <c r="EE22" s="19">
        <v>0.25118483412322273</v>
      </c>
      <c r="EF22" s="19">
        <v>0.22594932437469986</v>
      </c>
      <c r="EG22" s="19">
        <v>0.27822573825957853</v>
      </c>
      <c r="EH22" s="3">
        <v>250</v>
      </c>
      <c r="EI22" s="20">
        <v>0.23364485981308411</v>
      </c>
      <c r="EJ22" s="20">
        <v>0.20927098646746681</v>
      </c>
      <c r="EK22" s="20">
        <v>0.25992440050708626</v>
      </c>
      <c r="EL22" s="438">
        <v>250</v>
      </c>
      <c r="EM22" s="20">
        <v>0.23809523809523808</v>
      </c>
      <c r="EN22" s="20">
        <v>0.2133172388709024</v>
      </c>
      <c r="EO22" s="104">
        <v>0.26478262577526568</v>
      </c>
      <c r="EP22" s="38">
        <v>645</v>
      </c>
      <c r="EQ22" s="20">
        <v>0.21217105263157895</v>
      </c>
      <c r="ER22" s="44">
        <v>665</v>
      </c>
      <c r="ES22" s="20">
        <v>0.21521035598705501</v>
      </c>
      <c r="ET22" s="44">
        <v>705</v>
      </c>
      <c r="EU22" s="20">
        <v>0.23039215686274508</v>
      </c>
      <c r="EV22" s="44">
        <v>735</v>
      </c>
      <c r="EW22" s="20">
        <v>0.23557692307692307</v>
      </c>
      <c r="EX22" s="44">
        <v>695</v>
      </c>
      <c r="EY22" s="20">
        <v>0.22347266881028938</v>
      </c>
      <c r="EZ22" s="44">
        <v>685</v>
      </c>
      <c r="FA22" s="104">
        <v>0.21677215189873417</v>
      </c>
      <c r="FB22" s="3">
        <v>199</v>
      </c>
      <c r="FC22" s="3">
        <v>9</v>
      </c>
      <c r="FD22" s="3">
        <v>190</v>
      </c>
      <c r="FE22" s="19">
        <v>0.95477386934673369</v>
      </c>
      <c r="FF22" s="3">
        <v>63</v>
      </c>
      <c r="FG22" s="3">
        <v>90</v>
      </c>
      <c r="FH22" s="19">
        <v>0.33157894736842103</v>
      </c>
      <c r="FI22" s="19">
        <v>0.47368421052631576</v>
      </c>
      <c r="FJ22" s="19">
        <v>0.26855754915982444</v>
      </c>
      <c r="FK22" s="19">
        <v>0.40127596438938273</v>
      </c>
      <c r="FL22" s="19">
        <v>0.40391272589420474</v>
      </c>
      <c r="FM22" s="104">
        <v>0.54449876059785884</v>
      </c>
      <c r="FN22" s="438">
        <v>206</v>
      </c>
      <c r="FO22" s="438">
        <v>55</v>
      </c>
      <c r="FP22" s="438">
        <v>44</v>
      </c>
      <c r="FQ22" s="438">
        <v>99</v>
      </c>
      <c r="FR22" s="497">
        <v>0.26699029126213591</v>
      </c>
      <c r="FS22" s="497">
        <v>0.48058252427184467</v>
      </c>
      <c r="FT22" s="497">
        <v>0.21124844426378794</v>
      </c>
      <c r="FU22" s="497">
        <v>0.33126331418700355</v>
      </c>
      <c r="FV22" s="497">
        <v>0.41333736472490185</v>
      </c>
      <c r="FW22" s="104">
        <v>0.54853861514599744</v>
      </c>
      <c r="FX22" s="438">
        <v>216</v>
      </c>
      <c r="FY22" s="438">
        <v>0</v>
      </c>
      <c r="FZ22" s="438">
        <v>216</v>
      </c>
      <c r="GA22" s="497">
        <v>1</v>
      </c>
      <c r="GB22" s="438">
        <v>72</v>
      </c>
      <c r="GC22" s="438">
        <v>37</v>
      </c>
      <c r="GD22" s="438">
        <v>109</v>
      </c>
      <c r="GE22" s="497">
        <v>0.33333333333333331</v>
      </c>
      <c r="GF22" s="497">
        <v>0.50462962962962965</v>
      </c>
      <c r="GG22" s="497">
        <v>0.27386340958340299</v>
      </c>
      <c r="GH22" s="497">
        <v>0.3986278466781184</v>
      </c>
      <c r="GI22" s="497">
        <v>0.43845732450995195</v>
      </c>
      <c r="GJ22" s="104">
        <v>0.57064014059389467</v>
      </c>
      <c r="GK22" s="3">
        <v>139</v>
      </c>
      <c r="GL22" s="3">
        <v>13</v>
      </c>
      <c r="GM22" s="19">
        <v>9.3525179856115109E-2</v>
      </c>
      <c r="GN22" s="19">
        <v>5.5472392932265871E-2</v>
      </c>
      <c r="GO22" s="19">
        <v>0.153440755022583</v>
      </c>
      <c r="GP22" s="353" t="s">
        <v>725</v>
      </c>
      <c r="GQ22" s="3">
        <v>167</v>
      </c>
      <c r="GR22" s="3">
        <v>17</v>
      </c>
      <c r="GS22" s="19">
        <v>0.10179640718562874</v>
      </c>
      <c r="GT22" s="19">
        <v>6.453215761708575E-2</v>
      </c>
      <c r="GU22" s="19">
        <v>0.15696828543643829</v>
      </c>
      <c r="GV22" s="3" t="s">
        <v>725</v>
      </c>
      <c r="GW22" s="3">
        <v>148</v>
      </c>
      <c r="GX22" s="3">
        <v>15</v>
      </c>
      <c r="GY22" s="19">
        <v>0.10135135135135136</v>
      </c>
      <c r="GZ22" s="19">
        <v>6.2386399530736276E-2</v>
      </c>
      <c r="HA22" s="19">
        <v>0.160487241723308</v>
      </c>
      <c r="HB22" s="3" t="s">
        <v>725</v>
      </c>
      <c r="HC22" s="3">
        <v>185</v>
      </c>
      <c r="HD22" s="3">
        <v>22</v>
      </c>
      <c r="HE22" s="19">
        <v>0.11891891891891893</v>
      </c>
      <c r="HF22" s="19">
        <v>7.9857528522488064E-2</v>
      </c>
      <c r="HG22" s="19">
        <v>0.17348439713018241</v>
      </c>
      <c r="HH22" s="3" t="s">
        <v>725</v>
      </c>
      <c r="HI22" s="3">
        <v>116</v>
      </c>
      <c r="HJ22" s="3">
        <v>13</v>
      </c>
      <c r="HK22" s="19">
        <v>0.11206896551724138</v>
      </c>
      <c r="HL22" s="19">
        <v>6.6673496204662189E-2</v>
      </c>
      <c r="HM22" s="19">
        <v>0.18233431056229885</v>
      </c>
      <c r="HN22" s="11" t="s">
        <v>725</v>
      </c>
      <c r="HO22" s="11">
        <v>243</v>
      </c>
      <c r="HP22" s="11">
        <v>26</v>
      </c>
      <c r="HQ22" s="497">
        <v>0.10699588477366255</v>
      </c>
      <c r="HR22" s="497">
        <v>7.4068882718747134E-2</v>
      </c>
      <c r="HS22" s="497">
        <v>0.15215510367106519</v>
      </c>
      <c r="HT22" s="8" t="str">
        <f t="shared" si="0"/>
        <v>No Sig diff</v>
      </c>
      <c r="HU22" s="3">
        <v>133</v>
      </c>
      <c r="HV22" s="3">
        <v>30</v>
      </c>
      <c r="HW22" s="19">
        <v>0.22556390977443608</v>
      </c>
      <c r="HX22" s="19">
        <v>0.16281825028236413</v>
      </c>
      <c r="HY22" s="19">
        <v>0.30371769117048725</v>
      </c>
      <c r="HZ22" s="3" t="s">
        <v>725</v>
      </c>
      <c r="IA22" s="3">
        <v>167</v>
      </c>
      <c r="IB22" s="3">
        <v>39</v>
      </c>
      <c r="IC22" s="19">
        <v>0.23353293413173654</v>
      </c>
      <c r="ID22" s="19">
        <v>0.17580094582420591</v>
      </c>
      <c r="IE22" s="19">
        <v>0.30324822283567104</v>
      </c>
      <c r="IF22" s="3" t="s">
        <v>725</v>
      </c>
      <c r="IG22" s="3">
        <v>177</v>
      </c>
      <c r="IH22" s="3">
        <v>39</v>
      </c>
      <c r="II22" s="19">
        <v>0.22033898305084745</v>
      </c>
      <c r="IJ22" s="19">
        <v>0.1655797355444994</v>
      </c>
      <c r="IK22" s="19">
        <v>0.28697942513911712</v>
      </c>
      <c r="IL22" s="3" t="s">
        <v>725</v>
      </c>
      <c r="IM22" s="3">
        <v>160</v>
      </c>
      <c r="IN22" s="3">
        <v>33</v>
      </c>
      <c r="IO22" s="19">
        <v>0.20624999999999999</v>
      </c>
      <c r="IP22" s="19">
        <v>0.15080086366994011</v>
      </c>
      <c r="IQ22" s="19">
        <v>0.27547377599331924</v>
      </c>
      <c r="IR22" s="3" t="s">
        <v>725</v>
      </c>
      <c r="IS22" s="3">
        <v>169</v>
      </c>
      <c r="IT22" s="3">
        <v>39</v>
      </c>
      <c r="IU22" s="19">
        <v>0.23076923076923078</v>
      </c>
      <c r="IV22" s="19">
        <v>0.17365677440824237</v>
      </c>
      <c r="IW22" s="19">
        <v>0.29984917363861208</v>
      </c>
      <c r="IX22" s="580" t="s">
        <v>725</v>
      </c>
      <c r="IY22" s="580">
        <v>162</v>
      </c>
      <c r="IZ22" s="580">
        <v>32</v>
      </c>
      <c r="JA22" s="497">
        <v>0.19753086419753085</v>
      </c>
      <c r="JB22" s="497">
        <v>0.14353889090331648</v>
      </c>
      <c r="JC22" s="497">
        <v>0.26553528935967513</v>
      </c>
      <c r="JD22" s="371" t="str">
        <f t="shared" si="1"/>
        <v>Sig better than Eng.</v>
      </c>
      <c r="JE22" s="3">
        <v>212</v>
      </c>
      <c r="JF22" s="3">
        <v>105</v>
      </c>
      <c r="JG22" s="19">
        <v>0.49528301886792453</v>
      </c>
      <c r="JH22" s="19">
        <v>0.42866607213368668</v>
      </c>
      <c r="JI22" s="19">
        <v>0.56206786743970427</v>
      </c>
      <c r="JJ22" s="3">
        <v>212</v>
      </c>
      <c r="JK22" s="3">
        <v>34</v>
      </c>
      <c r="JL22" s="3">
        <v>42</v>
      </c>
      <c r="JM22" s="383">
        <v>21.976190476190471</v>
      </c>
      <c r="JN22" s="19">
        <v>0.35364145658263318</v>
      </c>
      <c r="JO22" s="3">
        <v>193</v>
      </c>
      <c r="JP22" s="3">
        <v>109</v>
      </c>
      <c r="JQ22" s="19">
        <v>0.56476683937823835</v>
      </c>
      <c r="JR22" s="19">
        <v>0.4942308877461517</v>
      </c>
      <c r="JS22" s="19">
        <v>0.63277487694274381</v>
      </c>
      <c r="JT22" s="3">
        <v>193</v>
      </c>
      <c r="JU22" s="3">
        <v>34</v>
      </c>
      <c r="JV22" s="3">
        <v>38</v>
      </c>
      <c r="JW22" s="383">
        <v>21.552631578947373</v>
      </c>
      <c r="JX22" s="20">
        <v>0.36609907120743018</v>
      </c>
      <c r="JY22" s="44">
        <v>254</v>
      </c>
      <c r="JZ22" s="44">
        <v>153</v>
      </c>
      <c r="KA22" s="20">
        <v>0.60236220472440949</v>
      </c>
      <c r="KB22" s="20">
        <v>0.54108055816186873</v>
      </c>
      <c r="KC22" s="20">
        <v>0.66059375844274437</v>
      </c>
      <c r="KD22" s="438">
        <v>34</v>
      </c>
      <c r="KE22" s="438">
        <v>50</v>
      </c>
      <c r="KF22" s="384">
        <v>23.1</v>
      </c>
      <c r="KG22" s="104">
        <v>0.32100000000000001</v>
      </c>
      <c r="KH22" s="19">
        <v>0.83758648758648768</v>
      </c>
      <c r="KI22" s="19">
        <v>0.1624135124135124</v>
      </c>
      <c r="KJ22" s="19">
        <v>0.11561771988481866</v>
      </c>
      <c r="KK22" s="19">
        <v>0.25849709964566014</v>
      </c>
      <c r="KL22" s="19">
        <v>0.87920227920227922</v>
      </c>
      <c r="KM22" s="19">
        <v>0.12079772079772079</v>
      </c>
      <c r="KN22" s="19">
        <v>7.8811990941745763E-2</v>
      </c>
      <c r="KO22" s="19">
        <v>0.20589065995023004</v>
      </c>
      <c r="KP22" s="19">
        <v>0.80054945054945059</v>
      </c>
      <c r="KQ22" s="19">
        <v>0.19945054945054946</v>
      </c>
      <c r="KR22" s="19">
        <v>0.14772120660505175</v>
      </c>
      <c r="KS22" s="19">
        <v>0.30194390108014951</v>
      </c>
      <c r="KT22" s="19">
        <v>0.64439017772351104</v>
      </c>
      <c r="KU22" s="19">
        <v>0.35560982227648902</v>
      </c>
      <c r="KV22" s="19">
        <v>0.27361966173474211</v>
      </c>
      <c r="KW22" s="104">
        <v>0.45325977192245154</v>
      </c>
      <c r="KX22" s="438">
        <v>21</v>
      </c>
      <c r="KY22" s="438">
        <v>110</v>
      </c>
      <c r="KZ22" s="497">
        <v>0.19090909090909092</v>
      </c>
      <c r="LA22" s="497">
        <v>0.12839407729736771</v>
      </c>
      <c r="LB22" s="497">
        <v>0.27428399179604285</v>
      </c>
      <c r="LC22" s="438">
        <v>14</v>
      </c>
      <c r="LD22" s="438">
        <v>110</v>
      </c>
      <c r="LE22" s="497">
        <v>0.12727272727272726</v>
      </c>
      <c r="LF22" s="497">
        <v>7.7349813888469968E-2</v>
      </c>
      <c r="LG22" s="497">
        <v>0.20235021060652511</v>
      </c>
      <c r="LH22" s="438">
        <v>15</v>
      </c>
      <c r="LI22" s="438">
        <v>110</v>
      </c>
      <c r="LJ22" s="497">
        <v>0.13636363636363635</v>
      </c>
      <c r="LK22" s="497">
        <v>8.4411564449900736E-2</v>
      </c>
      <c r="LL22" s="497">
        <v>0.21285675213058225</v>
      </c>
      <c r="LM22" s="438">
        <v>28</v>
      </c>
      <c r="LN22" s="438">
        <v>109</v>
      </c>
      <c r="LO22" s="497">
        <v>0.25688073394495414</v>
      </c>
      <c r="LP22" s="497">
        <v>0.1841197969223172</v>
      </c>
      <c r="LQ22" s="104">
        <v>0.34619467655309771</v>
      </c>
      <c r="LR22" s="3">
        <v>55</v>
      </c>
      <c r="LS22" s="3">
        <v>53</v>
      </c>
      <c r="LT22" s="3">
        <v>53</v>
      </c>
      <c r="LU22" s="3">
        <v>55</v>
      </c>
      <c r="LV22" s="3">
        <v>54</v>
      </c>
      <c r="LW22" s="3">
        <v>50</v>
      </c>
      <c r="LX22" s="3">
        <v>50</v>
      </c>
      <c r="LY22" s="3">
        <v>49</v>
      </c>
      <c r="LZ22" s="3">
        <v>48</v>
      </c>
      <c r="MA22" s="3">
        <v>49</v>
      </c>
      <c r="MB22" s="3">
        <v>48</v>
      </c>
      <c r="MC22" s="3">
        <v>49</v>
      </c>
      <c r="MD22" s="3">
        <v>50</v>
      </c>
      <c r="ME22" s="3">
        <v>62</v>
      </c>
      <c r="MF22" s="3">
        <v>59</v>
      </c>
      <c r="MG22" s="3">
        <v>57</v>
      </c>
      <c r="MH22" s="3">
        <v>53</v>
      </c>
      <c r="MI22" s="3">
        <v>57</v>
      </c>
      <c r="MJ22" s="3">
        <v>57</v>
      </c>
      <c r="MK22" s="3">
        <v>57</v>
      </c>
      <c r="ML22" s="3">
        <v>59</v>
      </c>
      <c r="MM22" s="3">
        <v>55</v>
      </c>
      <c r="MN22" s="8">
        <v>57</v>
      </c>
      <c r="MO22" s="3">
        <v>222</v>
      </c>
      <c r="MP22" s="24">
        <v>0.95</v>
      </c>
      <c r="MQ22" s="24">
        <v>0</v>
      </c>
      <c r="MR22" s="24">
        <v>0.94599999999999995</v>
      </c>
      <c r="MS22" s="3">
        <v>211</v>
      </c>
      <c r="MT22" s="3">
        <v>0</v>
      </c>
      <c r="MU22" s="3">
        <v>210</v>
      </c>
      <c r="MV22" s="3">
        <v>202</v>
      </c>
      <c r="MW22" s="24">
        <v>0.99</v>
      </c>
      <c r="MX22" s="24">
        <v>0.95499999999999996</v>
      </c>
      <c r="MY22" s="24">
        <v>0.95499999999999996</v>
      </c>
      <c r="MZ22" s="24">
        <v>0.96</v>
      </c>
      <c r="NA22" s="24">
        <v>0.96499999999999997</v>
      </c>
      <c r="NB22" s="3">
        <v>200</v>
      </c>
      <c r="NC22" s="3">
        <v>193</v>
      </c>
      <c r="ND22" s="3">
        <v>193</v>
      </c>
      <c r="NE22" s="3">
        <v>194</v>
      </c>
      <c r="NF22" s="3">
        <v>195</v>
      </c>
      <c r="NG22" s="3">
        <v>229</v>
      </c>
      <c r="NH22" s="24">
        <v>0.996</v>
      </c>
      <c r="NI22" s="24">
        <v>0.95599999999999996</v>
      </c>
      <c r="NJ22" s="24">
        <v>0.99099999999999999</v>
      </c>
      <c r="NK22" s="24">
        <v>0.98699999999999999</v>
      </c>
      <c r="NL22" s="24">
        <v>0.96499999999999997</v>
      </c>
      <c r="NM22" s="24">
        <v>0.85199999999999998</v>
      </c>
      <c r="NN22" s="24">
        <v>0.96499999999999997</v>
      </c>
      <c r="NO22" s="24">
        <v>0.94299999999999995</v>
      </c>
      <c r="NP22" s="24">
        <v>0.97399999999999998</v>
      </c>
      <c r="NQ22" s="24">
        <v>0.96499999999999997</v>
      </c>
      <c r="NR22" s="3">
        <v>228</v>
      </c>
      <c r="NS22" s="3">
        <v>219</v>
      </c>
      <c r="NT22" s="3">
        <v>227</v>
      </c>
      <c r="NU22" s="3">
        <v>226</v>
      </c>
      <c r="NV22" s="3">
        <v>221</v>
      </c>
      <c r="NW22" s="3">
        <v>195</v>
      </c>
      <c r="NX22" s="3">
        <v>221</v>
      </c>
      <c r="NY22" s="3">
        <v>216</v>
      </c>
      <c r="NZ22" s="3">
        <v>223</v>
      </c>
      <c r="OA22" s="8">
        <v>221</v>
      </c>
    </row>
    <row r="23" spans="1:391" s="3" customFormat="1" ht="12.75" x14ac:dyDescent="0.2">
      <c r="A23" s="11" t="s">
        <v>49</v>
      </c>
      <c r="B23" s="8">
        <v>18</v>
      </c>
      <c r="C23" s="11" t="s">
        <v>191</v>
      </c>
      <c r="D23" s="11" t="s">
        <v>192</v>
      </c>
      <c r="E23" s="11" t="s">
        <v>287</v>
      </c>
      <c r="F23" s="11" t="s">
        <v>287</v>
      </c>
      <c r="G23" s="11" t="s">
        <v>193</v>
      </c>
      <c r="H23" s="11" t="s">
        <v>79</v>
      </c>
      <c r="I23" s="11" t="s">
        <v>79</v>
      </c>
      <c r="J23" s="11" t="s">
        <v>270</v>
      </c>
      <c r="K23" s="11" t="s">
        <v>378</v>
      </c>
      <c r="L23" s="11" t="s">
        <v>273</v>
      </c>
      <c r="M23" s="11" t="s">
        <v>343</v>
      </c>
      <c r="N23" s="3" t="s">
        <v>79</v>
      </c>
      <c r="O23" s="11">
        <v>525457</v>
      </c>
      <c r="P23" s="11">
        <v>134431</v>
      </c>
      <c r="Q23" s="128">
        <v>20445</v>
      </c>
      <c r="R23" s="128">
        <v>80266</v>
      </c>
      <c r="S23" s="400" t="s">
        <v>817</v>
      </c>
      <c r="T23" s="38">
        <v>12395</v>
      </c>
      <c r="U23" s="39">
        <v>12545</v>
      </c>
      <c r="V23" s="39">
        <v>12795</v>
      </c>
      <c r="W23" s="39">
        <v>12885</v>
      </c>
      <c r="X23" s="39">
        <v>12975</v>
      </c>
      <c r="Y23" s="39">
        <v>13115</v>
      </c>
      <c r="Z23" s="39">
        <v>13335</v>
      </c>
      <c r="AA23" s="39">
        <v>13525</v>
      </c>
      <c r="AB23" s="39">
        <v>13620</v>
      </c>
      <c r="AC23" s="44">
        <v>13828</v>
      </c>
      <c r="AD23" s="38">
        <v>960</v>
      </c>
      <c r="AE23" s="39">
        <v>985</v>
      </c>
      <c r="AF23" s="39">
        <v>1050</v>
      </c>
      <c r="AG23" s="39">
        <v>1105</v>
      </c>
      <c r="AH23" s="39">
        <v>1125</v>
      </c>
      <c r="AI23" s="39">
        <v>1140</v>
      </c>
      <c r="AJ23" s="39">
        <v>1215</v>
      </c>
      <c r="AK23" s="39">
        <v>1225</v>
      </c>
      <c r="AL23" s="39">
        <v>1240</v>
      </c>
      <c r="AM23" s="44">
        <v>1221</v>
      </c>
      <c r="AN23" s="15">
        <v>1185</v>
      </c>
      <c r="AO23" s="3">
        <v>705</v>
      </c>
      <c r="AP23" s="3">
        <v>88</v>
      </c>
      <c r="AQ23" s="3">
        <v>103</v>
      </c>
      <c r="AR23" s="3">
        <v>181</v>
      </c>
      <c r="AS23" s="3">
        <v>96</v>
      </c>
      <c r="AT23" s="3">
        <v>12</v>
      </c>
      <c r="AU23" s="11">
        <v>480</v>
      </c>
      <c r="AV23" s="18">
        <v>0.59493670886075944</v>
      </c>
      <c r="AW23" s="19">
        <v>7.4261603375527424E-2</v>
      </c>
      <c r="AX23" s="19">
        <v>8.6919831223628688E-2</v>
      </c>
      <c r="AY23" s="19">
        <v>0.15274261603375527</v>
      </c>
      <c r="AZ23" s="19">
        <v>8.1012658227848103E-2</v>
      </c>
      <c r="BA23" s="19">
        <v>1.0126582278481013E-2</v>
      </c>
      <c r="BB23" s="20">
        <v>0.40506329113924056</v>
      </c>
      <c r="BC23" s="15">
        <v>2461</v>
      </c>
      <c r="BD23" s="3">
        <v>2196</v>
      </c>
      <c r="BE23" s="3">
        <v>265</v>
      </c>
      <c r="BF23" s="3">
        <v>217</v>
      </c>
      <c r="BG23" s="3">
        <v>48</v>
      </c>
      <c r="BH23" s="19">
        <v>0.81886792452830193</v>
      </c>
      <c r="BI23" s="20">
        <v>0.1811320754716981</v>
      </c>
      <c r="BJ23" s="15">
        <v>2081</v>
      </c>
      <c r="BK23" s="19">
        <v>0.36184526669870254</v>
      </c>
      <c r="BL23" s="19">
        <v>0.45218644882268139</v>
      </c>
      <c r="BM23" s="20">
        <v>0.18596828447861605</v>
      </c>
      <c r="BN23" s="38">
        <v>3613</v>
      </c>
      <c r="BO23" s="39">
        <v>371</v>
      </c>
      <c r="BP23" s="39">
        <v>307</v>
      </c>
      <c r="BQ23" s="39">
        <v>237</v>
      </c>
      <c r="BR23" s="39">
        <v>3554</v>
      </c>
      <c r="BS23" s="39">
        <v>1922</v>
      </c>
      <c r="BT23" s="20">
        <v>0.2023933402705515</v>
      </c>
      <c r="BU23" s="38">
        <v>855</v>
      </c>
      <c r="BV23" s="39">
        <v>0</v>
      </c>
      <c r="BW23" s="39">
        <v>297</v>
      </c>
      <c r="BX23" s="39">
        <v>555</v>
      </c>
      <c r="BY23" s="39">
        <v>214</v>
      </c>
      <c r="BZ23" s="40">
        <v>1921</v>
      </c>
      <c r="CA23" s="39">
        <v>924</v>
      </c>
      <c r="CB23" s="39">
        <v>677</v>
      </c>
      <c r="CC23" s="39">
        <v>241</v>
      </c>
      <c r="CD23" s="39">
        <v>247</v>
      </c>
      <c r="CE23" s="19">
        <v>0.26082251082251084</v>
      </c>
      <c r="CF23" s="104">
        <v>0.26731601731601734</v>
      </c>
      <c r="CG23" s="39">
        <v>220</v>
      </c>
      <c r="CH23" s="39">
        <v>210</v>
      </c>
      <c r="CI23" s="39">
        <v>185</v>
      </c>
      <c r="CJ23" s="39">
        <v>190</v>
      </c>
      <c r="CK23" s="44">
        <v>185</v>
      </c>
      <c r="CL23" s="38">
        <v>554</v>
      </c>
      <c r="CM23" s="39">
        <v>274</v>
      </c>
      <c r="CN23" s="19">
        <v>0.49458483754512633</v>
      </c>
      <c r="CO23" s="40">
        <v>38</v>
      </c>
      <c r="CP23" s="39">
        <v>263</v>
      </c>
      <c r="CQ23" s="39">
        <v>216</v>
      </c>
      <c r="CR23" s="39">
        <v>257</v>
      </c>
      <c r="CS23" s="39">
        <v>242</v>
      </c>
      <c r="CT23" s="39">
        <v>230</v>
      </c>
      <c r="CU23" s="124" t="s">
        <v>474</v>
      </c>
      <c r="CV23" s="39">
        <v>15</v>
      </c>
      <c r="CW23" s="39">
        <v>13</v>
      </c>
      <c r="CX23" s="39">
        <v>15</v>
      </c>
      <c r="CY23" s="39">
        <v>17</v>
      </c>
      <c r="CZ23" s="39">
        <v>13</v>
      </c>
      <c r="DA23" s="120" t="s">
        <v>474</v>
      </c>
      <c r="DB23" s="15">
        <v>33</v>
      </c>
      <c r="DC23" s="15">
        <v>23</v>
      </c>
      <c r="DD23" s="19">
        <v>0.1</v>
      </c>
      <c r="DE23" s="19">
        <v>6.7562529376324273E-2</v>
      </c>
      <c r="DF23" s="20">
        <v>0.14557956729059632</v>
      </c>
      <c r="DG23" s="15">
        <v>23</v>
      </c>
      <c r="DH23" s="20">
        <v>1.9409282700421943E-2</v>
      </c>
      <c r="DI23" s="423">
        <v>1</v>
      </c>
      <c r="DJ23" s="428">
        <v>1</v>
      </c>
      <c r="DK23" s="3">
        <v>354</v>
      </c>
      <c r="DL23" s="20">
        <v>6.9019302008188732E-2</v>
      </c>
      <c r="DM23" s="15">
        <v>300</v>
      </c>
      <c r="DN23" s="3">
        <v>305</v>
      </c>
      <c r="DO23" s="3">
        <v>310</v>
      </c>
      <c r="DP23" s="3">
        <v>285</v>
      </c>
      <c r="DQ23" s="11">
        <v>280</v>
      </c>
      <c r="DR23" s="15">
        <v>305</v>
      </c>
      <c r="DS23" s="19">
        <v>0.28638497652582162</v>
      </c>
      <c r="DT23" s="19">
        <v>0.26004001927954451</v>
      </c>
      <c r="DU23" s="19">
        <v>0.31426541559568572</v>
      </c>
      <c r="DV23" s="3">
        <v>335</v>
      </c>
      <c r="DW23" s="19">
        <v>0.30454545454545456</v>
      </c>
      <c r="DX23" s="19">
        <v>0.27806804915169442</v>
      </c>
      <c r="DY23" s="19">
        <v>0.33238325564039323</v>
      </c>
      <c r="DZ23" s="3">
        <v>285</v>
      </c>
      <c r="EA23" s="19">
        <v>0.27014218009478674</v>
      </c>
      <c r="EB23" s="19">
        <v>0.24421777304016667</v>
      </c>
      <c r="EC23" s="19">
        <v>0.29773442767911912</v>
      </c>
      <c r="ED23" s="3">
        <v>305</v>
      </c>
      <c r="EE23" s="19">
        <v>0.27111111111111114</v>
      </c>
      <c r="EF23" s="19">
        <v>0.24594633140851094</v>
      </c>
      <c r="EG23" s="19">
        <v>0.29783371318869689</v>
      </c>
      <c r="EH23" s="3">
        <v>290</v>
      </c>
      <c r="EI23" s="20">
        <v>0.25108225108225107</v>
      </c>
      <c r="EJ23" s="20">
        <v>0.22692705995967172</v>
      </c>
      <c r="EK23" s="20">
        <v>0.27688772365606629</v>
      </c>
      <c r="EL23" s="438">
        <v>275</v>
      </c>
      <c r="EM23" s="20">
        <v>0.24229074889867841</v>
      </c>
      <c r="EN23" s="20">
        <v>0.21825994159127288</v>
      </c>
      <c r="EO23" s="104">
        <v>0.26806012915344196</v>
      </c>
      <c r="EP23" s="38">
        <v>900</v>
      </c>
      <c r="EQ23" s="20">
        <v>0.29079159935379645</v>
      </c>
      <c r="ER23" s="44">
        <v>920</v>
      </c>
      <c r="ES23" s="20">
        <v>0.28885400313971743</v>
      </c>
      <c r="ET23" s="44">
        <v>835</v>
      </c>
      <c r="EU23" s="20">
        <v>0.26935483870967741</v>
      </c>
      <c r="EV23" s="44">
        <v>865</v>
      </c>
      <c r="EW23" s="20">
        <v>0.27416798732171155</v>
      </c>
      <c r="EX23" s="44">
        <v>835</v>
      </c>
      <c r="EY23" s="20">
        <v>0.25692307692307692</v>
      </c>
      <c r="EZ23" s="44">
        <v>785</v>
      </c>
      <c r="FA23" s="104">
        <v>0.24265842349304481</v>
      </c>
      <c r="FB23" s="3">
        <v>225</v>
      </c>
      <c r="FC23" s="3">
        <v>5</v>
      </c>
      <c r="FD23" s="3">
        <v>220</v>
      </c>
      <c r="FE23" s="19">
        <v>0.97777777777777775</v>
      </c>
      <c r="FF23" s="3">
        <v>62</v>
      </c>
      <c r="FG23" s="3">
        <v>96</v>
      </c>
      <c r="FH23" s="19">
        <v>0.2818181818181818</v>
      </c>
      <c r="FI23" s="19">
        <v>0.43636363636363634</v>
      </c>
      <c r="FJ23" s="19">
        <v>0.22650690611361948</v>
      </c>
      <c r="FK23" s="19">
        <v>0.34461838963122865</v>
      </c>
      <c r="FL23" s="19">
        <v>0.37247710485794949</v>
      </c>
      <c r="FM23" s="104">
        <v>0.50243443973429791</v>
      </c>
      <c r="FN23" s="438">
        <v>185</v>
      </c>
      <c r="FO23" s="438">
        <v>64</v>
      </c>
      <c r="FP23" s="438">
        <v>32</v>
      </c>
      <c r="FQ23" s="438">
        <v>96</v>
      </c>
      <c r="FR23" s="497">
        <v>0.34594594594594597</v>
      </c>
      <c r="FS23" s="497">
        <v>0.51891891891891895</v>
      </c>
      <c r="FT23" s="497">
        <v>0.28116358134769659</v>
      </c>
      <c r="FU23" s="497">
        <v>0.4169959205118936</v>
      </c>
      <c r="FV23" s="497">
        <v>0.44727097688374406</v>
      </c>
      <c r="FW23" s="104">
        <v>0.58979715446683256</v>
      </c>
      <c r="FX23" s="438">
        <v>149</v>
      </c>
      <c r="FY23" s="438">
        <v>12</v>
      </c>
      <c r="FZ23" s="438">
        <v>137</v>
      </c>
      <c r="GA23" s="497">
        <v>0.91946308724832215</v>
      </c>
      <c r="GB23" s="438">
        <v>44</v>
      </c>
      <c r="GC23" s="438">
        <v>23</v>
      </c>
      <c r="GD23" s="438">
        <v>67</v>
      </c>
      <c r="GE23" s="497">
        <v>0.32116788321167883</v>
      </c>
      <c r="GF23" s="497">
        <v>0.48905109489051096</v>
      </c>
      <c r="GG23" s="497">
        <v>0.24877798989522748</v>
      </c>
      <c r="GH23" s="497">
        <v>0.40331308889441986</v>
      </c>
      <c r="GI23" s="497">
        <v>0.40679317813935312</v>
      </c>
      <c r="GJ23" s="104">
        <v>0.57190627566409469</v>
      </c>
      <c r="GK23" s="3">
        <v>157</v>
      </c>
      <c r="GL23" s="3">
        <v>13</v>
      </c>
      <c r="GM23" s="19">
        <v>8.2802547770700632E-2</v>
      </c>
      <c r="GN23" s="19">
        <v>4.9027139712768814E-2</v>
      </c>
      <c r="GO23" s="19">
        <v>0.13650623606916407</v>
      </c>
      <c r="GP23" s="353" t="s">
        <v>725</v>
      </c>
      <c r="GQ23" s="3">
        <v>168</v>
      </c>
      <c r="GR23" s="3">
        <v>14</v>
      </c>
      <c r="GS23" s="19">
        <v>8.3333333333333329E-2</v>
      </c>
      <c r="GT23" s="19">
        <v>5.0287335078460824E-2</v>
      </c>
      <c r="GU23" s="19">
        <v>0.13500822187976255</v>
      </c>
      <c r="GV23" s="3" t="s">
        <v>725</v>
      </c>
      <c r="GW23" s="3">
        <v>143</v>
      </c>
      <c r="GX23" s="3">
        <v>15</v>
      </c>
      <c r="GY23" s="19">
        <v>0.1048951048951049</v>
      </c>
      <c r="GZ23" s="19">
        <v>6.4604118377760339E-2</v>
      </c>
      <c r="HA23" s="19">
        <v>0.16585844371117539</v>
      </c>
      <c r="HB23" s="3" t="s">
        <v>725</v>
      </c>
      <c r="HC23" s="3">
        <v>163</v>
      </c>
      <c r="HD23" s="3">
        <v>20</v>
      </c>
      <c r="HE23" s="19">
        <v>0.12269938650306748</v>
      </c>
      <c r="HF23" s="19">
        <v>8.0850124663024187E-2</v>
      </c>
      <c r="HG23" s="19">
        <v>0.18192304413197474</v>
      </c>
      <c r="HH23" s="3" t="s">
        <v>725</v>
      </c>
      <c r="HI23" s="3">
        <v>118</v>
      </c>
      <c r="HJ23" s="3">
        <v>14</v>
      </c>
      <c r="HK23" s="19">
        <v>0.11864406779661017</v>
      </c>
      <c r="HL23" s="19">
        <v>7.2004059696760631E-2</v>
      </c>
      <c r="HM23" s="19">
        <v>0.18933111413395534</v>
      </c>
      <c r="HN23" s="11" t="s">
        <v>725</v>
      </c>
      <c r="HO23" s="11">
        <v>209</v>
      </c>
      <c r="HP23" s="11">
        <v>19</v>
      </c>
      <c r="HQ23" s="497">
        <v>9.0909090909090912E-2</v>
      </c>
      <c r="HR23" s="497">
        <v>5.8971777426872429E-2</v>
      </c>
      <c r="HS23" s="497">
        <v>0.13761331953932993</v>
      </c>
      <c r="HT23" s="8" t="str">
        <f t="shared" si="0"/>
        <v>No Sig diff</v>
      </c>
      <c r="HU23" s="3">
        <v>177</v>
      </c>
      <c r="HV23" s="3">
        <v>36</v>
      </c>
      <c r="HW23" s="19">
        <v>0.20338983050847459</v>
      </c>
      <c r="HX23" s="19">
        <v>0.15068707463179581</v>
      </c>
      <c r="HY23" s="19">
        <v>0.26869385336597923</v>
      </c>
      <c r="HZ23" s="3" t="s">
        <v>725</v>
      </c>
      <c r="IA23" s="3">
        <v>181</v>
      </c>
      <c r="IB23" s="3">
        <v>38</v>
      </c>
      <c r="IC23" s="19">
        <v>0.20994475138121546</v>
      </c>
      <c r="ID23" s="19">
        <v>0.15695179474513435</v>
      </c>
      <c r="IE23" s="19">
        <v>0.27499382681666318</v>
      </c>
      <c r="IF23" s="3" t="s">
        <v>725</v>
      </c>
      <c r="IG23" s="3">
        <v>153</v>
      </c>
      <c r="IH23" s="3">
        <v>39</v>
      </c>
      <c r="II23" s="19">
        <v>0.25490196078431371</v>
      </c>
      <c r="IJ23" s="19">
        <v>0.1924372049079571</v>
      </c>
      <c r="IK23" s="19">
        <v>0.32937290471527553</v>
      </c>
      <c r="IL23" s="3" t="s">
        <v>725</v>
      </c>
      <c r="IM23" s="3">
        <v>158</v>
      </c>
      <c r="IN23" s="3">
        <v>30</v>
      </c>
      <c r="IO23" s="19">
        <v>0.189873417721519</v>
      </c>
      <c r="IP23" s="19">
        <v>0.13636351813386116</v>
      </c>
      <c r="IQ23" s="19">
        <v>0.25810560792255161</v>
      </c>
      <c r="IR23" s="3" t="s">
        <v>725</v>
      </c>
      <c r="IS23" s="3">
        <v>135</v>
      </c>
      <c r="IT23" s="3">
        <v>34</v>
      </c>
      <c r="IU23" s="19">
        <v>0.25185185185185183</v>
      </c>
      <c r="IV23" s="19">
        <v>0.18618896627599818</v>
      </c>
      <c r="IW23" s="19">
        <v>0.33124623954010679</v>
      </c>
      <c r="IX23" s="580" t="s">
        <v>725</v>
      </c>
      <c r="IY23" s="580">
        <v>166</v>
      </c>
      <c r="IZ23" s="580">
        <v>43</v>
      </c>
      <c r="JA23" s="497">
        <v>0.25903614457831325</v>
      </c>
      <c r="JB23" s="497">
        <v>0.19837342880652581</v>
      </c>
      <c r="JC23" s="497">
        <v>0.3305990579144108</v>
      </c>
      <c r="JD23" s="371" t="str">
        <f t="shared" si="1"/>
        <v>Sig better than Eng.</v>
      </c>
      <c r="JE23" s="3">
        <v>207</v>
      </c>
      <c r="JF23" s="3">
        <v>69</v>
      </c>
      <c r="JG23" s="19">
        <v>0.33333333333333331</v>
      </c>
      <c r="JH23" s="19">
        <v>0.27266724717919089</v>
      </c>
      <c r="JI23" s="19">
        <v>0.40007263810741361</v>
      </c>
      <c r="JJ23" s="3">
        <v>207</v>
      </c>
      <c r="JK23" s="3">
        <v>32</v>
      </c>
      <c r="JL23" s="3">
        <v>41</v>
      </c>
      <c r="JM23" s="383">
        <v>21.829268292682929</v>
      </c>
      <c r="JN23" s="19">
        <v>0.31783536585365846</v>
      </c>
      <c r="JO23" s="3">
        <v>215</v>
      </c>
      <c r="JP23" s="3">
        <v>109</v>
      </c>
      <c r="JQ23" s="19">
        <v>0.50697674418604655</v>
      </c>
      <c r="JR23" s="19">
        <v>0.44061558411635232</v>
      </c>
      <c r="JS23" s="19">
        <v>0.57309297008615845</v>
      </c>
      <c r="JT23" s="3">
        <v>215</v>
      </c>
      <c r="JU23" s="3">
        <v>33</v>
      </c>
      <c r="JV23" s="3">
        <v>43</v>
      </c>
      <c r="JW23" s="383">
        <v>23.720930232558143</v>
      </c>
      <c r="JX23" s="20">
        <v>0.28118393234672295</v>
      </c>
      <c r="JY23" s="44">
        <v>218</v>
      </c>
      <c r="JZ23" s="44">
        <v>113</v>
      </c>
      <c r="KA23" s="20">
        <v>0.51834862385321101</v>
      </c>
      <c r="KB23" s="20">
        <v>0.45227886213599283</v>
      </c>
      <c r="KC23" s="20">
        <v>0.58378292740743998</v>
      </c>
      <c r="KD23" s="438">
        <v>34</v>
      </c>
      <c r="KE23" s="438">
        <v>43</v>
      </c>
      <c r="KF23" s="384">
        <v>21.4</v>
      </c>
      <c r="KG23" s="104">
        <v>0.37</v>
      </c>
      <c r="KH23" s="19">
        <v>0.84342567155067161</v>
      </c>
      <c r="KI23" s="19">
        <v>0.15657432844932845</v>
      </c>
      <c r="KJ23" s="19">
        <v>8.7488565256567077E-2</v>
      </c>
      <c r="KK23" s="19">
        <v>0.21410279669076451</v>
      </c>
      <c r="KL23" s="19">
        <v>0.87394621310062481</v>
      </c>
      <c r="KM23" s="19">
        <v>0.12605378689937513</v>
      </c>
      <c r="KN23" s="19">
        <v>6.8476557040876879E-2</v>
      </c>
      <c r="KO23" s="19">
        <v>0.18692562848208755</v>
      </c>
      <c r="KP23" s="19">
        <v>0.83940781440781431</v>
      </c>
      <c r="KQ23" s="19">
        <v>0.16059218559218558</v>
      </c>
      <c r="KR23" s="19">
        <v>8.9885841771810929E-2</v>
      </c>
      <c r="KS23" s="19">
        <v>0.21951596207067745</v>
      </c>
      <c r="KT23" s="19">
        <v>0.64253541597291597</v>
      </c>
      <c r="KU23" s="19">
        <v>0.35746458402708403</v>
      </c>
      <c r="KV23" s="19">
        <v>0.26697228641216703</v>
      </c>
      <c r="KW23" s="104">
        <v>0.43851804693911739</v>
      </c>
      <c r="KX23" s="438">
        <v>22</v>
      </c>
      <c r="KY23" s="438">
        <v>109</v>
      </c>
      <c r="KZ23" s="497">
        <v>0.20183486238532111</v>
      </c>
      <c r="LA23" s="497">
        <v>0.13723724101363849</v>
      </c>
      <c r="LB23" s="497">
        <v>0.28673333966375725</v>
      </c>
      <c r="LC23" s="438">
        <v>18</v>
      </c>
      <c r="LD23" s="438">
        <v>109</v>
      </c>
      <c r="LE23" s="497">
        <v>0.16513761467889909</v>
      </c>
      <c r="LF23" s="497">
        <v>0.10708689548802479</v>
      </c>
      <c r="LG23" s="497">
        <v>0.24598775665735806</v>
      </c>
      <c r="LH23" s="438">
        <v>21</v>
      </c>
      <c r="LI23" s="438">
        <v>107</v>
      </c>
      <c r="LJ23" s="497">
        <v>0.19626168224299065</v>
      </c>
      <c r="LK23" s="497">
        <v>0.13210407800680704</v>
      </c>
      <c r="LL23" s="497">
        <v>0.28147274882701223</v>
      </c>
      <c r="LM23" s="438">
        <v>38</v>
      </c>
      <c r="LN23" s="438">
        <v>106</v>
      </c>
      <c r="LO23" s="497">
        <v>0.35849056603773582</v>
      </c>
      <c r="LP23" s="497">
        <v>0.27362108379207378</v>
      </c>
      <c r="LQ23" s="104">
        <v>0.45325799882305984</v>
      </c>
      <c r="LR23" s="3">
        <v>64</v>
      </c>
      <c r="LS23" s="3">
        <v>61</v>
      </c>
      <c r="LT23" s="3">
        <v>62</v>
      </c>
      <c r="LU23" s="3">
        <v>63</v>
      </c>
      <c r="LV23" s="3">
        <v>62</v>
      </c>
      <c r="LW23" s="3">
        <v>68</v>
      </c>
      <c r="LX23" s="3">
        <v>66</v>
      </c>
      <c r="LY23" s="3">
        <v>64</v>
      </c>
      <c r="LZ23" s="3">
        <v>66</v>
      </c>
      <c r="MA23" s="3">
        <v>66</v>
      </c>
      <c r="MB23" s="3">
        <v>67</v>
      </c>
      <c r="MC23" s="3">
        <v>66</v>
      </c>
      <c r="MD23" s="3">
        <v>67</v>
      </c>
      <c r="ME23" s="3">
        <v>55</v>
      </c>
      <c r="MF23" s="3">
        <v>49</v>
      </c>
      <c r="MG23" s="3">
        <v>50</v>
      </c>
      <c r="MH23" s="3">
        <v>46</v>
      </c>
      <c r="MI23" s="3">
        <v>51</v>
      </c>
      <c r="MJ23" s="3">
        <v>51</v>
      </c>
      <c r="MK23" s="3">
        <v>47</v>
      </c>
      <c r="ML23" s="3">
        <v>53</v>
      </c>
      <c r="MM23" s="3">
        <v>46</v>
      </c>
      <c r="MN23" s="8">
        <v>53</v>
      </c>
      <c r="MO23" s="3">
        <v>159</v>
      </c>
      <c r="MP23" s="24">
        <v>0.98099999999999998</v>
      </c>
      <c r="MQ23" s="24">
        <v>6.0000000000000001E-3</v>
      </c>
      <c r="MR23" s="24">
        <v>0.98099999999999998</v>
      </c>
      <c r="MS23" s="3">
        <v>156</v>
      </c>
      <c r="MT23" s="3">
        <v>1</v>
      </c>
      <c r="MU23" s="3">
        <v>156</v>
      </c>
      <c r="MV23" s="3">
        <v>190</v>
      </c>
      <c r="MW23" s="24">
        <v>0.96799999999999997</v>
      </c>
      <c r="MX23" s="24">
        <v>0.95799999999999996</v>
      </c>
      <c r="MY23" s="24">
        <v>0.95299999999999996</v>
      </c>
      <c r="MZ23" s="24">
        <v>0.94699999999999995</v>
      </c>
      <c r="NA23" s="24">
        <v>0.95799999999999996</v>
      </c>
      <c r="NB23" s="3">
        <v>184</v>
      </c>
      <c r="NC23" s="3">
        <v>182</v>
      </c>
      <c r="ND23" s="3">
        <v>181</v>
      </c>
      <c r="NE23" s="3">
        <v>180</v>
      </c>
      <c r="NF23" s="3">
        <v>182</v>
      </c>
      <c r="NG23" s="3">
        <v>171</v>
      </c>
      <c r="NH23" s="24">
        <v>0.96499999999999997</v>
      </c>
      <c r="NI23" s="24">
        <v>0.91800000000000004</v>
      </c>
      <c r="NJ23" s="24">
        <v>0.96499999999999997</v>
      </c>
      <c r="NK23" s="24">
        <v>0.96499999999999997</v>
      </c>
      <c r="NL23" s="24">
        <v>0.95299999999999996</v>
      </c>
      <c r="NM23" s="24">
        <v>0.92400000000000004</v>
      </c>
      <c r="NN23" s="24">
        <v>0.96499999999999997</v>
      </c>
      <c r="NO23" s="24">
        <v>0.93</v>
      </c>
      <c r="NP23" s="24">
        <v>0.94699999999999995</v>
      </c>
      <c r="NQ23" s="24">
        <v>0.92400000000000004</v>
      </c>
      <c r="NR23" s="3">
        <v>165</v>
      </c>
      <c r="NS23" s="3">
        <v>157</v>
      </c>
      <c r="NT23" s="3">
        <v>165</v>
      </c>
      <c r="NU23" s="3">
        <v>165</v>
      </c>
      <c r="NV23" s="3">
        <v>163</v>
      </c>
      <c r="NW23" s="3">
        <v>158</v>
      </c>
      <c r="NX23" s="3">
        <v>165</v>
      </c>
      <c r="NY23" s="3">
        <v>159</v>
      </c>
      <c r="NZ23" s="3">
        <v>162</v>
      </c>
      <c r="OA23" s="8">
        <v>158</v>
      </c>
    </row>
    <row r="24" spans="1:391" s="3" customFormat="1" ht="12.75" x14ac:dyDescent="0.2">
      <c r="A24" s="11" t="s">
        <v>50</v>
      </c>
      <c r="B24" s="8">
        <v>19</v>
      </c>
      <c r="C24" s="11" t="s">
        <v>194</v>
      </c>
      <c r="D24" s="11" t="s">
        <v>195</v>
      </c>
      <c r="E24" s="11" t="s">
        <v>287</v>
      </c>
      <c r="F24" s="11" t="s">
        <v>287</v>
      </c>
      <c r="G24" s="11" t="s">
        <v>196</v>
      </c>
      <c r="H24" s="11" t="s">
        <v>79</v>
      </c>
      <c r="I24" s="11" t="s">
        <v>79</v>
      </c>
      <c r="J24" s="11" t="s">
        <v>270</v>
      </c>
      <c r="K24" s="11" t="s">
        <v>377</v>
      </c>
      <c r="L24" s="11" t="s">
        <v>273</v>
      </c>
      <c r="M24" s="11" t="s">
        <v>344</v>
      </c>
      <c r="N24" s="3" t="s">
        <v>79</v>
      </c>
      <c r="O24" s="11">
        <v>526058</v>
      </c>
      <c r="P24" s="11">
        <v>137916</v>
      </c>
      <c r="Q24" s="128">
        <v>21738</v>
      </c>
      <c r="R24" s="128">
        <v>80266</v>
      </c>
      <c r="S24" s="400" t="s">
        <v>817</v>
      </c>
      <c r="T24" s="38">
        <v>15845</v>
      </c>
      <c r="U24" s="39">
        <v>16080</v>
      </c>
      <c r="V24" s="39">
        <v>16165</v>
      </c>
      <c r="W24" s="39">
        <v>16350</v>
      </c>
      <c r="X24" s="39">
        <v>16480</v>
      </c>
      <c r="Y24" s="39">
        <v>16875</v>
      </c>
      <c r="Z24" s="39">
        <v>17185</v>
      </c>
      <c r="AA24" s="39">
        <v>17290</v>
      </c>
      <c r="AB24" s="39">
        <v>17405</v>
      </c>
      <c r="AC24" s="44">
        <v>17412</v>
      </c>
      <c r="AD24" s="38">
        <v>940</v>
      </c>
      <c r="AE24" s="39">
        <v>970</v>
      </c>
      <c r="AF24" s="39">
        <v>1025</v>
      </c>
      <c r="AG24" s="39">
        <v>1100</v>
      </c>
      <c r="AH24" s="39">
        <v>1170</v>
      </c>
      <c r="AI24" s="39">
        <v>1285</v>
      </c>
      <c r="AJ24" s="39">
        <v>1305</v>
      </c>
      <c r="AK24" s="39">
        <v>1330</v>
      </c>
      <c r="AL24" s="39">
        <v>1310</v>
      </c>
      <c r="AM24" s="44">
        <v>1314</v>
      </c>
      <c r="AN24" s="15">
        <v>1307</v>
      </c>
      <c r="AO24" s="3">
        <v>754</v>
      </c>
      <c r="AP24" s="3">
        <v>78</v>
      </c>
      <c r="AQ24" s="3">
        <v>93</v>
      </c>
      <c r="AR24" s="3">
        <v>320</v>
      </c>
      <c r="AS24" s="3">
        <v>50</v>
      </c>
      <c r="AT24" s="3">
        <v>12</v>
      </c>
      <c r="AU24" s="11">
        <v>553</v>
      </c>
      <c r="AV24" s="18">
        <v>0.57689364957918898</v>
      </c>
      <c r="AW24" s="19">
        <v>5.9678653404743688E-2</v>
      </c>
      <c r="AX24" s="19">
        <v>7.1155317521040554E-2</v>
      </c>
      <c r="AY24" s="19">
        <v>0.24483550114766642</v>
      </c>
      <c r="AZ24" s="19">
        <v>3.8255547054322873E-2</v>
      </c>
      <c r="BA24" s="19">
        <v>9.181331293037491E-3</v>
      </c>
      <c r="BB24" s="20">
        <v>0.42310635042081102</v>
      </c>
      <c r="BC24" s="15">
        <v>2759</v>
      </c>
      <c r="BD24" s="3">
        <v>2480</v>
      </c>
      <c r="BE24" s="3">
        <v>279</v>
      </c>
      <c r="BF24" s="3">
        <v>236</v>
      </c>
      <c r="BG24" s="3">
        <v>43</v>
      </c>
      <c r="BH24" s="19">
        <v>0.84587813620071683</v>
      </c>
      <c r="BI24" s="20">
        <v>0.15412186379928317</v>
      </c>
      <c r="BJ24" s="15">
        <v>2404</v>
      </c>
      <c r="BK24" s="19">
        <v>0.44675540765391014</v>
      </c>
      <c r="BL24" s="19">
        <v>0.38019966722129783</v>
      </c>
      <c r="BM24" s="20">
        <v>0.17304492512479203</v>
      </c>
      <c r="BN24" s="38">
        <v>4693</v>
      </c>
      <c r="BO24" s="39">
        <v>379</v>
      </c>
      <c r="BP24" s="39">
        <v>343</v>
      </c>
      <c r="BQ24" s="39">
        <v>285</v>
      </c>
      <c r="BR24" s="39">
        <v>3986</v>
      </c>
      <c r="BS24" s="39">
        <v>2149</v>
      </c>
      <c r="BT24" s="20">
        <v>0.20055839925546767</v>
      </c>
      <c r="BU24" s="38">
        <v>1032</v>
      </c>
      <c r="BV24" s="39">
        <v>1</v>
      </c>
      <c r="BW24" s="39">
        <v>293</v>
      </c>
      <c r="BX24" s="39">
        <v>530</v>
      </c>
      <c r="BY24" s="39">
        <v>299</v>
      </c>
      <c r="BZ24" s="40">
        <v>2155</v>
      </c>
      <c r="CA24" s="39">
        <v>1008</v>
      </c>
      <c r="CB24" s="39">
        <v>794</v>
      </c>
      <c r="CC24" s="39">
        <v>213</v>
      </c>
      <c r="CD24" s="39">
        <v>214</v>
      </c>
      <c r="CE24" s="19">
        <v>0.21130952380952381</v>
      </c>
      <c r="CF24" s="104">
        <v>0.2123015873015873</v>
      </c>
      <c r="CG24" s="39">
        <v>200</v>
      </c>
      <c r="CH24" s="39">
        <v>170</v>
      </c>
      <c r="CI24" s="39">
        <v>170</v>
      </c>
      <c r="CJ24" s="39">
        <v>160</v>
      </c>
      <c r="CK24" s="44">
        <v>135</v>
      </c>
      <c r="CL24" s="38">
        <v>523</v>
      </c>
      <c r="CM24" s="39">
        <v>219</v>
      </c>
      <c r="CN24" s="19">
        <v>0.41873804971319312</v>
      </c>
      <c r="CO24" s="40">
        <v>47</v>
      </c>
      <c r="CP24" s="39">
        <v>276</v>
      </c>
      <c r="CQ24" s="39">
        <v>290</v>
      </c>
      <c r="CR24" s="39">
        <v>295</v>
      </c>
      <c r="CS24" s="39">
        <v>260</v>
      </c>
      <c r="CT24" s="39">
        <v>242</v>
      </c>
      <c r="CU24" s="124" t="s">
        <v>474</v>
      </c>
      <c r="CV24" s="39">
        <v>16</v>
      </c>
      <c r="CW24" s="39">
        <v>7</v>
      </c>
      <c r="CX24" s="39">
        <v>11</v>
      </c>
      <c r="CY24" s="39">
        <v>12</v>
      </c>
      <c r="CZ24" s="39">
        <v>8</v>
      </c>
      <c r="DA24" s="120" t="s">
        <v>474</v>
      </c>
      <c r="DB24" s="15">
        <v>25</v>
      </c>
      <c r="DC24" s="15">
        <v>20</v>
      </c>
      <c r="DD24" s="19">
        <v>8.2644628099173556E-2</v>
      </c>
      <c r="DE24" s="19">
        <v>5.4134868300491863E-2</v>
      </c>
      <c r="DF24" s="20">
        <v>0.12419737488990565</v>
      </c>
      <c r="DG24" s="15">
        <v>26</v>
      </c>
      <c r="DH24" s="20">
        <v>1.9892884468247895E-2</v>
      </c>
      <c r="DI24" s="423">
        <v>3</v>
      </c>
      <c r="DJ24" s="428">
        <v>2</v>
      </c>
      <c r="DK24" s="3">
        <v>382</v>
      </c>
      <c r="DL24" s="20">
        <v>5.8276125095347062E-2</v>
      </c>
      <c r="DM24" s="15">
        <v>280</v>
      </c>
      <c r="DN24" s="3">
        <v>300</v>
      </c>
      <c r="DO24" s="3">
        <v>300</v>
      </c>
      <c r="DP24" s="3">
        <v>280</v>
      </c>
      <c r="DQ24" s="11">
        <v>215</v>
      </c>
      <c r="DR24" s="15">
        <v>235</v>
      </c>
      <c r="DS24" s="19">
        <v>0.21266968325791855</v>
      </c>
      <c r="DT24" s="19">
        <v>0.18955965720252332</v>
      </c>
      <c r="DU24" s="19">
        <v>0.23777055763688862</v>
      </c>
      <c r="DV24" s="3">
        <v>260</v>
      </c>
      <c r="DW24" s="19">
        <v>0.22222222222222221</v>
      </c>
      <c r="DX24" s="19">
        <v>0.19933099451806957</v>
      </c>
      <c r="DY24" s="19">
        <v>0.24693153513135532</v>
      </c>
      <c r="DZ24" s="3">
        <v>300</v>
      </c>
      <c r="EA24" s="19">
        <v>0.23715415019762845</v>
      </c>
      <c r="EB24" s="19">
        <v>0.21453304165128737</v>
      </c>
      <c r="EC24" s="19">
        <v>0.26136680747716534</v>
      </c>
      <c r="ED24" s="3">
        <v>290</v>
      </c>
      <c r="EE24" s="19">
        <v>0.2265625</v>
      </c>
      <c r="EF24" s="19">
        <v>0.20446797898673269</v>
      </c>
      <c r="EG24" s="19">
        <v>0.25029335841157574</v>
      </c>
      <c r="EH24" s="3">
        <v>270</v>
      </c>
      <c r="EI24" s="20">
        <v>0.20224719101123595</v>
      </c>
      <c r="EJ24" s="20">
        <v>0.18156868988508593</v>
      </c>
      <c r="EK24" s="20">
        <v>0.22463434127868745</v>
      </c>
      <c r="EL24" s="438">
        <v>270</v>
      </c>
      <c r="EM24" s="20">
        <v>0.20849420849420849</v>
      </c>
      <c r="EN24" s="20">
        <v>0.18724709131404418</v>
      </c>
      <c r="EO24" s="104">
        <v>0.23146564312121518</v>
      </c>
      <c r="EP24" s="38">
        <v>705</v>
      </c>
      <c r="EQ24" s="20">
        <v>0.22065727699530516</v>
      </c>
      <c r="ER24" s="44">
        <v>750</v>
      </c>
      <c r="ES24" s="20">
        <v>0.22321428571428573</v>
      </c>
      <c r="ET24" s="44">
        <v>810</v>
      </c>
      <c r="EU24" s="20">
        <v>0.23011363636363635</v>
      </c>
      <c r="EV24" s="44">
        <v>780</v>
      </c>
      <c r="EW24" s="20">
        <v>0.21606648199445982</v>
      </c>
      <c r="EX24" s="44">
        <v>735</v>
      </c>
      <c r="EY24" s="20">
        <v>0.19573901464713714</v>
      </c>
      <c r="EZ24" s="44">
        <v>720</v>
      </c>
      <c r="FA24" s="104">
        <v>0.19098143236074269</v>
      </c>
      <c r="FB24" s="3">
        <v>243</v>
      </c>
      <c r="FC24" s="3">
        <v>9</v>
      </c>
      <c r="FD24" s="3">
        <v>234</v>
      </c>
      <c r="FE24" s="19">
        <v>0.96296296296296291</v>
      </c>
      <c r="FF24" s="3">
        <v>83</v>
      </c>
      <c r="FG24" s="3">
        <v>121</v>
      </c>
      <c r="FH24" s="19">
        <v>0.35470085470085472</v>
      </c>
      <c r="FI24" s="19">
        <v>0.51709401709401714</v>
      </c>
      <c r="FJ24" s="19">
        <v>0.29619960630889919</v>
      </c>
      <c r="FK24" s="19">
        <v>0.41789582527245578</v>
      </c>
      <c r="FL24" s="19">
        <v>0.45330934839463238</v>
      </c>
      <c r="FM24" s="104">
        <v>0.58032648318403168</v>
      </c>
      <c r="FN24" s="438">
        <v>231</v>
      </c>
      <c r="FO24" s="438">
        <v>72</v>
      </c>
      <c r="FP24" s="438">
        <v>36</v>
      </c>
      <c r="FQ24" s="438">
        <v>108</v>
      </c>
      <c r="FR24" s="497">
        <v>0.31168831168831168</v>
      </c>
      <c r="FS24" s="497">
        <v>0.46753246753246752</v>
      </c>
      <c r="FT24" s="497">
        <v>0.25544882689407633</v>
      </c>
      <c r="FU24" s="497">
        <v>0.37408847696662684</v>
      </c>
      <c r="FV24" s="497">
        <v>0.40424776330838252</v>
      </c>
      <c r="FW24" s="104">
        <v>0.53187935804691111</v>
      </c>
      <c r="FX24" s="438">
        <v>397</v>
      </c>
      <c r="FY24" s="438">
        <v>71</v>
      </c>
      <c r="FZ24" s="438">
        <v>326</v>
      </c>
      <c r="GA24" s="497">
        <v>0.82115869017632237</v>
      </c>
      <c r="GB24" s="438">
        <v>91</v>
      </c>
      <c r="GC24" s="438">
        <v>60</v>
      </c>
      <c r="GD24" s="438">
        <v>151</v>
      </c>
      <c r="GE24" s="497">
        <v>0.27914110429447853</v>
      </c>
      <c r="GF24" s="497">
        <v>0.46319018404907975</v>
      </c>
      <c r="GG24" s="497">
        <v>0.23323531126497812</v>
      </c>
      <c r="GH24" s="497">
        <v>0.33019131037666283</v>
      </c>
      <c r="GI24" s="497">
        <v>0.40980440507853227</v>
      </c>
      <c r="GJ24" s="104">
        <v>0.51743336519507455</v>
      </c>
      <c r="GK24" s="3">
        <v>182</v>
      </c>
      <c r="GL24" s="3">
        <v>13</v>
      </c>
      <c r="GM24" s="19">
        <v>7.1428571428571425E-2</v>
      </c>
      <c r="GN24" s="19">
        <v>4.2215244868037641E-2</v>
      </c>
      <c r="GO24" s="19">
        <v>0.11835957525047065</v>
      </c>
      <c r="GP24" s="353" t="s">
        <v>725</v>
      </c>
      <c r="GQ24" s="3">
        <v>199</v>
      </c>
      <c r="GR24" s="3">
        <v>23</v>
      </c>
      <c r="GS24" s="19">
        <v>0.11557788944723618</v>
      </c>
      <c r="GT24" s="19">
        <v>7.8261508207020325E-2</v>
      </c>
      <c r="GU24" s="19">
        <v>0.16745482173099549</v>
      </c>
      <c r="GV24" s="3" t="s">
        <v>725</v>
      </c>
      <c r="GW24" s="3">
        <v>164</v>
      </c>
      <c r="GX24" s="3">
        <v>16</v>
      </c>
      <c r="GY24" s="19">
        <v>9.7560975609756101E-2</v>
      </c>
      <c r="GZ24" s="19">
        <v>6.0946967227705207E-2</v>
      </c>
      <c r="HA24" s="19">
        <v>0.15259657006354138</v>
      </c>
      <c r="HB24" s="3" t="s">
        <v>725</v>
      </c>
      <c r="HC24" s="3">
        <v>175</v>
      </c>
      <c r="HD24" s="3">
        <v>13</v>
      </c>
      <c r="HE24" s="19">
        <v>7.4285714285714288E-2</v>
      </c>
      <c r="HF24" s="19">
        <v>4.3924003825929425E-2</v>
      </c>
      <c r="HG24" s="19">
        <v>0.12293584521283889</v>
      </c>
      <c r="HH24" s="3" t="s">
        <v>725</v>
      </c>
      <c r="HI24" s="3">
        <v>154</v>
      </c>
      <c r="HJ24" s="3">
        <v>19</v>
      </c>
      <c r="HK24" s="19">
        <v>0.12337662337662338</v>
      </c>
      <c r="HL24" s="19">
        <v>8.0425217853813444E-2</v>
      </c>
      <c r="HM24" s="19">
        <v>0.1846601350902789</v>
      </c>
      <c r="HN24" s="11" t="s">
        <v>725</v>
      </c>
      <c r="HO24" s="11">
        <v>253</v>
      </c>
      <c r="HP24" s="11">
        <v>18</v>
      </c>
      <c r="HQ24" s="497">
        <v>7.1146245059288543E-2</v>
      </c>
      <c r="HR24" s="497">
        <v>4.547402605907172E-2</v>
      </c>
      <c r="HS24" s="497">
        <v>0.10964679829548934</v>
      </c>
      <c r="HT24" s="8" t="str">
        <f t="shared" si="0"/>
        <v>No Sig diff</v>
      </c>
      <c r="HU24" s="3">
        <v>171</v>
      </c>
      <c r="HV24" s="3">
        <v>34</v>
      </c>
      <c r="HW24" s="19">
        <v>0.19883040935672514</v>
      </c>
      <c r="HX24" s="19">
        <v>0.14591834770221057</v>
      </c>
      <c r="HY24" s="19">
        <v>0.26497652417351536</v>
      </c>
      <c r="HZ24" s="3" t="s">
        <v>725</v>
      </c>
      <c r="IA24" s="3">
        <v>175</v>
      </c>
      <c r="IB24" s="3">
        <v>32</v>
      </c>
      <c r="IC24" s="19">
        <v>0.18285714285714286</v>
      </c>
      <c r="ID24" s="19">
        <v>0.13260870016222265</v>
      </c>
      <c r="IE24" s="19">
        <v>0.24672984509484641</v>
      </c>
      <c r="IF24" s="3" t="s">
        <v>725</v>
      </c>
      <c r="IG24" s="3">
        <v>188</v>
      </c>
      <c r="IH24" s="3">
        <v>36</v>
      </c>
      <c r="II24" s="19">
        <v>0.19148936170212766</v>
      </c>
      <c r="IJ24" s="19">
        <v>0.14164627861962834</v>
      </c>
      <c r="IK24" s="19">
        <v>0.25368776067987386</v>
      </c>
      <c r="IL24" s="3" t="s">
        <v>725</v>
      </c>
      <c r="IM24" s="3">
        <v>173</v>
      </c>
      <c r="IN24" s="3">
        <v>38</v>
      </c>
      <c r="IO24" s="19">
        <v>0.21965317919075145</v>
      </c>
      <c r="IP24" s="19">
        <v>0.16442041037655816</v>
      </c>
      <c r="IQ24" s="19">
        <v>0.28706567978088754</v>
      </c>
      <c r="IR24" s="3" t="s">
        <v>725</v>
      </c>
      <c r="IS24" s="3">
        <v>203</v>
      </c>
      <c r="IT24" s="3">
        <v>46</v>
      </c>
      <c r="IU24" s="19">
        <v>0.22660098522167488</v>
      </c>
      <c r="IV24" s="19">
        <v>0.17440220871427278</v>
      </c>
      <c r="IW24" s="19">
        <v>0.28895489274466046</v>
      </c>
      <c r="IX24" s="580" t="s">
        <v>725</v>
      </c>
      <c r="IY24" s="580">
        <v>211</v>
      </c>
      <c r="IZ24" s="580">
        <v>46</v>
      </c>
      <c r="JA24" s="497">
        <v>0.21800947867298578</v>
      </c>
      <c r="JB24" s="497">
        <v>0.16761059996190267</v>
      </c>
      <c r="JC24" s="497">
        <v>0.27849258397096688</v>
      </c>
      <c r="JD24" s="371" t="str">
        <f t="shared" si="1"/>
        <v>Sig better than Eng.</v>
      </c>
      <c r="JE24" s="3">
        <v>213</v>
      </c>
      <c r="JF24" s="3">
        <v>77</v>
      </c>
      <c r="JG24" s="19">
        <v>0.36150234741784038</v>
      </c>
      <c r="JH24" s="19">
        <v>0.29996303420485582</v>
      </c>
      <c r="JI24" s="19">
        <v>0.42794877601411613</v>
      </c>
      <c r="JJ24" s="3">
        <v>213</v>
      </c>
      <c r="JK24" s="3">
        <v>32</v>
      </c>
      <c r="JL24" s="3">
        <v>42</v>
      </c>
      <c r="JM24" s="383">
        <v>22.095238095238102</v>
      </c>
      <c r="JN24" s="19">
        <v>0.30952380952380931</v>
      </c>
      <c r="JO24" s="3">
        <v>276</v>
      </c>
      <c r="JP24" s="3">
        <v>140</v>
      </c>
      <c r="JQ24" s="19">
        <v>0.50724637681159424</v>
      </c>
      <c r="JR24" s="19">
        <v>0.44857125889871413</v>
      </c>
      <c r="JS24" s="19">
        <v>0.56572254880532213</v>
      </c>
      <c r="JT24" s="3">
        <v>276</v>
      </c>
      <c r="JU24" s="3">
        <v>34</v>
      </c>
      <c r="JV24" s="3">
        <v>55</v>
      </c>
      <c r="JW24" s="383">
        <v>22.472727272727269</v>
      </c>
      <c r="JX24" s="20">
        <v>0.33903743315508034</v>
      </c>
      <c r="JY24" s="44">
        <v>247</v>
      </c>
      <c r="JZ24" s="44">
        <v>160</v>
      </c>
      <c r="KA24" s="20">
        <v>0.64777327935222673</v>
      </c>
      <c r="KB24" s="20">
        <v>0.5863555530334208</v>
      </c>
      <c r="KC24" s="20">
        <v>0.7046649199904651</v>
      </c>
      <c r="KD24" s="438">
        <v>34</v>
      </c>
      <c r="KE24" s="438">
        <v>49</v>
      </c>
      <c r="KF24" s="384">
        <v>24.6</v>
      </c>
      <c r="KG24" s="104">
        <v>0.27500000000000002</v>
      </c>
      <c r="KH24" s="19">
        <v>0.89145702782066427</v>
      </c>
      <c r="KI24" s="19">
        <v>0.1085429721793358</v>
      </c>
      <c r="KJ24" s="19">
        <v>6.5066148885121536E-2</v>
      </c>
      <c r="KK24" s="19">
        <v>0.16697738327579825</v>
      </c>
      <c r="KL24" s="19">
        <v>0.94403778040141684</v>
      </c>
      <c r="KM24" s="19">
        <v>5.5962219598583232E-2</v>
      </c>
      <c r="KN24" s="19">
        <v>2.8820370601525466E-2</v>
      </c>
      <c r="KO24" s="19">
        <v>0.10722860307950929</v>
      </c>
      <c r="KP24" s="19">
        <v>0.88092210819483541</v>
      </c>
      <c r="KQ24" s="19">
        <v>0.1190778918051645</v>
      </c>
      <c r="KR24" s="19">
        <v>7.6104144741722793E-2</v>
      </c>
      <c r="KS24" s="19">
        <v>0.18336640412773555</v>
      </c>
      <c r="KT24" s="19">
        <v>0.72868041049859233</v>
      </c>
      <c r="KU24" s="19">
        <v>0.27131958950140767</v>
      </c>
      <c r="KV24" s="19">
        <v>0.20122466904115702</v>
      </c>
      <c r="KW24" s="104">
        <v>0.34756778676870415</v>
      </c>
      <c r="KX24" s="438">
        <v>16</v>
      </c>
      <c r="KY24" s="438">
        <v>128</v>
      </c>
      <c r="KZ24" s="497">
        <v>0.125</v>
      </c>
      <c r="LA24" s="497">
        <v>7.842644638761663E-2</v>
      </c>
      <c r="LB24" s="497">
        <v>0.19342627081751462</v>
      </c>
      <c r="LC24" s="438">
        <v>13</v>
      </c>
      <c r="LD24" s="438">
        <v>128</v>
      </c>
      <c r="LE24" s="497">
        <v>0.1015625</v>
      </c>
      <c r="LF24" s="497">
        <v>6.0318648726840854E-2</v>
      </c>
      <c r="LG24" s="497">
        <v>0.16602486330361113</v>
      </c>
      <c r="LH24" s="438">
        <v>15</v>
      </c>
      <c r="LI24" s="438">
        <v>127</v>
      </c>
      <c r="LJ24" s="497">
        <v>0.11811023622047244</v>
      </c>
      <c r="LK24" s="497">
        <v>7.2897043882521564E-2</v>
      </c>
      <c r="LL24" s="497">
        <v>0.18574772457019531</v>
      </c>
      <c r="LM24" s="438">
        <v>31</v>
      </c>
      <c r="LN24" s="438">
        <v>122</v>
      </c>
      <c r="LO24" s="497">
        <v>0.25409836065573771</v>
      </c>
      <c r="LP24" s="497">
        <v>0.18517152014351645</v>
      </c>
      <c r="LQ24" s="104">
        <v>0.33803807578550626</v>
      </c>
      <c r="LR24" s="3">
        <v>73</v>
      </c>
      <c r="LS24" s="3">
        <v>71</v>
      </c>
      <c r="LT24" s="3">
        <v>70</v>
      </c>
      <c r="LU24" s="3">
        <v>72</v>
      </c>
      <c r="LV24" s="3">
        <v>71</v>
      </c>
      <c r="LW24" s="3">
        <v>56</v>
      </c>
      <c r="LX24" s="3">
        <v>55</v>
      </c>
      <c r="LY24" s="3">
        <v>53</v>
      </c>
      <c r="LZ24" s="3">
        <v>55</v>
      </c>
      <c r="MA24" s="3">
        <v>54</v>
      </c>
      <c r="MB24" s="3">
        <v>53</v>
      </c>
      <c r="MC24" s="3">
        <v>56</v>
      </c>
      <c r="MD24" s="3">
        <v>56</v>
      </c>
      <c r="ME24" s="3">
        <v>66</v>
      </c>
      <c r="MF24" s="3">
        <v>64</v>
      </c>
      <c r="MG24" s="3">
        <v>60</v>
      </c>
      <c r="MH24" s="3">
        <v>64</v>
      </c>
      <c r="MI24" s="3">
        <v>59</v>
      </c>
      <c r="MJ24" s="3">
        <v>61</v>
      </c>
      <c r="MK24" s="3">
        <v>64</v>
      </c>
      <c r="ML24" s="3">
        <v>65</v>
      </c>
      <c r="MM24" s="3">
        <v>63</v>
      </c>
      <c r="MN24" s="8">
        <v>60</v>
      </c>
      <c r="MO24" s="3">
        <v>383</v>
      </c>
      <c r="MP24" s="24">
        <v>0.95599999999999996</v>
      </c>
      <c r="MQ24" s="24">
        <v>0.01</v>
      </c>
      <c r="MR24" s="24">
        <v>0.96099999999999997</v>
      </c>
      <c r="MS24" s="3">
        <v>366</v>
      </c>
      <c r="MT24" s="3">
        <v>4</v>
      </c>
      <c r="MU24" s="3">
        <v>368</v>
      </c>
      <c r="MV24" s="3">
        <v>368</v>
      </c>
      <c r="MW24" s="24">
        <v>0.96699999999999997</v>
      </c>
      <c r="MX24" s="24">
        <v>0.94599999999999995</v>
      </c>
      <c r="MY24" s="24">
        <v>0.95899999999999996</v>
      </c>
      <c r="MZ24" s="24">
        <v>0.96499999999999997</v>
      </c>
      <c r="NA24" s="24">
        <v>0.95699999999999996</v>
      </c>
      <c r="NB24" s="3">
        <v>356</v>
      </c>
      <c r="NC24" s="3">
        <v>348</v>
      </c>
      <c r="ND24" s="3">
        <v>353</v>
      </c>
      <c r="NE24" s="3">
        <v>355</v>
      </c>
      <c r="NF24" s="3">
        <v>352</v>
      </c>
      <c r="NG24" s="3">
        <v>409</v>
      </c>
      <c r="NH24" s="24">
        <v>0.96299999999999997</v>
      </c>
      <c r="NI24" s="24">
        <v>0.92400000000000004</v>
      </c>
      <c r="NJ24" s="24">
        <v>0.96299999999999997</v>
      </c>
      <c r="NK24" s="24">
        <v>0.95799999999999996</v>
      </c>
      <c r="NL24" s="24">
        <v>0.95099999999999996</v>
      </c>
      <c r="NM24" s="24">
        <v>0.89200000000000002</v>
      </c>
      <c r="NN24" s="24">
        <v>0.94099999999999995</v>
      </c>
      <c r="NO24" s="24">
        <v>0.91200000000000003</v>
      </c>
      <c r="NP24" s="24">
        <v>0.95399999999999996</v>
      </c>
      <c r="NQ24" s="24">
        <v>0.92200000000000004</v>
      </c>
      <c r="NR24" s="3">
        <v>394</v>
      </c>
      <c r="NS24" s="3">
        <v>378</v>
      </c>
      <c r="NT24" s="3">
        <v>394</v>
      </c>
      <c r="NU24" s="3">
        <v>392</v>
      </c>
      <c r="NV24" s="3">
        <v>389</v>
      </c>
      <c r="NW24" s="3">
        <v>365</v>
      </c>
      <c r="NX24" s="3">
        <v>385</v>
      </c>
      <c r="NY24" s="3">
        <v>373</v>
      </c>
      <c r="NZ24" s="3">
        <v>390</v>
      </c>
      <c r="OA24" s="8">
        <v>377</v>
      </c>
    </row>
    <row r="25" spans="1:391" s="3" customFormat="1" ht="12.75" x14ac:dyDescent="0.2">
      <c r="A25" s="11" t="s">
        <v>51</v>
      </c>
      <c r="B25" s="8">
        <v>20</v>
      </c>
      <c r="C25" s="11" t="s">
        <v>197</v>
      </c>
      <c r="D25" s="11" t="s">
        <v>198</v>
      </c>
      <c r="E25" s="11" t="s">
        <v>287</v>
      </c>
      <c r="F25" s="11" t="s">
        <v>287</v>
      </c>
      <c r="G25" s="11" t="s">
        <v>199</v>
      </c>
      <c r="H25" s="11" t="s">
        <v>79</v>
      </c>
      <c r="I25" s="11" t="s">
        <v>79</v>
      </c>
      <c r="J25" s="11" t="s">
        <v>270</v>
      </c>
      <c r="K25" s="11" t="s">
        <v>379</v>
      </c>
      <c r="L25" s="11" t="s">
        <v>273</v>
      </c>
      <c r="M25" s="11" t="s">
        <v>345</v>
      </c>
      <c r="N25" s="3" t="s">
        <v>79</v>
      </c>
      <c r="O25" s="11">
        <v>527182</v>
      </c>
      <c r="P25" s="11">
        <v>137360</v>
      </c>
      <c r="Q25" s="128">
        <v>22206</v>
      </c>
      <c r="R25" s="128">
        <v>80266</v>
      </c>
      <c r="S25" s="400" t="s">
        <v>817</v>
      </c>
      <c r="T25" s="38">
        <v>14925</v>
      </c>
      <c r="U25" s="39">
        <v>15190</v>
      </c>
      <c r="V25" s="39">
        <v>15405</v>
      </c>
      <c r="W25" s="39">
        <v>15880</v>
      </c>
      <c r="X25" s="39">
        <v>16250</v>
      </c>
      <c r="Y25" s="39">
        <v>17140</v>
      </c>
      <c r="Z25" s="39">
        <v>17785</v>
      </c>
      <c r="AA25" s="39">
        <v>18270</v>
      </c>
      <c r="AB25" s="39">
        <v>18550</v>
      </c>
      <c r="AC25" s="44">
        <v>18794</v>
      </c>
      <c r="AD25" s="38">
        <v>810</v>
      </c>
      <c r="AE25" s="39">
        <v>830</v>
      </c>
      <c r="AF25" s="39">
        <v>825</v>
      </c>
      <c r="AG25" s="39">
        <v>895</v>
      </c>
      <c r="AH25" s="39">
        <v>980</v>
      </c>
      <c r="AI25" s="39">
        <v>1180</v>
      </c>
      <c r="AJ25" s="39">
        <v>1340</v>
      </c>
      <c r="AK25" s="39">
        <v>1425</v>
      </c>
      <c r="AL25" s="39">
        <v>1455</v>
      </c>
      <c r="AM25" s="44">
        <v>1484</v>
      </c>
      <c r="AN25" s="15">
        <v>1320</v>
      </c>
      <c r="AO25" s="3">
        <v>679</v>
      </c>
      <c r="AP25" s="3">
        <v>105</v>
      </c>
      <c r="AQ25" s="3">
        <v>117</v>
      </c>
      <c r="AR25" s="3">
        <v>346</v>
      </c>
      <c r="AS25" s="3">
        <v>43</v>
      </c>
      <c r="AT25" s="3">
        <v>30</v>
      </c>
      <c r="AU25" s="11">
        <v>641</v>
      </c>
      <c r="AV25" s="18">
        <v>0.5143939393939394</v>
      </c>
      <c r="AW25" s="19">
        <v>7.9545454545454544E-2</v>
      </c>
      <c r="AX25" s="19">
        <v>8.8636363636363638E-2</v>
      </c>
      <c r="AY25" s="19">
        <v>0.26212121212121214</v>
      </c>
      <c r="AZ25" s="19">
        <v>3.2575757575757577E-2</v>
      </c>
      <c r="BA25" s="19">
        <v>2.2727272727272728E-2</v>
      </c>
      <c r="BB25" s="20">
        <v>0.4856060606060606</v>
      </c>
      <c r="BC25" s="15">
        <v>2322</v>
      </c>
      <c r="BD25" s="3">
        <v>2018</v>
      </c>
      <c r="BE25" s="3">
        <v>304</v>
      </c>
      <c r="BF25" s="3">
        <v>255</v>
      </c>
      <c r="BG25" s="3">
        <v>49</v>
      </c>
      <c r="BH25" s="19">
        <v>0.83881578947368418</v>
      </c>
      <c r="BI25" s="20">
        <v>0.16118421052631579</v>
      </c>
      <c r="BJ25" s="15">
        <v>2204</v>
      </c>
      <c r="BK25" s="19">
        <v>0.37431941923774953</v>
      </c>
      <c r="BL25" s="19">
        <v>0.37749546279491836</v>
      </c>
      <c r="BM25" s="20">
        <v>0.24818511796733211</v>
      </c>
      <c r="BN25" s="38">
        <v>4796</v>
      </c>
      <c r="BO25" s="39">
        <v>514</v>
      </c>
      <c r="BP25" s="39">
        <v>330</v>
      </c>
      <c r="BQ25" s="39">
        <v>171</v>
      </c>
      <c r="BR25" s="39">
        <v>3595</v>
      </c>
      <c r="BS25" s="39">
        <v>2102</v>
      </c>
      <c r="BT25" s="20">
        <v>0.14319695528068507</v>
      </c>
      <c r="BU25" s="38">
        <v>1072</v>
      </c>
      <c r="BV25" s="39">
        <v>2</v>
      </c>
      <c r="BW25" s="39">
        <v>278</v>
      </c>
      <c r="BX25" s="39">
        <v>510</v>
      </c>
      <c r="BY25" s="39">
        <v>253</v>
      </c>
      <c r="BZ25" s="40">
        <v>2115</v>
      </c>
      <c r="CA25" s="39">
        <v>1030</v>
      </c>
      <c r="CB25" s="39">
        <v>797</v>
      </c>
      <c r="CC25" s="39">
        <v>227</v>
      </c>
      <c r="CD25" s="39">
        <v>233</v>
      </c>
      <c r="CE25" s="19">
        <v>0.2203883495145631</v>
      </c>
      <c r="CF25" s="104">
        <v>0.22621359223300971</v>
      </c>
      <c r="CG25" s="39">
        <v>195</v>
      </c>
      <c r="CH25" s="39">
        <v>170</v>
      </c>
      <c r="CI25" s="39">
        <v>155</v>
      </c>
      <c r="CJ25" s="39">
        <v>145</v>
      </c>
      <c r="CK25" s="44">
        <v>140</v>
      </c>
      <c r="CL25" s="38">
        <v>507</v>
      </c>
      <c r="CM25" s="39">
        <v>211</v>
      </c>
      <c r="CN25" s="19">
        <v>0.41617357001972388</v>
      </c>
      <c r="CO25" s="40">
        <v>30</v>
      </c>
      <c r="CP25" s="39">
        <v>207</v>
      </c>
      <c r="CQ25" s="39">
        <v>314</v>
      </c>
      <c r="CR25" s="39">
        <v>314</v>
      </c>
      <c r="CS25" s="39">
        <v>298</v>
      </c>
      <c r="CT25" s="39">
        <v>307</v>
      </c>
      <c r="CU25" s="124" t="s">
        <v>474</v>
      </c>
      <c r="CV25" s="39">
        <v>8</v>
      </c>
      <c r="CW25" s="39">
        <v>13</v>
      </c>
      <c r="CX25" s="39">
        <v>16</v>
      </c>
      <c r="CY25" s="39">
        <v>7</v>
      </c>
      <c r="CZ25" s="39">
        <v>9</v>
      </c>
      <c r="DA25" s="120" t="s">
        <v>474</v>
      </c>
      <c r="DB25" s="15">
        <v>20</v>
      </c>
      <c r="DC25" s="15">
        <v>21</v>
      </c>
      <c r="DD25" s="19">
        <v>6.8403908794788276E-2</v>
      </c>
      <c r="DE25" s="19">
        <v>4.517237630442774E-2</v>
      </c>
      <c r="DF25" s="20">
        <v>0.1023029926332059</v>
      </c>
      <c r="DG25" s="15">
        <v>29</v>
      </c>
      <c r="DH25" s="20">
        <v>2.2137404580152672E-2</v>
      </c>
      <c r="DI25" s="423">
        <v>3</v>
      </c>
      <c r="DJ25" s="428">
        <v>3</v>
      </c>
      <c r="DK25" s="3">
        <v>422</v>
      </c>
      <c r="DL25" s="20">
        <v>5.5687516495117446E-2</v>
      </c>
      <c r="DM25" s="15">
        <v>290</v>
      </c>
      <c r="DN25" s="3">
        <v>295</v>
      </c>
      <c r="DO25" s="3">
        <v>235</v>
      </c>
      <c r="DP25" s="3">
        <v>210</v>
      </c>
      <c r="DQ25" s="11">
        <v>210</v>
      </c>
      <c r="DR25" s="15">
        <v>200</v>
      </c>
      <c r="DS25" s="19">
        <v>0.23668639053254437</v>
      </c>
      <c r="DT25" s="19">
        <v>0.20925933452290713</v>
      </c>
      <c r="DU25" s="19">
        <v>0.26649671464763647</v>
      </c>
      <c r="DV25" s="3">
        <v>230</v>
      </c>
      <c r="DW25" s="19">
        <v>0.24864864864864866</v>
      </c>
      <c r="DX25" s="19">
        <v>0.22187213149084864</v>
      </c>
      <c r="DY25" s="19">
        <v>0.27750422000148417</v>
      </c>
      <c r="DZ25" s="3">
        <v>280</v>
      </c>
      <c r="EA25" s="19">
        <v>0.25454545454545452</v>
      </c>
      <c r="EB25" s="19">
        <v>0.22968813348312137</v>
      </c>
      <c r="EC25" s="19">
        <v>0.28111117951159326</v>
      </c>
      <c r="ED25" s="3">
        <v>280</v>
      </c>
      <c r="EE25" s="19">
        <v>0.22222222222222221</v>
      </c>
      <c r="EF25" s="19">
        <v>0.20013052670499473</v>
      </c>
      <c r="EG25" s="19">
        <v>0.24600253443609291</v>
      </c>
      <c r="EH25" s="3">
        <v>225</v>
      </c>
      <c r="EI25" s="20">
        <v>0.1744186046511628</v>
      </c>
      <c r="EJ25" s="20">
        <v>0.15468585504133678</v>
      </c>
      <c r="EK25" s="20">
        <v>0.19608467849401609</v>
      </c>
      <c r="EL25" s="438">
        <v>225</v>
      </c>
      <c r="EM25" s="20">
        <v>0.16791044776119404</v>
      </c>
      <c r="EN25" s="20">
        <v>0.14885249832756262</v>
      </c>
      <c r="EO25" s="104">
        <v>0.18886699666328904</v>
      </c>
      <c r="EP25" s="38">
        <v>535</v>
      </c>
      <c r="EQ25" s="20">
        <v>0.20537428023032631</v>
      </c>
      <c r="ER25" s="44">
        <v>580</v>
      </c>
      <c r="ES25" s="20">
        <v>0.21129326047358835</v>
      </c>
      <c r="ET25" s="44">
        <v>635</v>
      </c>
      <c r="EU25" s="20">
        <v>0.21783876500857632</v>
      </c>
      <c r="EV25" s="44">
        <v>610</v>
      </c>
      <c r="EW25" s="20">
        <v>0.19395866454689983</v>
      </c>
      <c r="EX25" s="44">
        <v>555</v>
      </c>
      <c r="EY25" s="20">
        <v>0.17182662538699692</v>
      </c>
      <c r="EZ25" s="44">
        <v>525</v>
      </c>
      <c r="FA25" s="104">
        <v>0.15625</v>
      </c>
      <c r="FB25" s="3">
        <v>258</v>
      </c>
      <c r="FC25" s="3">
        <v>8</v>
      </c>
      <c r="FD25" s="3">
        <v>250</v>
      </c>
      <c r="FE25" s="19">
        <v>0.96899224806201545</v>
      </c>
      <c r="FF25" s="3">
        <v>108</v>
      </c>
      <c r="FG25" s="3">
        <v>155</v>
      </c>
      <c r="FH25" s="19">
        <v>0.432</v>
      </c>
      <c r="FI25" s="19">
        <v>0.62</v>
      </c>
      <c r="FJ25" s="19">
        <v>0.37208205941359102</v>
      </c>
      <c r="FK25" s="19">
        <v>0.49397614381235777</v>
      </c>
      <c r="FL25" s="19">
        <v>0.55844423217073813</v>
      </c>
      <c r="FM25" s="104">
        <v>0.67792364448935216</v>
      </c>
      <c r="FN25" s="438">
        <v>284</v>
      </c>
      <c r="FO25" s="438">
        <v>115</v>
      </c>
      <c r="FP25" s="438">
        <v>63</v>
      </c>
      <c r="FQ25" s="438">
        <v>178</v>
      </c>
      <c r="FR25" s="497">
        <v>0.40492957746478875</v>
      </c>
      <c r="FS25" s="497">
        <v>0.62676056338028174</v>
      </c>
      <c r="FT25" s="497">
        <v>0.34947603792560156</v>
      </c>
      <c r="FU25" s="497">
        <v>0.46292068830959177</v>
      </c>
      <c r="FV25" s="497">
        <v>0.56916844132762412</v>
      </c>
      <c r="FW25" s="104">
        <v>0.68096925702545141</v>
      </c>
      <c r="FX25" s="438">
        <v>125</v>
      </c>
      <c r="FY25" s="438">
        <v>1</v>
      </c>
      <c r="FZ25" s="438">
        <v>124</v>
      </c>
      <c r="GA25" s="497">
        <v>0.99199999999999999</v>
      </c>
      <c r="GB25" s="438">
        <v>48</v>
      </c>
      <c r="GC25" s="438">
        <v>31</v>
      </c>
      <c r="GD25" s="438">
        <v>79</v>
      </c>
      <c r="GE25" s="497">
        <v>0.38709677419354838</v>
      </c>
      <c r="GF25" s="497">
        <v>0.63709677419354838</v>
      </c>
      <c r="GG25" s="497">
        <v>0.30598711359063119</v>
      </c>
      <c r="GH25" s="497">
        <v>0.47499160600242507</v>
      </c>
      <c r="GI25" s="497">
        <v>0.54952455374535258</v>
      </c>
      <c r="GJ25" s="104">
        <v>0.71642985817736482</v>
      </c>
      <c r="GK25" s="3">
        <v>129</v>
      </c>
      <c r="GL25" s="3">
        <v>15</v>
      </c>
      <c r="GM25" s="19">
        <v>0.11627906976744186</v>
      </c>
      <c r="GN25" s="19">
        <v>7.1745771694535582E-2</v>
      </c>
      <c r="GO25" s="19">
        <v>0.18300495990027799</v>
      </c>
      <c r="GP25" s="353" t="s">
        <v>725</v>
      </c>
      <c r="GQ25" s="3">
        <v>154</v>
      </c>
      <c r="GR25" s="3">
        <v>16</v>
      </c>
      <c r="GS25" s="19">
        <v>0.1038961038961039</v>
      </c>
      <c r="GT25" s="19">
        <v>6.4968878575839786E-2</v>
      </c>
      <c r="GU25" s="19">
        <v>0.1621036477963953</v>
      </c>
      <c r="GV25" s="3" t="s">
        <v>725</v>
      </c>
      <c r="GW25" s="3">
        <v>132</v>
      </c>
      <c r="GX25" s="3">
        <v>8</v>
      </c>
      <c r="GY25" s="19">
        <v>6.0606060606060608E-2</v>
      </c>
      <c r="GZ25" s="19">
        <v>3.1026884470063115E-2</v>
      </c>
      <c r="HA25" s="19">
        <v>0.11503646756507763</v>
      </c>
      <c r="HB25" s="3" t="s">
        <v>725</v>
      </c>
      <c r="HC25" s="3">
        <v>183</v>
      </c>
      <c r="HD25" s="3">
        <v>14</v>
      </c>
      <c r="HE25" s="19">
        <v>7.650273224043716E-2</v>
      </c>
      <c r="HF25" s="19">
        <v>4.6115353092286537E-2</v>
      </c>
      <c r="HG25" s="19">
        <v>0.12430431190964095</v>
      </c>
      <c r="HH25" s="3" t="s">
        <v>725</v>
      </c>
      <c r="HI25" s="3">
        <v>120</v>
      </c>
      <c r="HJ25" s="3">
        <v>12</v>
      </c>
      <c r="HK25" s="19">
        <v>0.1</v>
      </c>
      <c r="HL25" s="19">
        <v>5.8133592026010775E-2</v>
      </c>
      <c r="HM25" s="19">
        <v>0.16668174110895198</v>
      </c>
      <c r="HN25" s="11" t="s">
        <v>725</v>
      </c>
      <c r="HO25" s="11">
        <v>236</v>
      </c>
      <c r="HP25" s="11">
        <v>9</v>
      </c>
      <c r="HQ25" s="497">
        <v>3.8135593220338986E-2</v>
      </c>
      <c r="HR25" s="497">
        <v>2.0190766857484808E-2</v>
      </c>
      <c r="HS25" s="497">
        <v>7.0875468847088813E-2</v>
      </c>
      <c r="HT25" s="8" t="str">
        <f t="shared" si="0"/>
        <v>Sig better than Eng.</v>
      </c>
      <c r="HU25" s="3">
        <v>114</v>
      </c>
      <c r="HV25" s="3">
        <v>23</v>
      </c>
      <c r="HW25" s="19">
        <v>0.20175438596491227</v>
      </c>
      <c r="HX25" s="19">
        <v>0.13837064215120354</v>
      </c>
      <c r="HY25" s="19">
        <v>0.28458286945231603</v>
      </c>
      <c r="HZ25" s="3" t="s">
        <v>725</v>
      </c>
      <c r="IA25" s="3">
        <v>119</v>
      </c>
      <c r="IB25" s="3">
        <v>17</v>
      </c>
      <c r="IC25" s="19">
        <v>0.14285714285714285</v>
      </c>
      <c r="ID25" s="19">
        <v>9.1145398332360461E-2</v>
      </c>
      <c r="IE25" s="19">
        <v>0.21690580184045349</v>
      </c>
      <c r="IF25" s="3" t="s">
        <v>725</v>
      </c>
      <c r="IG25" s="3">
        <v>158</v>
      </c>
      <c r="IH25" s="3">
        <v>28</v>
      </c>
      <c r="II25" s="19">
        <v>0.17721518987341772</v>
      </c>
      <c r="IJ25" s="19">
        <v>0.12555026627158597</v>
      </c>
      <c r="IK25" s="19">
        <v>0.24420331390957831</v>
      </c>
      <c r="IL25" s="3" t="s">
        <v>725</v>
      </c>
      <c r="IM25" s="3">
        <v>146</v>
      </c>
      <c r="IN25" s="3">
        <v>35</v>
      </c>
      <c r="IO25" s="19">
        <v>0.23972602739726026</v>
      </c>
      <c r="IP25" s="19">
        <v>0.17771801912998342</v>
      </c>
      <c r="IQ25" s="19">
        <v>0.31507923072231259</v>
      </c>
      <c r="IR25" s="3" t="s">
        <v>725</v>
      </c>
      <c r="IS25" s="3">
        <v>165</v>
      </c>
      <c r="IT25" s="3">
        <v>33</v>
      </c>
      <c r="IU25" s="19">
        <v>0.2</v>
      </c>
      <c r="IV25" s="19">
        <v>0.14610581621633328</v>
      </c>
      <c r="IW25" s="19">
        <v>0.26754530542473359</v>
      </c>
      <c r="IX25" s="580" t="s">
        <v>725</v>
      </c>
      <c r="IY25" s="580">
        <v>172</v>
      </c>
      <c r="IZ25" s="580">
        <v>35</v>
      </c>
      <c r="JA25" s="497">
        <v>0.20348837209302326</v>
      </c>
      <c r="JB25" s="497">
        <v>0.15010949449807984</v>
      </c>
      <c r="JC25" s="497">
        <v>0.26982252446901944</v>
      </c>
      <c r="JD25" s="371" t="str">
        <f t="shared" si="1"/>
        <v>Sig better than Eng.</v>
      </c>
      <c r="JE25" s="3">
        <v>230</v>
      </c>
      <c r="JF25" s="3">
        <v>112</v>
      </c>
      <c r="JG25" s="19">
        <v>0.48695652173913045</v>
      </c>
      <c r="JH25" s="19">
        <v>0.42310710602431456</v>
      </c>
      <c r="JI25" s="19">
        <v>0.55123448408438924</v>
      </c>
      <c r="JJ25" s="3">
        <v>230</v>
      </c>
      <c r="JK25" s="3">
        <v>34</v>
      </c>
      <c r="JL25" s="3">
        <v>46</v>
      </c>
      <c r="JM25" s="383">
        <v>21.304347826086961</v>
      </c>
      <c r="JN25" s="19">
        <v>0.3734015345268541</v>
      </c>
      <c r="JO25" s="3">
        <v>236</v>
      </c>
      <c r="JP25" s="3">
        <v>118</v>
      </c>
      <c r="JQ25" s="19">
        <v>0.5</v>
      </c>
      <c r="JR25" s="19">
        <v>0.43672153044647821</v>
      </c>
      <c r="JS25" s="19">
        <v>0.56327846955352179</v>
      </c>
      <c r="JT25" s="3">
        <v>236</v>
      </c>
      <c r="JU25" s="3">
        <v>34</v>
      </c>
      <c r="JV25" s="3">
        <v>47</v>
      </c>
      <c r="JW25" s="383">
        <v>20.936170212765962</v>
      </c>
      <c r="JX25" s="20">
        <v>0.38423028785982466</v>
      </c>
      <c r="JY25" s="44">
        <v>260</v>
      </c>
      <c r="JZ25" s="44">
        <v>153</v>
      </c>
      <c r="KA25" s="20">
        <v>0.58846153846153848</v>
      </c>
      <c r="KB25" s="20">
        <v>0.52777950947191454</v>
      </c>
      <c r="KC25" s="20">
        <v>0.64656761628159143</v>
      </c>
      <c r="KD25" s="438">
        <v>34</v>
      </c>
      <c r="KE25" s="438">
        <v>52</v>
      </c>
      <c r="KF25" s="384">
        <v>24.6</v>
      </c>
      <c r="KG25" s="104">
        <v>0.27500000000000002</v>
      </c>
      <c r="KH25" s="19">
        <v>0.82305193716958425</v>
      </c>
      <c r="KI25" s="19">
        <v>9.3614729497082438E-2</v>
      </c>
      <c r="KJ25" s="19">
        <v>5.5187336060682587E-2</v>
      </c>
      <c r="KK25" s="19">
        <v>0.14290024916446165</v>
      </c>
      <c r="KL25" s="19">
        <v>0.83183684507213929</v>
      </c>
      <c r="KM25" s="19">
        <v>8.4829821594527469E-2</v>
      </c>
      <c r="KN25" s="19">
        <v>4.6054075596845066E-2</v>
      </c>
      <c r="KO25" s="19">
        <v>0.12862000846698951</v>
      </c>
      <c r="KP25" s="19">
        <v>0.81074801560095677</v>
      </c>
      <c r="KQ25" s="19">
        <v>0.1059186510657099</v>
      </c>
      <c r="KR25" s="19">
        <v>6.927290603446952E-2</v>
      </c>
      <c r="KS25" s="19">
        <v>0.16393493093263919</v>
      </c>
      <c r="KT25" s="19">
        <v>0.66120358807858803</v>
      </c>
      <c r="KU25" s="19">
        <v>0.25546307858807854</v>
      </c>
      <c r="KV25" s="19">
        <v>0.19418660232856491</v>
      </c>
      <c r="KW25" s="104">
        <v>0.3260738074282723</v>
      </c>
      <c r="KX25" s="438">
        <v>15</v>
      </c>
      <c r="KY25" s="438">
        <v>153</v>
      </c>
      <c r="KZ25" s="497">
        <v>9.8039215686274508E-2</v>
      </c>
      <c r="LA25" s="497">
        <v>6.0315942800075413E-2</v>
      </c>
      <c r="LB25" s="497">
        <v>0.15545263698202605</v>
      </c>
      <c r="LC25" s="438">
        <v>9</v>
      </c>
      <c r="LD25" s="438">
        <v>153</v>
      </c>
      <c r="LE25" s="497">
        <v>5.8823529411764705E-2</v>
      </c>
      <c r="LF25" s="497">
        <v>3.1252630211971909E-2</v>
      </c>
      <c r="LG25" s="497">
        <v>0.10800556710984675</v>
      </c>
      <c r="LH25" s="438">
        <v>12</v>
      </c>
      <c r="LI25" s="438">
        <v>152</v>
      </c>
      <c r="LJ25" s="497">
        <v>7.8947368421052627E-2</v>
      </c>
      <c r="LK25" s="497">
        <v>4.5735835972808198E-2</v>
      </c>
      <c r="LL25" s="497">
        <v>0.13291661653488782</v>
      </c>
      <c r="LM25" s="438">
        <v>30</v>
      </c>
      <c r="LN25" s="438">
        <v>147</v>
      </c>
      <c r="LO25" s="497">
        <v>0.20408163265306123</v>
      </c>
      <c r="LP25" s="497">
        <v>0.14686101058220166</v>
      </c>
      <c r="LQ25" s="104">
        <v>0.27637447997734488</v>
      </c>
      <c r="LR25" s="3">
        <v>67</v>
      </c>
      <c r="LS25" s="3">
        <v>59</v>
      </c>
      <c r="LT25" s="3">
        <v>60</v>
      </c>
      <c r="LU25" s="3">
        <v>65</v>
      </c>
      <c r="LV25" s="3">
        <v>62</v>
      </c>
      <c r="LW25" s="3">
        <v>76</v>
      </c>
      <c r="LX25" s="3">
        <v>72</v>
      </c>
      <c r="LY25" s="3">
        <v>69</v>
      </c>
      <c r="LZ25" s="3">
        <v>72</v>
      </c>
      <c r="MA25" s="3">
        <v>70</v>
      </c>
      <c r="MB25" s="3">
        <v>73</v>
      </c>
      <c r="MC25" s="3">
        <v>73</v>
      </c>
      <c r="MD25" s="3">
        <v>74</v>
      </c>
      <c r="ME25" s="3">
        <v>63</v>
      </c>
      <c r="MF25" s="3">
        <v>60</v>
      </c>
      <c r="MG25" s="3">
        <v>55</v>
      </c>
      <c r="MH25" s="3">
        <v>56</v>
      </c>
      <c r="MI25" s="3">
        <v>56</v>
      </c>
      <c r="MJ25" s="3">
        <v>59</v>
      </c>
      <c r="MK25" s="3">
        <v>57</v>
      </c>
      <c r="ML25" s="3">
        <v>60</v>
      </c>
      <c r="MM25" s="3">
        <v>59</v>
      </c>
      <c r="MN25" s="8">
        <v>57</v>
      </c>
      <c r="MO25" s="3">
        <v>130</v>
      </c>
      <c r="MP25" s="24">
        <v>0.99199999999999999</v>
      </c>
      <c r="MQ25" s="24">
        <v>0</v>
      </c>
      <c r="MR25" s="24">
        <v>0.98499999999999999</v>
      </c>
      <c r="MS25" s="3">
        <v>129</v>
      </c>
      <c r="MT25" s="3">
        <v>0</v>
      </c>
      <c r="MU25" s="3">
        <v>128</v>
      </c>
      <c r="MV25" s="3">
        <v>116</v>
      </c>
      <c r="MW25" s="24">
        <v>0.99099999999999999</v>
      </c>
      <c r="MX25" s="24">
        <v>0.98299999999999998</v>
      </c>
      <c r="MY25" s="24">
        <v>0.97399999999999998</v>
      </c>
      <c r="MZ25" s="24">
        <v>0.99099999999999999</v>
      </c>
      <c r="NA25" s="24">
        <v>0.98299999999999998</v>
      </c>
      <c r="NB25" s="3">
        <v>115</v>
      </c>
      <c r="NC25" s="3">
        <v>114</v>
      </c>
      <c r="ND25" s="3">
        <v>113</v>
      </c>
      <c r="NE25" s="3">
        <v>115</v>
      </c>
      <c r="NF25" s="3">
        <v>114</v>
      </c>
      <c r="NG25" s="3">
        <v>137</v>
      </c>
      <c r="NH25" s="24">
        <v>0.98499999999999999</v>
      </c>
      <c r="NI25" s="24">
        <v>0.94199999999999995</v>
      </c>
      <c r="NJ25" s="24">
        <v>0.98499999999999999</v>
      </c>
      <c r="NK25" s="24">
        <v>0.97799999999999998</v>
      </c>
      <c r="NL25" s="24">
        <v>0.96399999999999997</v>
      </c>
      <c r="NM25" s="24">
        <v>0.92700000000000005</v>
      </c>
      <c r="NN25" s="24">
        <v>0.97799999999999998</v>
      </c>
      <c r="NO25" s="24">
        <v>0.94199999999999995</v>
      </c>
      <c r="NP25" s="24">
        <v>0.97099999999999997</v>
      </c>
      <c r="NQ25" s="24">
        <v>0.97099999999999997</v>
      </c>
      <c r="NR25" s="3">
        <v>135</v>
      </c>
      <c r="NS25" s="3">
        <v>129</v>
      </c>
      <c r="NT25" s="3">
        <v>135</v>
      </c>
      <c r="NU25" s="3">
        <v>134</v>
      </c>
      <c r="NV25" s="3">
        <v>132</v>
      </c>
      <c r="NW25" s="3">
        <v>127</v>
      </c>
      <c r="NX25" s="3">
        <v>134</v>
      </c>
      <c r="NY25" s="3">
        <v>129</v>
      </c>
      <c r="NZ25" s="3">
        <v>133</v>
      </c>
      <c r="OA25" s="8">
        <v>133</v>
      </c>
    </row>
    <row r="26" spans="1:391" s="3" customFormat="1" ht="12.75" x14ac:dyDescent="0.2">
      <c r="A26" s="11" t="s">
        <v>52</v>
      </c>
      <c r="B26" s="8">
        <v>21</v>
      </c>
      <c r="C26" s="11" t="s">
        <v>200</v>
      </c>
      <c r="D26" s="11" t="s">
        <v>201</v>
      </c>
      <c r="E26" s="11" t="s">
        <v>894</v>
      </c>
      <c r="F26" s="11" t="s">
        <v>899</v>
      </c>
      <c r="G26" s="11" t="s">
        <v>202</v>
      </c>
      <c r="H26" s="11" t="s">
        <v>79</v>
      </c>
      <c r="I26" s="11" t="s">
        <v>79</v>
      </c>
      <c r="J26" s="11" t="s">
        <v>270</v>
      </c>
      <c r="K26" s="11" t="s">
        <v>380</v>
      </c>
      <c r="L26" s="11" t="s">
        <v>273</v>
      </c>
      <c r="M26" s="11" t="s">
        <v>346</v>
      </c>
      <c r="N26" s="3" t="s">
        <v>79</v>
      </c>
      <c r="O26" s="11">
        <v>529498</v>
      </c>
      <c r="P26" s="11">
        <v>135882</v>
      </c>
      <c r="Q26" s="128">
        <v>22412</v>
      </c>
      <c r="R26" s="128">
        <v>80266</v>
      </c>
      <c r="S26" s="400" t="s">
        <v>817</v>
      </c>
      <c r="T26" s="38">
        <v>22820</v>
      </c>
      <c r="U26" s="39">
        <v>22870</v>
      </c>
      <c r="V26" s="39">
        <v>23175</v>
      </c>
      <c r="W26" s="39">
        <v>23725</v>
      </c>
      <c r="X26" s="39">
        <v>24090</v>
      </c>
      <c r="Y26" s="39">
        <v>24460</v>
      </c>
      <c r="Z26" s="39">
        <v>24445</v>
      </c>
      <c r="AA26" s="39">
        <v>24605</v>
      </c>
      <c r="AB26" s="39">
        <v>24745</v>
      </c>
      <c r="AC26" s="44">
        <v>24718</v>
      </c>
      <c r="AD26" s="38">
        <v>1550</v>
      </c>
      <c r="AE26" s="39">
        <v>1525</v>
      </c>
      <c r="AF26" s="39">
        <v>1580</v>
      </c>
      <c r="AG26" s="39">
        <v>1705</v>
      </c>
      <c r="AH26" s="39">
        <v>1710</v>
      </c>
      <c r="AI26" s="39">
        <v>1820</v>
      </c>
      <c r="AJ26" s="39">
        <v>1840</v>
      </c>
      <c r="AK26" s="39">
        <v>1825</v>
      </c>
      <c r="AL26" s="39">
        <v>1825</v>
      </c>
      <c r="AM26" s="44">
        <v>1840</v>
      </c>
      <c r="AN26" s="15">
        <v>1827</v>
      </c>
      <c r="AO26" s="3">
        <v>1360</v>
      </c>
      <c r="AP26" s="3">
        <v>80</v>
      </c>
      <c r="AQ26" s="3">
        <v>124</v>
      </c>
      <c r="AR26" s="3">
        <v>192</v>
      </c>
      <c r="AS26" s="3">
        <v>58</v>
      </c>
      <c r="AT26" s="3">
        <v>13</v>
      </c>
      <c r="AU26" s="11">
        <v>467</v>
      </c>
      <c r="AV26" s="18">
        <v>0.7443897099069513</v>
      </c>
      <c r="AW26" s="19">
        <v>4.3787629994526546E-2</v>
      </c>
      <c r="AX26" s="19">
        <v>6.7870826491516142E-2</v>
      </c>
      <c r="AY26" s="19">
        <v>0.10509031198686371</v>
      </c>
      <c r="AZ26" s="19">
        <v>3.1746031746031744E-2</v>
      </c>
      <c r="BA26" s="19">
        <v>7.1154898741105635E-3</v>
      </c>
      <c r="BB26" s="20">
        <v>0.2556102900930487</v>
      </c>
      <c r="BC26" s="15">
        <v>4161</v>
      </c>
      <c r="BD26" s="3">
        <v>3991</v>
      </c>
      <c r="BE26" s="3">
        <v>170</v>
      </c>
      <c r="BF26" s="3">
        <v>147</v>
      </c>
      <c r="BG26" s="3">
        <v>23</v>
      </c>
      <c r="BH26" s="19">
        <v>0.86470588235294121</v>
      </c>
      <c r="BI26" s="20">
        <v>0.13529411764705881</v>
      </c>
      <c r="BJ26" s="15">
        <v>3423</v>
      </c>
      <c r="BK26" s="19">
        <v>0.67952088810984512</v>
      </c>
      <c r="BL26" s="19">
        <v>0.12795793163891322</v>
      </c>
      <c r="BM26" s="20">
        <v>0.1925211802512416</v>
      </c>
      <c r="BN26" s="38">
        <v>7125</v>
      </c>
      <c r="BO26" s="39">
        <v>664</v>
      </c>
      <c r="BP26" s="39">
        <v>570</v>
      </c>
      <c r="BQ26" s="39">
        <v>221</v>
      </c>
      <c r="BR26" s="39">
        <v>5931</v>
      </c>
      <c r="BS26" s="39">
        <v>3454</v>
      </c>
      <c r="BT26" s="20">
        <v>0.12854661262304573</v>
      </c>
      <c r="BU26" s="38">
        <v>2234</v>
      </c>
      <c r="BV26" s="39">
        <v>2</v>
      </c>
      <c r="BW26" s="39">
        <v>421</v>
      </c>
      <c r="BX26" s="39">
        <v>602</v>
      </c>
      <c r="BY26" s="39">
        <v>212</v>
      </c>
      <c r="BZ26" s="40">
        <v>3471</v>
      </c>
      <c r="CA26" s="39">
        <v>1467</v>
      </c>
      <c r="CB26" s="39">
        <v>1266</v>
      </c>
      <c r="CC26" s="39">
        <v>198</v>
      </c>
      <c r="CD26" s="39">
        <v>201</v>
      </c>
      <c r="CE26" s="19">
        <v>0.13496932515337423</v>
      </c>
      <c r="CF26" s="104">
        <v>0.13701431492842536</v>
      </c>
      <c r="CG26" s="39">
        <v>150</v>
      </c>
      <c r="CH26" s="39">
        <v>130</v>
      </c>
      <c r="CI26" s="39">
        <v>100</v>
      </c>
      <c r="CJ26" s="39">
        <v>115</v>
      </c>
      <c r="CK26" s="44">
        <v>110</v>
      </c>
      <c r="CL26" s="38">
        <v>602</v>
      </c>
      <c r="CM26" s="39">
        <v>174</v>
      </c>
      <c r="CN26" s="19">
        <v>0.28903654485049834</v>
      </c>
      <c r="CO26" s="40">
        <v>48</v>
      </c>
      <c r="CP26" s="39">
        <v>321</v>
      </c>
      <c r="CQ26" s="39">
        <v>353</v>
      </c>
      <c r="CR26" s="39">
        <v>348</v>
      </c>
      <c r="CS26" s="39">
        <v>329</v>
      </c>
      <c r="CT26" s="39">
        <v>332</v>
      </c>
      <c r="CU26" s="124" t="s">
        <v>474</v>
      </c>
      <c r="CV26" s="39">
        <v>7</v>
      </c>
      <c r="CW26" s="39">
        <v>10</v>
      </c>
      <c r="CX26" s="39">
        <v>9</v>
      </c>
      <c r="CY26" s="39">
        <v>5</v>
      </c>
      <c r="CZ26" s="39">
        <v>8</v>
      </c>
      <c r="DA26" s="120" t="s">
        <v>474</v>
      </c>
      <c r="DB26" s="15">
        <v>10</v>
      </c>
      <c r="DC26" s="15">
        <v>23</v>
      </c>
      <c r="DD26" s="19">
        <v>6.9277108433734941E-2</v>
      </c>
      <c r="DE26" s="19">
        <v>4.6603311300102486E-2</v>
      </c>
      <c r="DF26" s="20">
        <v>0.10180438974941115</v>
      </c>
      <c r="DG26" s="15">
        <v>25</v>
      </c>
      <c r="DH26" s="20">
        <v>1.3683634373289545E-2</v>
      </c>
      <c r="DI26" s="423">
        <v>9</v>
      </c>
      <c r="DJ26" s="428">
        <v>9</v>
      </c>
      <c r="DK26" s="3">
        <v>211</v>
      </c>
      <c r="DL26" s="20">
        <v>2.1561414265276926E-2</v>
      </c>
      <c r="DM26" s="15">
        <v>220</v>
      </c>
      <c r="DN26" s="3">
        <v>200</v>
      </c>
      <c r="DO26" s="3">
        <v>185</v>
      </c>
      <c r="DP26" s="3">
        <v>170</v>
      </c>
      <c r="DQ26" s="11">
        <v>170</v>
      </c>
      <c r="DR26" s="15">
        <v>175</v>
      </c>
      <c r="DS26" s="19">
        <v>0.10869565217391304</v>
      </c>
      <c r="DT26" s="19">
        <v>9.4412775722351794E-2</v>
      </c>
      <c r="DU26" s="19">
        <v>0.12484138761985276</v>
      </c>
      <c r="DV26" s="3">
        <v>180</v>
      </c>
      <c r="DW26" s="19">
        <v>0.11180124223602485</v>
      </c>
      <c r="DX26" s="19">
        <v>9.732321112404678E-2</v>
      </c>
      <c r="DY26" s="19">
        <v>0.1281273477471879</v>
      </c>
      <c r="DZ26" s="3">
        <v>205</v>
      </c>
      <c r="EA26" s="19">
        <v>0.11849710982658959</v>
      </c>
      <c r="EB26" s="19">
        <v>0.10410609537284093</v>
      </c>
      <c r="EC26" s="19">
        <v>0.13457862214578181</v>
      </c>
      <c r="ED26" s="3">
        <v>185</v>
      </c>
      <c r="EE26" s="19">
        <v>0.10601719197707736</v>
      </c>
      <c r="EF26" s="19">
        <v>9.2428027487026776E-2</v>
      </c>
      <c r="EG26" s="19">
        <v>0.12133718086570104</v>
      </c>
      <c r="EH26" s="3">
        <v>170</v>
      </c>
      <c r="EI26" s="20">
        <v>9.7982708933717577E-2</v>
      </c>
      <c r="EJ26" s="20">
        <v>8.486931074054721E-2</v>
      </c>
      <c r="EK26" s="20">
        <v>0.11287238507448821</v>
      </c>
      <c r="EL26" s="438">
        <v>180</v>
      </c>
      <c r="EM26" s="20">
        <v>0.11650485436893204</v>
      </c>
      <c r="EN26" s="20">
        <v>0.10144985558155037</v>
      </c>
      <c r="EO26" s="104">
        <v>0.13346215348729731</v>
      </c>
      <c r="EP26" s="38">
        <v>405</v>
      </c>
      <c r="EQ26" s="20">
        <v>8.4728033472803346E-2</v>
      </c>
      <c r="ER26" s="44">
        <v>450</v>
      </c>
      <c r="ES26" s="20">
        <v>9.202453987730061E-2</v>
      </c>
      <c r="ET26" s="44">
        <v>485</v>
      </c>
      <c r="EU26" s="20">
        <v>9.6325719960278056E-2</v>
      </c>
      <c r="EV26" s="44">
        <v>445</v>
      </c>
      <c r="EW26" s="20">
        <v>8.7426326129666013E-2</v>
      </c>
      <c r="EX26" s="44">
        <v>410</v>
      </c>
      <c r="EY26" s="20">
        <v>8.0313418217433888E-2</v>
      </c>
      <c r="EZ26" s="44">
        <v>440</v>
      </c>
      <c r="FA26" s="104">
        <v>8.59375E-2</v>
      </c>
      <c r="FB26" s="3">
        <v>337</v>
      </c>
      <c r="FC26" s="3">
        <v>7</v>
      </c>
      <c r="FD26" s="3">
        <v>330</v>
      </c>
      <c r="FE26" s="19">
        <v>0.97922848664688422</v>
      </c>
      <c r="FF26" s="3">
        <v>122</v>
      </c>
      <c r="FG26" s="3">
        <v>194</v>
      </c>
      <c r="FH26" s="19">
        <v>0.36969696969696969</v>
      </c>
      <c r="FI26" s="19">
        <v>0.58787878787878789</v>
      </c>
      <c r="FJ26" s="19">
        <v>0.31939213882089795</v>
      </c>
      <c r="FK26" s="19">
        <v>0.4230006606384864</v>
      </c>
      <c r="FL26" s="19">
        <v>0.53405685232247369</v>
      </c>
      <c r="FM26" s="104">
        <v>0.63967823641422061</v>
      </c>
      <c r="FN26" s="438">
        <v>305</v>
      </c>
      <c r="FO26" s="438">
        <v>119</v>
      </c>
      <c r="FP26" s="438">
        <v>75</v>
      </c>
      <c r="FQ26" s="438">
        <v>194</v>
      </c>
      <c r="FR26" s="497">
        <v>0.39016393442622949</v>
      </c>
      <c r="FS26" s="497">
        <v>0.63606557377049178</v>
      </c>
      <c r="FT26" s="497">
        <v>0.3371115140527825</v>
      </c>
      <c r="FU26" s="497">
        <v>0.44594869989699493</v>
      </c>
      <c r="FV26" s="497">
        <v>0.58068743905653675</v>
      </c>
      <c r="FW26" s="104">
        <v>0.68805886306538078</v>
      </c>
      <c r="FX26" s="438">
        <v>391</v>
      </c>
      <c r="FY26" s="438">
        <v>33</v>
      </c>
      <c r="FZ26" s="438">
        <v>358</v>
      </c>
      <c r="GA26" s="497">
        <v>0.9156010230179028</v>
      </c>
      <c r="GB26" s="438">
        <v>136</v>
      </c>
      <c r="GC26" s="438">
        <v>93</v>
      </c>
      <c r="GD26" s="438">
        <v>229</v>
      </c>
      <c r="GE26" s="497">
        <v>0.37988826815642457</v>
      </c>
      <c r="GF26" s="497">
        <v>0.63966480446927376</v>
      </c>
      <c r="GG26" s="497">
        <v>0.33113774663120382</v>
      </c>
      <c r="GH26" s="497">
        <v>0.43118910148540135</v>
      </c>
      <c r="GI26" s="497">
        <v>0.58869251495841246</v>
      </c>
      <c r="GJ26" s="104">
        <v>0.68767161513855835</v>
      </c>
      <c r="GK26" s="3">
        <v>267</v>
      </c>
      <c r="GL26" s="3">
        <v>21</v>
      </c>
      <c r="GM26" s="19">
        <v>7.9000000000000001E-2</v>
      </c>
      <c r="GN26" s="19">
        <v>5.1999999999999998E-2</v>
      </c>
      <c r="GO26" s="19">
        <v>0.11700000000000001</v>
      </c>
      <c r="GP26" s="353" t="s">
        <v>725</v>
      </c>
      <c r="GQ26" s="3">
        <v>276</v>
      </c>
      <c r="GR26" s="3">
        <v>23</v>
      </c>
      <c r="GS26" s="19">
        <v>8.3000000000000004E-2</v>
      </c>
      <c r="GT26" s="19">
        <v>5.6000000000000001E-2</v>
      </c>
      <c r="GU26" s="19">
        <v>0.122</v>
      </c>
      <c r="GV26" s="3" t="s">
        <v>725</v>
      </c>
      <c r="GW26" s="3">
        <v>239</v>
      </c>
      <c r="GX26" s="3">
        <v>10</v>
      </c>
      <c r="GY26" s="19">
        <v>4.1841004184100417E-2</v>
      </c>
      <c r="GZ26" s="19">
        <v>2.2883426077391942E-2</v>
      </c>
      <c r="HA26" s="19">
        <v>7.5293627118033973E-2</v>
      </c>
      <c r="HB26" s="3" t="s">
        <v>726</v>
      </c>
      <c r="HC26" s="3">
        <v>265</v>
      </c>
      <c r="HD26" s="3">
        <v>23</v>
      </c>
      <c r="HE26" s="19">
        <v>8.6792452830188674E-2</v>
      </c>
      <c r="HF26" s="19">
        <v>5.8529585664442121E-2</v>
      </c>
      <c r="HG26" s="19">
        <v>0.1268639136839462</v>
      </c>
      <c r="HH26" s="3" t="s">
        <v>725</v>
      </c>
      <c r="HI26" s="3">
        <v>208</v>
      </c>
      <c r="HJ26" s="3">
        <v>17</v>
      </c>
      <c r="HK26" s="19">
        <v>8.1730769230769232E-2</v>
      </c>
      <c r="HL26" s="19">
        <v>5.165287981199955E-2</v>
      </c>
      <c r="HM26" s="19">
        <v>0.12697815412892377</v>
      </c>
      <c r="HN26" s="11" t="s">
        <v>725</v>
      </c>
      <c r="HO26" s="11">
        <v>318</v>
      </c>
      <c r="HP26" s="11">
        <v>11</v>
      </c>
      <c r="HQ26" s="497">
        <v>3.4591194968553458E-2</v>
      </c>
      <c r="HR26" s="497">
        <v>1.9423009220452678E-2</v>
      </c>
      <c r="HS26" s="497">
        <v>6.0869501618217858E-2</v>
      </c>
      <c r="HT26" s="8" t="str">
        <f t="shared" si="0"/>
        <v>Sig better than Eng.</v>
      </c>
      <c r="HU26" s="3">
        <v>252</v>
      </c>
      <c r="HV26" s="3">
        <v>37</v>
      </c>
      <c r="HW26" s="19">
        <v>0.14699999999999999</v>
      </c>
      <c r="HX26" s="19">
        <v>0.108</v>
      </c>
      <c r="HY26" s="19">
        <v>0.19600000000000001</v>
      </c>
      <c r="HZ26" s="3" t="s">
        <v>725</v>
      </c>
      <c r="IA26" s="3">
        <v>282</v>
      </c>
      <c r="IB26" s="3">
        <v>34</v>
      </c>
      <c r="IC26" s="19">
        <v>0.121</v>
      </c>
      <c r="ID26" s="19">
        <v>8.7999999999999995E-2</v>
      </c>
      <c r="IE26" s="19">
        <v>0.16400000000000001</v>
      </c>
      <c r="IF26" s="3" t="s">
        <v>726</v>
      </c>
      <c r="IG26" s="3">
        <v>263</v>
      </c>
      <c r="IH26" s="3">
        <v>38</v>
      </c>
      <c r="II26" s="19">
        <v>0.14448669201520911</v>
      </c>
      <c r="IJ26" s="19">
        <v>0.10711124264128175</v>
      </c>
      <c r="IK26" s="19">
        <v>0.1920981050123905</v>
      </c>
      <c r="IL26" s="3" t="s">
        <v>725</v>
      </c>
      <c r="IM26" s="3">
        <v>249</v>
      </c>
      <c r="IN26" s="3">
        <v>34</v>
      </c>
      <c r="IO26" s="19">
        <v>0.13654618473895583</v>
      </c>
      <c r="IP26" s="19">
        <v>9.9385816160059939E-2</v>
      </c>
      <c r="IQ26" s="19">
        <v>0.1847505717400014</v>
      </c>
      <c r="IR26" s="3" t="s">
        <v>726</v>
      </c>
      <c r="IS26" s="3">
        <v>265</v>
      </c>
      <c r="IT26" s="3">
        <v>42</v>
      </c>
      <c r="IU26" s="19">
        <v>0.15849056603773584</v>
      </c>
      <c r="IV26" s="19">
        <v>0.11944376618064369</v>
      </c>
      <c r="IW26" s="19">
        <v>0.20729697985615217</v>
      </c>
      <c r="IX26" s="580" t="s">
        <v>725</v>
      </c>
      <c r="IY26" s="580">
        <v>278</v>
      </c>
      <c r="IZ26" s="580">
        <v>43</v>
      </c>
      <c r="JA26" s="497">
        <v>0.15467625899280577</v>
      </c>
      <c r="JB26" s="497">
        <v>0.11690618323216895</v>
      </c>
      <c r="JC26" s="497">
        <v>0.20185976126945504</v>
      </c>
      <c r="JD26" s="371" t="str">
        <f t="shared" si="1"/>
        <v>Sig better than Eng.</v>
      </c>
      <c r="JE26" s="3">
        <v>324</v>
      </c>
      <c r="JF26" s="3">
        <v>210</v>
      </c>
      <c r="JG26" s="19">
        <v>0.64814814814814814</v>
      </c>
      <c r="JH26" s="19">
        <v>0.5946899178918934</v>
      </c>
      <c r="JI26" s="19">
        <v>0.69813454776699435</v>
      </c>
      <c r="JJ26" s="3">
        <v>324</v>
      </c>
      <c r="JK26" s="3">
        <v>34</v>
      </c>
      <c r="JL26" s="3">
        <v>64</v>
      </c>
      <c r="JM26" s="383">
        <v>26.765625000000004</v>
      </c>
      <c r="JN26" s="19">
        <v>0.21277573529411753</v>
      </c>
      <c r="JO26" s="3">
        <v>330</v>
      </c>
      <c r="JP26" s="3">
        <v>227</v>
      </c>
      <c r="JQ26" s="19">
        <v>0.68787878787878787</v>
      </c>
      <c r="JR26" s="19">
        <v>0.63596542157199598</v>
      </c>
      <c r="JS26" s="19">
        <v>0.73546837349358407</v>
      </c>
      <c r="JT26" s="3">
        <v>330</v>
      </c>
      <c r="JU26" s="3">
        <v>34</v>
      </c>
      <c r="JV26" s="3">
        <v>66</v>
      </c>
      <c r="JW26" s="383">
        <v>24.878787878787882</v>
      </c>
      <c r="JX26" s="20">
        <v>0.26827094474153285</v>
      </c>
      <c r="JY26" s="44">
        <v>344</v>
      </c>
      <c r="JZ26" s="44">
        <v>238</v>
      </c>
      <c r="KA26" s="20">
        <v>0.69186046511627908</v>
      </c>
      <c r="KB26" s="20">
        <v>0.6411731846578187</v>
      </c>
      <c r="KC26" s="20">
        <v>0.73831004441880377</v>
      </c>
      <c r="KD26" s="438">
        <v>34</v>
      </c>
      <c r="KE26" s="438">
        <v>68</v>
      </c>
      <c r="KF26" s="384">
        <v>25.6</v>
      </c>
      <c r="KG26" s="104">
        <v>0.248</v>
      </c>
      <c r="KH26" s="19">
        <v>0.94883774022429479</v>
      </c>
      <c r="KI26" s="19">
        <v>5.1162259775705154E-2</v>
      </c>
      <c r="KJ26" s="19">
        <v>3.5005301144816203E-2</v>
      </c>
      <c r="KK26" s="19">
        <v>0.10293256696562286</v>
      </c>
      <c r="KL26" s="19">
        <v>0.98154979940694231</v>
      </c>
      <c r="KM26" s="19">
        <v>1.8450200593057735E-2</v>
      </c>
      <c r="KN26" s="19">
        <v>1.0833366500687466E-2</v>
      </c>
      <c r="KO26" s="19">
        <v>5.7743180653120271E-2</v>
      </c>
      <c r="KP26" s="19">
        <v>0.94172540811196281</v>
      </c>
      <c r="KQ26" s="19">
        <v>5.8274591888037262E-2</v>
      </c>
      <c r="KR26" s="19">
        <v>3.8966557352548399E-2</v>
      </c>
      <c r="KS26" s="19">
        <v>0.10961620637767483</v>
      </c>
      <c r="KT26" s="19">
        <v>0.85018930649182767</v>
      </c>
      <c r="KU26" s="19">
        <v>0.14981069350817247</v>
      </c>
      <c r="KV26" s="19">
        <v>0.10020126624456825</v>
      </c>
      <c r="KW26" s="104">
        <v>0.19775294244526492</v>
      </c>
      <c r="KX26" s="438">
        <v>6</v>
      </c>
      <c r="KY26" s="438">
        <v>144</v>
      </c>
      <c r="KZ26" s="497">
        <v>4.1666666666666664E-2</v>
      </c>
      <c r="LA26" s="497">
        <v>1.9233886662494152E-2</v>
      </c>
      <c r="LB26" s="497">
        <v>8.7917780718622843E-2</v>
      </c>
      <c r="LC26" s="438">
        <v>5</v>
      </c>
      <c r="LD26" s="438">
        <v>143</v>
      </c>
      <c r="LE26" s="497">
        <v>3.4965034965034968E-2</v>
      </c>
      <c r="LF26" s="497">
        <v>1.5025721955368148E-2</v>
      </c>
      <c r="LG26" s="497">
        <v>7.9235523689131462E-2</v>
      </c>
      <c r="LH26" s="438">
        <v>6</v>
      </c>
      <c r="LI26" s="438">
        <v>144</v>
      </c>
      <c r="LJ26" s="497">
        <v>4.1666666666666664E-2</v>
      </c>
      <c r="LK26" s="497">
        <v>1.9233886662494152E-2</v>
      </c>
      <c r="LL26" s="497">
        <v>8.7917780718622843E-2</v>
      </c>
      <c r="LM26" s="438">
        <v>15</v>
      </c>
      <c r="LN26" s="438">
        <v>121</v>
      </c>
      <c r="LO26" s="497">
        <v>0.12396694214876033</v>
      </c>
      <c r="LP26" s="497">
        <v>7.6583906289253614E-2</v>
      </c>
      <c r="LQ26" s="104">
        <v>0.19449157729108124</v>
      </c>
      <c r="LR26" s="3">
        <v>97</v>
      </c>
      <c r="LS26" s="3">
        <v>96</v>
      </c>
      <c r="LT26" s="3">
        <v>96</v>
      </c>
      <c r="LU26" s="3">
        <v>96</v>
      </c>
      <c r="LV26" s="3">
        <v>96</v>
      </c>
      <c r="LW26" s="3">
        <v>83</v>
      </c>
      <c r="LX26" s="3">
        <v>80</v>
      </c>
      <c r="LY26" s="3">
        <v>82</v>
      </c>
      <c r="LZ26" s="3">
        <v>80</v>
      </c>
      <c r="MA26" s="3">
        <v>82</v>
      </c>
      <c r="MB26" s="3">
        <v>82</v>
      </c>
      <c r="MC26" s="3">
        <v>77</v>
      </c>
      <c r="MD26" s="3">
        <v>82</v>
      </c>
      <c r="ME26" s="3">
        <v>96</v>
      </c>
      <c r="MF26" s="3">
        <v>91</v>
      </c>
      <c r="MG26" s="3">
        <v>90</v>
      </c>
      <c r="MH26" s="3">
        <v>88</v>
      </c>
      <c r="MI26" s="3">
        <v>90</v>
      </c>
      <c r="MJ26" s="3">
        <v>93</v>
      </c>
      <c r="MK26" s="3">
        <v>83</v>
      </c>
      <c r="ML26" s="3">
        <v>88</v>
      </c>
      <c r="MM26" s="3">
        <v>84</v>
      </c>
      <c r="MN26" s="8">
        <v>92</v>
      </c>
      <c r="MO26" s="3">
        <v>418</v>
      </c>
      <c r="MP26" s="24">
        <v>0.97099999999999997</v>
      </c>
      <c r="MQ26" s="24">
        <v>1.7000000000000001E-2</v>
      </c>
      <c r="MR26" s="24">
        <v>0.97399999999999998</v>
      </c>
      <c r="MS26" s="3">
        <v>406</v>
      </c>
      <c r="MT26" s="3">
        <v>7</v>
      </c>
      <c r="MU26" s="3">
        <v>407</v>
      </c>
      <c r="MV26" s="3">
        <v>379</v>
      </c>
      <c r="MW26" s="24">
        <v>0.98199999999999998</v>
      </c>
      <c r="MX26" s="24">
        <v>0.97099999999999997</v>
      </c>
      <c r="MY26" s="24">
        <v>0.96299999999999997</v>
      </c>
      <c r="MZ26" s="24">
        <v>0.97399999999999998</v>
      </c>
      <c r="NA26" s="24">
        <v>0.97399999999999998</v>
      </c>
      <c r="NB26" s="3">
        <v>372</v>
      </c>
      <c r="NC26" s="3">
        <v>368</v>
      </c>
      <c r="ND26" s="3">
        <v>365</v>
      </c>
      <c r="NE26" s="3">
        <v>369</v>
      </c>
      <c r="NF26" s="3">
        <v>369</v>
      </c>
      <c r="NG26" s="3">
        <v>465</v>
      </c>
      <c r="NH26" s="24">
        <v>0.96299999999999997</v>
      </c>
      <c r="NI26" s="24">
        <v>0.92900000000000005</v>
      </c>
      <c r="NJ26" s="24">
        <v>0.96299999999999997</v>
      </c>
      <c r="NK26" s="24">
        <v>0.96099999999999997</v>
      </c>
      <c r="NL26" s="24">
        <v>0.93500000000000005</v>
      </c>
      <c r="NM26" s="24">
        <v>0.84299999999999997</v>
      </c>
      <c r="NN26" s="24">
        <v>0.95099999999999996</v>
      </c>
      <c r="NO26" s="24">
        <v>0.92500000000000004</v>
      </c>
      <c r="NP26" s="24">
        <v>0.94</v>
      </c>
      <c r="NQ26" s="24">
        <v>0.91600000000000004</v>
      </c>
      <c r="NR26" s="3">
        <v>448</v>
      </c>
      <c r="NS26" s="3">
        <v>432</v>
      </c>
      <c r="NT26" s="3">
        <v>448</v>
      </c>
      <c r="NU26" s="3">
        <v>447</v>
      </c>
      <c r="NV26" s="3">
        <v>435</v>
      </c>
      <c r="NW26" s="3">
        <v>392</v>
      </c>
      <c r="NX26" s="3">
        <v>442</v>
      </c>
      <c r="NY26" s="3">
        <v>430</v>
      </c>
      <c r="NZ26" s="3">
        <v>437</v>
      </c>
      <c r="OA26" s="8">
        <v>426</v>
      </c>
    </row>
    <row r="27" spans="1:391" s="3" customFormat="1" ht="12.75" x14ac:dyDescent="0.2">
      <c r="A27" s="11" t="s">
        <v>53</v>
      </c>
      <c r="B27" s="8">
        <v>22</v>
      </c>
      <c r="C27" s="11" t="s">
        <v>203</v>
      </c>
      <c r="D27" s="11" t="s">
        <v>204</v>
      </c>
      <c r="E27" s="11" t="s">
        <v>287</v>
      </c>
      <c r="F27" s="11" t="s">
        <v>287</v>
      </c>
      <c r="G27" s="11" t="s">
        <v>205</v>
      </c>
      <c r="H27" s="11" t="s">
        <v>79</v>
      </c>
      <c r="I27" s="11" t="s">
        <v>79</v>
      </c>
      <c r="J27" s="11" t="s">
        <v>270</v>
      </c>
      <c r="K27" s="11" t="s">
        <v>381</v>
      </c>
      <c r="L27" s="11" t="s">
        <v>273</v>
      </c>
      <c r="M27" s="11" t="s">
        <v>347</v>
      </c>
      <c r="N27" s="3" t="s">
        <v>79</v>
      </c>
      <c r="O27" s="11">
        <v>526783</v>
      </c>
      <c r="P27" s="11">
        <v>135609</v>
      </c>
      <c r="Q27" s="128">
        <v>22795</v>
      </c>
      <c r="R27" s="128">
        <v>80266</v>
      </c>
      <c r="S27" s="400" t="s">
        <v>817</v>
      </c>
      <c r="T27" s="38">
        <v>19775</v>
      </c>
      <c r="U27" s="39">
        <v>20055</v>
      </c>
      <c r="V27" s="39">
        <v>20095</v>
      </c>
      <c r="W27" s="39">
        <v>19945</v>
      </c>
      <c r="X27" s="39">
        <v>19970</v>
      </c>
      <c r="Y27" s="39">
        <v>19880</v>
      </c>
      <c r="Z27" s="39">
        <v>20140</v>
      </c>
      <c r="AA27" s="39">
        <v>20365</v>
      </c>
      <c r="AB27" s="39">
        <v>20375</v>
      </c>
      <c r="AC27" s="44">
        <v>20734</v>
      </c>
      <c r="AD27" s="38">
        <v>1070</v>
      </c>
      <c r="AE27" s="39">
        <v>1135</v>
      </c>
      <c r="AF27" s="39">
        <v>1175</v>
      </c>
      <c r="AG27" s="39">
        <v>1180</v>
      </c>
      <c r="AH27" s="39">
        <v>1225</v>
      </c>
      <c r="AI27" s="39">
        <v>1275</v>
      </c>
      <c r="AJ27" s="39">
        <v>1355</v>
      </c>
      <c r="AK27" s="39">
        <v>1395</v>
      </c>
      <c r="AL27" s="39">
        <v>1385</v>
      </c>
      <c r="AM27" s="44">
        <v>1452</v>
      </c>
      <c r="AN27" s="15">
        <v>1344</v>
      </c>
      <c r="AO27" s="3">
        <v>852</v>
      </c>
      <c r="AP27" s="3">
        <v>96</v>
      </c>
      <c r="AQ27" s="3">
        <v>102</v>
      </c>
      <c r="AR27" s="3">
        <v>218</v>
      </c>
      <c r="AS27" s="3">
        <v>56</v>
      </c>
      <c r="AT27" s="3">
        <v>20</v>
      </c>
      <c r="AU27" s="11">
        <v>492</v>
      </c>
      <c r="AV27" s="18">
        <v>0.6339285714285714</v>
      </c>
      <c r="AW27" s="19">
        <v>7.1428571428571425E-2</v>
      </c>
      <c r="AX27" s="19">
        <v>7.5892857142857137E-2</v>
      </c>
      <c r="AY27" s="19">
        <v>0.16220238095238096</v>
      </c>
      <c r="AZ27" s="19">
        <v>4.1666666666666664E-2</v>
      </c>
      <c r="BA27" s="19">
        <v>1.488095238095238E-2</v>
      </c>
      <c r="BB27" s="20">
        <v>0.3660714285714286</v>
      </c>
      <c r="BC27" s="15">
        <v>2916</v>
      </c>
      <c r="BD27" s="3">
        <v>2693</v>
      </c>
      <c r="BE27" s="3">
        <v>223</v>
      </c>
      <c r="BF27" s="3">
        <v>192</v>
      </c>
      <c r="BG27" s="3">
        <v>31</v>
      </c>
      <c r="BH27" s="19">
        <v>0.86098654708520184</v>
      </c>
      <c r="BI27" s="20">
        <v>0.13901345291479822</v>
      </c>
      <c r="BJ27" s="15">
        <v>2455</v>
      </c>
      <c r="BK27" s="19">
        <v>0.4969450101832994</v>
      </c>
      <c r="BL27" s="19">
        <v>0.33319755600814666</v>
      </c>
      <c r="BM27" s="20">
        <v>0.16985743380855398</v>
      </c>
      <c r="BN27" s="38">
        <v>5635</v>
      </c>
      <c r="BO27" s="39">
        <v>447</v>
      </c>
      <c r="BP27" s="39">
        <v>385</v>
      </c>
      <c r="BQ27" s="39">
        <v>216</v>
      </c>
      <c r="BR27" s="39">
        <v>4278</v>
      </c>
      <c r="BS27" s="39">
        <v>2399</v>
      </c>
      <c r="BT27" s="20">
        <v>0.15756565235514797</v>
      </c>
      <c r="BU27" s="38">
        <v>1232</v>
      </c>
      <c r="BV27" s="39">
        <v>0</v>
      </c>
      <c r="BW27" s="39">
        <v>309</v>
      </c>
      <c r="BX27" s="39">
        <v>592</v>
      </c>
      <c r="BY27" s="39">
        <v>279</v>
      </c>
      <c r="BZ27" s="40">
        <v>2412</v>
      </c>
      <c r="CA27" s="39">
        <v>1053</v>
      </c>
      <c r="CB27" s="39">
        <v>811</v>
      </c>
      <c r="CC27" s="39">
        <v>238</v>
      </c>
      <c r="CD27" s="39">
        <v>242</v>
      </c>
      <c r="CE27" s="19">
        <v>0.22602089268755934</v>
      </c>
      <c r="CF27" s="104">
        <v>0.22981956315289648</v>
      </c>
      <c r="CG27" s="39">
        <v>205</v>
      </c>
      <c r="CH27" s="39">
        <v>200</v>
      </c>
      <c r="CI27" s="39">
        <v>165</v>
      </c>
      <c r="CJ27" s="39">
        <v>160</v>
      </c>
      <c r="CK27" s="44">
        <v>170</v>
      </c>
      <c r="CL27" s="38">
        <v>588</v>
      </c>
      <c r="CM27" s="39">
        <v>253</v>
      </c>
      <c r="CN27" s="19">
        <v>0.43027210884353739</v>
      </c>
      <c r="CO27" s="40">
        <v>46</v>
      </c>
      <c r="CP27" s="39">
        <v>257</v>
      </c>
      <c r="CQ27" s="39">
        <v>279</v>
      </c>
      <c r="CR27" s="39">
        <v>274</v>
      </c>
      <c r="CS27" s="39">
        <v>292</v>
      </c>
      <c r="CT27" s="39">
        <v>274</v>
      </c>
      <c r="CU27" s="124" t="s">
        <v>474</v>
      </c>
      <c r="CV27" s="39">
        <v>9</v>
      </c>
      <c r="CW27" s="39">
        <v>18</v>
      </c>
      <c r="CX27" s="39">
        <v>20</v>
      </c>
      <c r="CY27" s="39">
        <v>12</v>
      </c>
      <c r="CZ27" s="39">
        <v>11</v>
      </c>
      <c r="DA27" s="120" t="s">
        <v>474</v>
      </c>
      <c r="DB27" s="15">
        <v>30</v>
      </c>
      <c r="DC27" s="15">
        <v>19</v>
      </c>
      <c r="DD27" s="19">
        <v>6.9343065693430656E-2</v>
      </c>
      <c r="DE27" s="19">
        <v>4.4838959197899111E-2</v>
      </c>
      <c r="DF27" s="20">
        <v>0.10575576845106792</v>
      </c>
      <c r="DG27" s="15">
        <v>31</v>
      </c>
      <c r="DH27" s="20">
        <v>2.3082650781831721E-2</v>
      </c>
      <c r="DI27" s="423">
        <v>4</v>
      </c>
      <c r="DJ27" s="428">
        <v>4</v>
      </c>
      <c r="DK27" s="3">
        <v>428</v>
      </c>
      <c r="DL27" s="20">
        <v>5.1460863292052419E-2</v>
      </c>
      <c r="DM27" s="15">
        <v>300</v>
      </c>
      <c r="DN27" s="3">
        <v>285</v>
      </c>
      <c r="DO27" s="3">
        <v>265</v>
      </c>
      <c r="DP27" s="3">
        <v>265</v>
      </c>
      <c r="DQ27" s="11">
        <v>275</v>
      </c>
      <c r="DR27" s="15">
        <v>235</v>
      </c>
      <c r="DS27" s="19">
        <v>0.20171673819742489</v>
      </c>
      <c r="DT27" s="19">
        <v>0.17967131449858037</v>
      </c>
      <c r="DU27" s="19">
        <v>0.22572280909691378</v>
      </c>
      <c r="DV27" s="3">
        <v>265</v>
      </c>
      <c r="DW27" s="19">
        <v>0.21900826446280991</v>
      </c>
      <c r="DX27" s="19">
        <v>0.19661459561200478</v>
      </c>
      <c r="DY27" s="19">
        <v>0.24318044923623022</v>
      </c>
      <c r="DZ27" s="3">
        <v>260</v>
      </c>
      <c r="EA27" s="19">
        <v>0.20634920634920634</v>
      </c>
      <c r="EB27" s="19">
        <v>0.18491297189013517</v>
      </c>
      <c r="EC27" s="19">
        <v>0.22957054988758605</v>
      </c>
      <c r="ED27" s="3">
        <v>280</v>
      </c>
      <c r="EE27" s="19">
        <v>0.21132075471698114</v>
      </c>
      <c r="EF27" s="19">
        <v>0.19018950761042797</v>
      </c>
      <c r="EG27" s="19">
        <v>0.23412104883555029</v>
      </c>
      <c r="EH27" s="3">
        <v>270</v>
      </c>
      <c r="EI27" s="20">
        <v>0.19926199261992619</v>
      </c>
      <c r="EJ27" s="20">
        <v>0.17885680345346217</v>
      </c>
      <c r="EK27" s="20">
        <v>0.22136756068441238</v>
      </c>
      <c r="EL27" s="438">
        <v>295</v>
      </c>
      <c r="EM27" s="20">
        <v>0.21454545454545454</v>
      </c>
      <c r="EN27" s="20">
        <v>0.19365852733903047</v>
      </c>
      <c r="EO27" s="104">
        <v>0.23702293717727393</v>
      </c>
      <c r="EP27" s="38">
        <v>590</v>
      </c>
      <c r="EQ27" s="20">
        <v>0.16833095577746077</v>
      </c>
      <c r="ER27" s="44">
        <v>715</v>
      </c>
      <c r="ES27" s="20">
        <v>0.19615912208504802</v>
      </c>
      <c r="ET27" s="44">
        <v>690</v>
      </c>
      <c r="EU27" s="20">
        <v>0.18598382749326145</v>
      </c>
      <c r="EV27" s="44">
        <v>735</v>
      </c>
      <c r="EW27" s="20">
        <v>0.19215686274509805</v>
      </c>
      <c r="EX27" s="44">
        <v>665</v>
      </c>
      <c r="EY27" s="20">
        <v>0.17007672634271101</v>
      </c>
      <c r="EZ27" s="44">
        <v>655</v>
      </c>
      <c r="FA27" s="104">
        <v>0.16354556803995007</v>
      </c>
      <c r="FB27" s="3">
        <v>280</v>
      </c>
      <c r="FC27" s="3">
        <v>10</v>
      </c>
      <c r="FD27" s="3">
        <v>270</v>
      </c>
      <c r="FE27" s="19">
        <v>0.9642857142857143</v>
      </c>
      <c r="FF27" s="3">
        <v>102</v>
      </c>
      <c r="FG27" s="3">
        <v>153</v>
      </c>
      <c r="FH27" s="19">
        <v>0.37777777777777777</v>
      </c>
      <c r="FI27" s="19">
        <v>0.56666666666666665</v>
      </c>
      <c r="FJ27" s="19">
        <v>0.3220422730435234</v>
      </c>
      <c r="FK27" s="19">
        <v>0.4369424831074778</v>
      </c>
      <c r="FL27" s="19">
        <v>0.50703166405729405</v>
      </c>
      <c r="FM27" s="104">
        <v>0.62443119622397802</v>
      </c>
      <c r="FN27" s="438">
        <v>253</v>
      </c>
      <c r="FO27" s="438">
        <v>103</v>
      </c>
      <c r="FP27" s="438">
        <v>36</v>
      </c>
      <c r="FQ27" s="438">
        <v>139</v>
      </c>
      <c r="FR27" s="497">
        <v>0.40711462450592883</v>
      </c>
      <c r="FS27" s="497">
        <v>0.54940711462450598</v>
      </c>
      <c r="FT27" s="497">
        <v>0.34840375264457629</v>
      </c>
      <c r="FU27" s="497">
        <v>0.46860398350595073</v>
      </c>
      <c r="FV27" s="497">
        <v>0.48781447421123786</v>
      </c>
      <c r="FW27" s="104">
        <v>0.60952183634699242</v>
      </c>
      <c r="FX27" s="438">
        <v>337</v>
      </c>
      <c r="FY27" s="438">
        <v>5</v>
      </c>
      <c r="FZ27" s="438">
        <v>332</v>
      </c>
      <c r="GA27" s="497">
        <v>0.98516320474777452</v>
      </c>
      <c r="GB27" s="438">
        <v>133</v>
      </c>
      <c r="GC27" s="438">
        <v>52</v>
      </c>
      <c r="GD27" s="438">
        <v>185</v>
      </c>
      <c r="GE27" s="497">
        <v>0.4006024096385542</v>
      </c>
      <c r="GF27" s="497">
        <v>0.55722891566265065</v>
      </c>
      <c r="GG27" s="497">
        <v>0.34931930560930768</v>
      </c>
      <c r="GH27" s="497">
        <v>0.45415939463288785</v>
      </c>
      <c r="GI27" s="497">
        <v>0.50344669444941159</v>
      </c>
      <c r="GJ27" s="104">
        <v>0.60970193268386974</v>
      </c>
      <c r="GK27" s="3">
        <v>179</v>
      </c>
      <c r="GL27" s="3">
        <v>16</v>
      </c>
      <c r="GM27" s="19">
        <v>8.9385474860335198E-2</v>
      </c>
      <c r="GN27" s="19">
        <v>5.5768700800059426E-2</v>
      </c>
      <c r="GO27" s="19">
        <v>0.14025609057858804</v>
      </c>
      <c r="GP27" s="353" t="s">
        <v>725</v>
      </c>
      <c r="GQ27" s="3">
        <v>208</v>
      </c>
      <c r="GR27" s="3">
        <v>21</v>
      </c>
      <c r="GS27" s="19">
        <v>0.10096153846153846</v>
      </c>
      <c r="GT27" s="19">
        <v>6.6986875276411589E-2</v>
      </c>
      <c r="GU27" s="19">
        <v>0.14940824905803252</v>
      </c>
      <c r="GV27" s="3" t="s">
        <v>725</v>
      </c>
      <c r="GW27" s="3">
        <v>165</v>
      </c>
      <c r="GX27" s="3">
        <v>17</v>
      </c>
      <c r="GY27" s="19">
        <v>0.10303030303030303</v>
      </c>
      <c r="GZ27" s="19">
        <v>6.5326799711821093E-2</v>
      </c>
      <c r="HA27" s="19">
        <v>0.15879741175262088</v>
      </c>
      <c r="HB27" s="3" t="s">
        <v>725</v>
      </c>
      <c r="HC27" s="3">
        <v>218</v>
      </c>
      <c r="HD27" s="3">
        <v>19</v>
      </c>
      <c r="HE27" s="19">
        <v>8.7155963302752298E-2</v>
      </c>
      <c r="HF27" s="19">
        <v>5.6505621010586905E-2</v>
      </c>
      <c r="HG27" s="19">
        <v>0.13210411426217361</v>
      </c>
      <c r="HH27" s="3" t="s">
        <v>725</v>
      </c>
      <c r="HI27" s="3">
        <v>151</v>
      </c>
      <c r="HJ27" s="3">
        <v>12</v>
      </c>
      <c r="HK27" s="19">
        <v>7.9470198675496692E-2</v>
      </c>
      <c r="HL27" s="19">
        <v>4.604266587121892E-2</v>
      </c>
      <c r="HM27" s="19">
        <v>0.13376356324041994</v>
      </c>
      <c r="HN27" s="11" t="s">
        <v>725</v>
      </c>
      <c r="HO27" s="11">
        <v>263</v>
      </c>
      <c r="HP27" s="11">
        <v>27</v>
      </c>
      <c r="HQ27" s="497">
        <v>0.10266159695817491</v>
      </c>
      <c r="HR27" s="497">
        <v>7.1518246533172666E-2</v>
      </c>
      <c r="HS27" s="497">
        <v>0.14524514202093156</v>
      </c>
      <c r="HT27" s="8" t="str">
        <f t="shared" si="0"/>
        <v>No Sig diff</v>
      </c>
      <c r="HU27" s="3">
        <v>171</v>
      </c>
      <c r="HV27" s="3">
        <v>37</v>
      </c>
      <c r="HW27" s="19">
        <v>0.21637426900584794</v>
      </c>
      <c r="HX27" s="19">
        <v>0.16125297547340778</v>
      </c>
      <c r="HY27" s="19">
        <v>0.283958699982373</v>
      </c>
      <c r="HZ27" s="3" t="s">
        <v>725</v>
      </c>
      <c r="IA27" s="3">
        <v>190</v>
      </c>
      <c r="IB27" s="3">
        <v>32</v>
      </c>
      <c r="IC27" s="19">
        <v>0.16842105263157894</v>
      </c>
      <c r="ID27" s="19">
        <v>0.12190040489443893</v>
      </c>
      <c r="IE27" s="19">
        <v>0.22808385148411195</v>
      </c>
      <c r="IF27" s="3" t="s">
        <v>725</v>
      </c>
      <c r="IG27" s="3">
        <v>189</v>
      </c>
      <c r="IH27" s="3">
        <v>33</v>
      </c>
      <c r="II27" s="19">
        <v>0.17460317460317459</v>
      </c>
      <c r="IJ27" s="19">
        <v>0.12711418630815544</v>
      </c>
      <c r="IK27" s="19">
        <v>0.23505616465166279</v>
      </c>
      <c r="IL27" s="3" t="s">
        <v>725</v>
      </c>
      <c r="IM27" s="3">
        <v>189</v>
      </c>
      <c r="IN27" s="3">
        <v>40</v>
      </c>
      <c r="IO27" s="19">
        <v>0.21164021164021163</v>
      </c>
      <c r="IP27" s="19">
        <v>0.15944764778291518</v>
      </c>
      <c r="IQ27" s="19">
        <v>0.27532119981562292</v>
      </c>
      <c r="IR27" s="3" t="s">
        <v>725</v>
      </c>
      <c r="IS27" s="3">
        <v>221</v>
      </c>
      <c r="IT27" s="3">
        <v>38</v>
      </c>
      <c r="IU27" s="19">
        <v>0.17194570135746606</v>
      </c>
      <c r="IV27" s="19">
        <v>0.12791177353920713</v>
      </c>
      <c r="IW27" s="19">
        <v>0.22718936856984601</v>
      </c>
      <c r="IX27" s="580" t="s">
        <v>725</v>
      </c>
      <c r="IY27" s="580">
        <v>229</v>
      </c>
      <c r="IZ27" s="580">
        <v>55</v>
      </c>
      <c r="JA27" s="497">
        <v>0.24017467248908297</v>
      </c>
      <c r="JB27" s="497">
        <v>0.1894236904947206</v>
      </c>
      <c r="JC27" s="497">
        <v>0.29949894122766879</v>
      </c>
      <c r="JD27" s="371" t="str">
        <f t="shared" si="1"/>
        <v>Sig better than Eng.</v>
      </c>
      <c r="JE27" s="3">
        <v>254</v>
      </c>
      <c r="JF27" s="3">
        <v>120</v>
      </c>
      <c r="JG27" s="19">
        <v>0.47244094488188976</v>
      </c>
      <c r="JH27" s="19">
        <v>0.41191315776587761</v>
      </c>
      <c r="JI27" s="19">
        <v>0.53378991084057259</v>
      </c>
      <c r="JJ27" s="3">
        <v>254</v>
      </c>
      <c r="JK27" s="3">
        <v>33</v>
      </c>
      <c r="JL27" s="3">
        <v>50</v>
      </c>
      <c r="JM27" s="383">
        <v>21.019999999999996</v>
      </c>
      <c r="JN27" s="19">
        <v>0.36303030303030315</v>
      </c>
      <c r="JO27" s="3">
        <v>261</v>
      </c>
      <c r="JP27" s="3">
        <v>134</v>
      </c>
      <c r="JQ27" s="19">
        <v>0.51340996168582376</v>
      </c>
      <c r="JR27" s="19">
        <v>0.45301896964169136</v>
      </c>
      <c r="JS27" s="19">
        <v>0.57341193747976205</v>
      </c>
      <c r="JT27" s="3">
        <v>261</v>
      </c>
      <c r="JU27" s="3">
        <v>34</v>
      </c>
      <c r="JV27" s="3">
        <v>52</v>
      </c>
      <c r="JW27" s="383">
        <v>21.84615384615384</v>
      </c>
      <c r="JX27" s="20">
        <v>0.35746606334841646</v>
      </c>
      <c r="JY27" s="44">
        <v>287</v>
      </c>
      <c r="JZ27" s="44">
        <v>170</v>
      </c>
      <c r="KA27" s="20">
        <v>0.59233449477351918</v>
      </c>
      <c r="KB27" s="20">
        <v>0.53462687179331625</v>
      </c>
      <c r="KC27" s="20">
        <v>0.6476029939723994</v>
      </c>
      <c r="KD27" s="438">
        <v>34</v>
      </c>
      <c r="KE27" s="438">
        <v>57</v>
      </c>
      <c r="KF27" s="384">
        <v>21.5</v>
      </c>
      <c r="KG27" s="104">
        <v>0.36899999999999999</v>
      </c>
      <c r="KH27" s="19">
        <v>0.9010472433549358</v>
      </c>
      <c r="KI27" s="19">
        <v>9.8952756645064338E-2</v>
      </c>
      <c r="KJ27" s="19">
        <v>5.4924788135547763E-2</v>
      </c>
      <c r="KK27" s="19">
        <v>0.14680656785678886</v>
      </c>
      <c r="KL27" s="19">
        <v>0.92725806956576196</v>
      </c>
      <c r="KM27" s="19">
        <v>7.2741930434238128E-2</v>
      </c>
      <c r="KN27" s="19">
        <v>3.5650162878397382E-2</v>
      </c>
      <c r="KO27" s="19">
        <v>0.11539746968488125</v>
      </c>
      <c r="KP27" s="19">
        <v>0.88393757239911097</v>
      </c>
      <c r="KQ27" s="19">
        <v>0.11606242760088913</v>
      </c>
      <c r="KR27" s="19">
        <v>6.5399908149707864E-2</v>
      </c>
      <c r="KS27" s="19">
        <v>0.16312109648171647</v>
      </c>
      <c r="KT27" s="19">
        <v>0.78786982248520698</v>
      </c>
      <c r="KU27" s="19">
        <v>0.21213017751479291</v>
      </c>
      <c r="KV27" s="19">
        <v>0.16251159892911632</v>
      </c>
      <c r="KW27" s="104">
        <v>0.2926383742085103</v>
      </c>
      <c r="KX27" s="438">
        <v>14</v>
      </c>
      <c r="KY27" s="438">
        <v>138</v>
      </c>
      <c r="KZ27" s="497">
        <v>0.10144927536231885</v>
      </c>
      <c r="LA27" s="497">
        <v>6.1397289850057331E-2</v>
      </c>
      <c r="LB27" s="497">
        <v>0.16308897168047182</v>
      </c>
      <c r="LC27" s="438">
        <v>12</v>
      </c>
      <c r="LD27" s="438">
        <v>138</v>
      </c>
      <c r="LE27" s="497">
        <v>8.6956521739130432E-2</v>
      </c>
      <c r="LF27" s="497">
        <v>5.044201073627725E-2</v>
      </c>
      <c r="LG27" s="497">
        <v>0.14584375121354387</v>
      </c>
      <c r="LH27" s="438">
        <v>12</v>
      </c>
      <c r="LI27" s="438">
        <v>137</v>
      </c>
      <c r="LJ27" s="497">
        <v>8.7591240875912413E-2</v>
      </c>
      <c r="LK27" s="497">
        <v>5.081551279351329E-2</v>
      </c>
      <c r="LL27" s="497">
        <v>0.14686391380302036</v>
      </c>
      <c r="LM27" s="438">
        <v>30</v>
      </c>
      <c r="LN27" s="438">
        <v>134</v>
      </c>
      <c r="LO27" s="497">
        <v>0.22388059701492538</v>
      </c>
      <c r="LP27" s="497">
        <v>0.16156409689143145</v>
      </c>
      <c r="LQ27" s="104">
        <v>0.30158726095758753</v>
      </c>
      <c r="LR27" s="3">
        <v>80</v>
      </c>
      <c r="LS27" s="3">
        <v>77</v>
      </c>
      <c r="LT27" s="3">
        <v>77</v>
      </c>
      <c r="LU27" s="3">
        <v>79</v>
      </c>
      <c r="LV27" s="3">
        <v>78</v>
      </c>
      <c r="LW27" s="3">
        <v>75</v>
      </c>
      <c r="LX27" s="3">
        <v>73</v>
      </c>
      <c r="LY27" s="3">
        <v>72</v>
      </c>
      <c r="LZ27" s="3">
        <v>73</v>
      </c>
      <c r="MA27" s="3">
        <v>72</v>
      </c>
      <c r="MB27" s="3">
        <v>73</v>
      </c>
      <c r="MC27" s="3">
        <v>74</v>
      </c>
      <c r="MD27" s="3">
        <v>73</v>
      </c>
      <c r="ME27" s="3">
        <v>78</v>
      </c>
      <c r="MF27" s="3">
        <v>71</v>
      </c>
      <c r="MG27" s="3">
        <v>71</v>
      </c>
      <c r="MH27" s="3">
        <v>69</v>
      </c>
      <c r="MI27" s="3">
        <v>71</v>
      </c>
      <c r="MJ27" s="3">
        <v>73</v>
      </c>
      <c r="MK27" s="3">
        <v>70</v>
      </c>
      <c r="ML27" s="3">
        <v>74</v>
      </c>
      <c r="MM27" s="3">
        <v>72</v>
      </c>
      <c r="MN27" s="8">
        <v>72</v>
      </c>
      <c r="MO27" s="3">
        <v>329</v>
      </c>
      <c r="MP27" s="24">
        <v>0.96699999999999997</v>
      </c>
      <c r="MQ27" s="24">
        <v>6.0000000000000001E-3</v>
      </c>
      <c r="MR27" s="24">
        <v>0.95699999999999996</v>
      </c>
      <c r="MS27" s="3">
        <v>318</v>
      </c>
      <c r="MT27" s="3">
        <v>2</v>
      </c>
      <c r="MU27" s="3">
        <v>315</v>
      </c>
      <c r="MV27" s="3">
        <v>333</v>
      </c>
      <c r="MW27" s="24">
        <v>0.97299999999999998</v>
      </c>
      <c r="MX27" s="24">
        <v>0.96099999999999997</v>
      </c>
      <c r="MY27" s="24">
        <v>0.97</v>
      </c>
      <c r="MZ27" s="24">
        <v>0.94299999999999995</v>
      </c>
      <c r="NA27" s="24">
        <v>0.94299999999999995</v>
      </c>
      <c r="NB27" s="3">
        <v>324</v>
      </c>
      <c r="NC27" s="3">
        <v>320</v>
      </c>
      <c r="ND27" s="3">
        <v>323</v>
      </c>
      <c r="NE27" s="3">
        <v>314</v>
      </c>
      <c r="NF27" s="3">
        <v>314</v>
      </c>
      <c r="NG27" s="3">
        <v>316</v>
      </c>
      <c r="NH27" s="24">
        <v>0.96199999999999997</v>
      </c>
      <c r="NI27" s="24">
        <v>0.94899999999999995</v>
      </c>
      <c r="NJ27" s="24">
        <v>0.96199999999999997</v>
      </c>
      <c r="NK27" s="24">
        <v>0.95899999999999996</v>
      </c>
      <c r="NL27" s="24">
        <v>0.94899999999999995</v>
      </c>
      <c r="NM27" s="24">
        <v>0.82899999999999996</v>
      </c>
      <c r="NN27" s="24">
        <v>0.94599999999999995</v>
      </c>
      <c r="NO27" s="24">
        <v>0.94599999999999995</v>
      </c>
      <c r="NP27" s="24">
        <v>0.95299999999999996</v>
      </c>
      <c r="NQ27" s="24">
        <v>0.92700000000000005</v>
      </c>
      <c r="NR27" s="3">
        <v>304</v>
      </c>
      <c r="NS27" s="3">
        <v>300</v>
      </c>
      <c r="NT27" s="3">
        <v>304</v>
      </c>
      <c r="NU27" s="3">
        <v>303</v>
      </c>
      <c r="NV27" s="3">
        <v>300</v>
      </c>
      <c r="NW27" s="3">
        <v>262</v>
      </c>
      <c r="NX27" s="3">
        <v>299</v>
      </c>
      <c r="NY27" s="3">
        <v>299</v>
      </c>
      <c r="NZ27" s="3">
        <v>301</v>
      </c>
      <c r="OA27" s="8">
        <v>293</v>
      </c>
    </row>
    <row r="28" spans="1:391" s="3" customFormat="1" ht="12.75" x14ac:dyDescent="0.2">
      <c r="A28" s="11" t="s">
        <v>54</v>
      </c>
      <c r="B28" s="8">
        <v>23</v>
      </c>
      <c r="C28" s="11" t="s">
        <v>206</v>
      </c>
      <c r="D28" s="11" t="s">
        <v>208</v>
      </c>
      <c r="E28" s="11" t="s">
        <v>207</v>
      </c>
      <c r="F28" s="11" t="s">
        <v>900</v>
      </c>
      <c r="G28" s="11" t="s">
        <v>209</v>
      </c>
      <c r="H28" s="11" t="s">
        <v>268</v>
      </c>
      <c r="I28" s="11" t="s">
        <v>84</v>
      </c>
      <c r="J28" s="11" t="s">
        <v>269</v>
      </c>
      <c r="K28" s="11" t="s">
        <v>382</v>
      </c>
      <c r="L28" s="11" t="s">
        <v>397</v>
      </c>
      <c r="M28" s="11" t="s">
        <v>348</v>
      </c>
      <c r="N28" s="3" t="s">
        <v>84</v>
      </c>
      <c r="O28" s="11">
        <v>508521</v>
      </c>
      <c r="P28" s="11">
        <v>125290</v>
      </c>
      <c r="Q28" s="128" t="s">
        <v>287</v>
      </c>
      <c r="R28" s="128" t="s">
        <v>287</v>
      </c>
      <c r="S28" s="128" t="s">
        <v>287</v>
      </c>
      <c r="T28" s="38">
        <v>24350</v>
      </c>
      <c r="U28" s="39">
        <v>24640</v>
      </c>
      <c r="V28" s="39">
        <v>24855</v>
      </c>
      <c r="W28" s="39">
        <v>25020</v>
      </c>
      <c r="X28" s="39">
        <v>25175</v>
      </c>
      <c r="Y28" s="39">
        <v>25585</v>
      </c>
      <c r="Z28" s="39">
        <v>25835</v>
      </c>
      <c r="AA28" s="39">
        <v>25910</v>
      </c>
      <c r="AB28" s="39">
        <v>26075</v>
      </c>
      <c r="AC28" s="44">
        <v>26309</v>
      </c>
      <c r="AD28" s="38">
        <v>1220</v>
      </c>
      <c r="AE28" s="39">
        <v>1195</v>
      </c>
      <c r="AF28" s="39">
        <v>1235</v>
      </c>
      <c r="AG28" s="39">
        <v>1235</v>
      </c>
      <c r="AH28" s="39">
        <v>1235</v>
      </c>
      <c r="AI28" s="39">
        <v>1285</v>
      </c>
      <c r="AJ28" s="39">
        <v>1290</v>
      </c>
      <c r="AK28" s="39">
        <v>1300</v>
      </c>
      <c r="AL28" s="39">
        <v>1295</v>
      </c>
      <c r="AM28" s="44">
        <v>1260</v>
      </c>
      <c r="AN28" s="15">
        <v>1317</v>
      </c>
      <c r="AO28" s="3">
        <v>1224</v>
      </c>
      <c r="AP28" s="3">
        <v>30</v>
      </c>
      <c r="AQ28" s="3">
        <v>46</v>
      </c>
      <c r="AR28" s="3">
        <v>13</v>
      </c>
      <c r="AS28" s="3">
        <v>3</v>
      </c>
      <c r="AT28" s="3">
        <v>1</v>
      </c>
      <c r="AU28" s="11">
        <v>93</v>
      </c>
      <c r="AV28" s="18">
        <v>0.92938496583143504</v>
      </c>
      <c r="AW28" s="19">
        <v>2.2779043280182234E-2</v>
      </c>
      <c r="AX28" s="19">
        <v>3.4927866362946092E-2</v>
      </c>
      <c r="AY28" s="19">
        <v>9.8709187547456334E-3</v>
      </c>
      <c r="AZ28" s="19">
        <v>2.2779043280182231E-3</v>
      </c>
      <c r="BA28" s="19">
        <v>7.5930144267274111E-4</v>
      </c>
      <c r="BB28" s="20">
        <v>7.0615034168564961E-2</v>
      </c>
      <c r="BC28" s="15">
        <v>3741</v>
      </c>
      <c r="BD28" s="3">
        <v>3728</v>
      </c>
      <c r="BE28" s="3">
        <v>13</v>
      </c>
      <c r="BF28" s="3">
        <v>10</v>
      </c>
      <c r="BG28" s="3">
        <v>3</v>
      </c>
      <c r="BH28" s="19">
        <v>0.76923076923076927</v>
      </c>
      <c r="BI28" s="20">
        <v>0.23076923076923078</v>
      </c>
      <c r="BJ28" s="15">
        <v>2663</v>
      </c>
      <c r="BK28" s="19">
        <v>0.74652647390161475</v>
      </c>
      <c r="BL28" s="19">
        <v>0.13931656027037176</v>
      </c>
      <c r="BM28" s="20">
        <v>0.11415696582801352</v>
      </c>
      <c r="BN28" s="38">
        <v>8085</v>
      </c>
      <c r="BO28" s="39">
        <v>372</v>
      </c>
      <c r="BP28" s="39">
        <v>445</v>
      </c>
      <c r="BQ28" s="39">
        <v>205</v>
      </c>
      <c r="BR28" s="39">
        <v>5095</v>
      </c>
      <c r="BS28" s="39">
        <v>2831</v>
      </c>
      <c r="BT28" s="20">
        <v>0.15436241610738255</v>
      </c>
      <c r="BU28" s="38">
        <v>1979</v>
      </c>
      <c r="BV28" s="39">
        <v>1</v>
      </c>
      <c r="BW28" s="39">
        <v>300</v>
      </c>
      <c r="BX28" s="39">
        <v>384</v>
      </c>
      <c r="BY28" s="39">
        <v>174</v>
      </c>
      <c r="BZ28" s="40">
        <v>2838</v>
      </c>
      <c r="CA28" s="39">
        <v>1024</v>
      </c>
      <c r="CB28" s="39">
        <v>917</v>
      </c>
      <c r="CC28" s="39">
        <v>107</v>
      </c>
      <c r="CD28" s="39">
        <v>107</v>
      </c>
      <c r="CE28" s="19">
        <v>0.1044921875</v>
      </c>
      <c r="CF28" s="104">
        <v>0.1044921875</v>
      </c>
      <c r="CG28" s="39">
        <v>95</v>
      </c>
      <c r="CH28" s="39">
        <v>65</v>
      </c>
      <c r="CI28" s="39">
        <v>55</v>
      </c>
      <c r="CJ28" s="39">
        <v>45</v>
      </c>
      <c r="CK28" s="44">
        <v>40</v>
      </c>
      <c r="CL28" s="38">
        <v>383</v>
      </c>
      <c r="CM28" s="39">
        <v>109</v>
      </c>
      <c r="CN28" s="19">
        <v>0.28459530026109658</v>
      </c>
      <c r="CO28" s="40">
        <v>46</v>
      </c>
      <c r="CP28" s="39">
        <v>208</v>
      </c>
      <c r="CQ28" s="39">
        <v>215</v>
      </c>
      <c r="CR28" s="39">
        <v>226</v>
      </c>
      <c r="CS28" s="39">
        <v>196</v>
      </c>
      <c r="CT28" s="39">
        <v>185</v>
      </c>
      <c r="CU28" s="124" t="s">
        <v>474</v>
      </c>
      <c r="CV28" s="39">
        <v>5</v>
      </c>
      <c r="CW28" s="39">
        <v>2</v>
      </c>
      <c r="CX28" s="39">
        <v>4</v>
      </c>
      <c r="CY28" s="39">
        <v>6</v>
      </c>
      <c r="CZ28" s="39">
        <v>3</v>
      </c>
      <c r="DA28" s="120" t="s">
        <v>474</v>
      </c>
      <c r="DB28" s="15">
        <v>5</v>
      </c>
      <c r="DC28" s="15">
        <v>17</v>
      </c>
      <c r="DD28" s="19">
        <v>9.1891891891891897E-2</v>
      </c>
      <c r="DE28" s="19">
        <v>5.8164744484854133E-2</v>
      </c>
      <c r="DF28" s="20">
        <v>0.14222270780984969</v>
      </c>
      <c r="DG28" s="15">
        <v>14</v>
      </c>
      <c r="DH28" s="20">
        <v>1.0630220197418374E-2</v>
      </c>
      <c r="DI28" s="423">
        <v>8</v>
      </c>
      <c r="DJ28" s="428">
        <v>7</v>
      </c>
      <c r="DK28" s="3">
        <v>209</v>
      </c>
      <c r="DL28" s="20">
        <v>1.9179590713040286E-2</v>
      </c>
      <c r="DM28" s="15">
        <v>140</v>
      </c>
      <c r="DN28" s="3">
        <v>140</v>
      </c>
      <c r="DO28" s="3">
        <v>110</v>
      </c>
      <c r="DP28" s="3">
        <v>120</v>
      </c>
      <c r="DQ28" s="11">
        <v>80</v>
      </c>
      <c r="DR28" s="15">
        <v>120</v>
      </c>
      <c r="DS28" s="19">
        <v>0.10084033613445378</v>
      </c>
      <c r="DT28" s="19">
        <v>8.4995619767658556E-2</v>
      </c>
      <c r="DU28" s="19">
        <v>0.11925382811260415</v>
      </c>
      <c r="DV28" s="3">
        <v>140</v>
      </c>
      <c r="DW28" s="19">
        <v>0.11618257261410789</v>
      </c>
      <c r="DX28" s="19">
        <v>9.9297085187395925E-2</v>
      </c>
      <c r="DY28" s="19">
        <v>0.13550745162721708</v>
      </c>
      <c r="DZ28" s="3">
        <v>140</v>
      </c>
      <c r="EA28" s="19">
        <v>0.11570247933884298</v>
      </c>
      <c r="EB28" s="19">
        <v>9.8883206415171607E-2</v>
      </c>
      <c r="EC28" s="19">
        <v>0.13495413433314976</v>
      </c>
      <c r="ED28" s="3">
        <v>115</v>
      </c>
      <c r="EE28" s="19">
        <v>9.5041322314049589E-2</v>
      </c>
      <c r="EF28" s="19">
        <v>7.9774954779541149E-2</v>
      </c>
      <c r="EG28" s="19">
        <v>0.11287084514879749</v>
      </c>
      <c r="EH28" s="3">
        <v>110</v>
      </c>
      <c r="EI28" s="20">
        <v>9.3220338983050849E-2</v>
      </c>
      <c r="EJ28" s="20">
        <v>7.7925985267321751E-2</v>
      </c>
      <c r="EK28" s="20">
        <v>0.11115461936336758</v>
      </c>
      <c r="EL28" s="438">
        <v>125</v>
      </c>
      <c r="EM28" s="20">
        <v>0.13157894736842105</v>
      </c>
      <c r="EN28" s="20">
        <v>0.11155942916869538</v>
      </c>
      <c r="EO28" s="104">
        <v>0.15456599080889441</v>
      </c>
      <c r="EP28" s="38">
        <v>360</v>
      </c>
      <c r="EQ28" s="20">
        <v>8.3236994219653179E-2</v>
      </c>
      <c r="ER28" s="44">
        <v>445</v>
      </c>
      <c r="ES28" s="20">
        <v>0.10113636363636364</v>
      </c>
      <c r="ET28" s="44">
        <v>410</v>
      </c>
      <c r="EU28" s="20">
        <v>9.2760180995475117E-2</v>
      </c>
      <c r="EV28" s="44">
        <v>385</v>
      </c>
      <c r="EW28" s="20">
        <v>8.7005649717514122E-2</v>
      </c>
      <c r="EX28" s="44">
        <v>310</v>
      </c>
      <c r="EY28" s="20">
        <v>7.0857142857142855E-2</v>
      </c>
      <c r="EZ28" s="44">
        <v>340</v>
      </c>
      <c r="FA28" s="104">
        <v>7.9812206572769953E-2</v>
      </c>
      <c r="FB28" s="3">
        <v>188</v>
      </c>
      <c r="FC28" s="3">
        <v>6</v>
      </c>
      <c r="FD28" s="3">
        <v>182</v>
      </c>
      <c r="FE28" s="19">
        <v>0.96808510638297873</v>
      </c>
      <c r="FF28" s="3">
        <v>87</v>
      </c>
      <c r="FG28" s="3">
        <v>109</v>
      </c>
      <c r="FH28" s="19">
        <v>0.47802197802197804</v>
      </c>
      <c r="FI28" s="19">
        <v>0.59890109890109888</v>
      </c>
      <c r="FJ28" s="19">
        <v>0.40665663560429499</v>
      </c>
      <c r="FK28" s="19">
        <v>0.55029595197566561</v>
      </c>
      <c r="FL28" s="19">
        <v>0.52635968482548634</v>
      </c>
      <c r="FM28" s="104">
        <v>0.66735367106469112</v>
      </c>
      <c r="FN28" s="438">
        <v>187</v>
      </c>
      <c r="FO28" s="438">
        <v>82</v>
      </c>
      <c r="FP28" s="438">
        <v>23</v>
      </c>
      <c r="FQ28" s="438">
        <v>105</v>
      </c>
      <c r="FR28" s="497">
        <v>0.43850267379679142</v>
      </c>
      <c r="FS28" s="497">
        <v>0.56149732620320858</v>
      </c>
      <c r="FT28" s="497">
        <v>0.36932983073534964</v>
      </c>
      <c r="FU28" s="497">
        <v>0.51015128336779847</v>
      </c>
      <c r="FV28" s="497">
        <v>0.48984871663220159</v>
      </c>
      <c r="FW28" s="104">
        <v>0.63067016926465036</v>
      </c>
      <c r="FX28" s="438">
        <v>134</v>
      </c>
      <c r="FY28" s="438">
        <v>15</v>
      </c>
      <c r="FZ28" s="438">
        <v>119</v>
      </c>
      <c r="GA28" s="497">
        <v>0.88805970149253732</v>
      </c>
      <c r="GB28" s="438">
        <v>49</v>
      </c>
      <c r="GC28" s="438">
        <v>19</v>
      </c>
      <c r="GD28" s="438">
        <v>68</v>
      </c>
      <c r="GE28" s="497">
        <v>0.41176470588235292</v>
      </c>
      <c r="GF28" s="497">
        <v>0.5714285714285714</v>
      </c>
      <c r="GG28" s="497">
        <v>0.32744889515530695</v>
      </c>
      <c r="GH28" s="497">
        <v>0.50159904841680003</v>
      </c>
      <c r="GI28" s="497">
        <v>0.48165426055967214</v>
      </c>
      <c r="GJ28" s="104">
        <v>0.65673549940576514</v>
      </c>
      <c r="GK28" s="3">
        <v>208</v>
      </c>
      <c r="GL28" s="3">
        <v>14</v>
      </c>
      <c r="GM28" s="19">
        <v>6.7307692307692304E-2</v>
      </c>
      <c r="GN28" s="19">
        <v>4.0513731011622561E-2</v>
      </c>
      <c r="GO28" s="19">
        <v>0.1097942351341602</v>
      </c>
      <c r="GP28" s="353" t="s">
        <v>725</v>
      </c>
      <c r="GQ28" s="3">
        <v>258</v>
      </c>
      <c r="GR28" s="3">
        <v>21</v>
      </c>
      <c r="GS28" s="19">
        <v>8.1395348837209308E-2</v>
      </c>
      <c r="GT28" s="19">
        <v>5.3851900260729016E-2</v>
      </c>
      <c r="GU28" s="19">
        <v>0.12122144002372841</v>
      </c>
      <c r="GV28" s="3" t="s">
        <v>725</v>
      </c>
      <c r="GW28" s="3">
        <v>129</v>
      </c>
      <c r="GX28" s="3">
        <v>7</v>
      </c>
      <c r="GY28" s="19">
        <v>5.4263565891472867E-2</v>
      </c>
      <c r="GZ28" s="19">
        <v>2.6530955330892243E-2</v>
      </c>
      <c r="HA28" s="19">
        <v>0.10777545005702245</v>
      </c>
      <c r="HB28" s="3" t="s">
        <v>725</v>
      </c>
      <c r="HC28" s="3">
        <v>197</v>
      </c>
      <c r="HD28" s="3">
        <v>15</v>
      </c>
      <c r="HE28" s="19">
        <v>7.6142131979695438E-2</v>
      </c>
      <c r="HF28" s="19">
        <v>4.6683361087312907E-2</v>
      </c>
      <c r="HG28" s="19">
        <v>0.12181501080963128</v>
      </c>
      <c r="HH28" s="3" t="s">
        <v>725</v>
      </c>
      <c r="HI28" s="3">
        <v>187</v>
      </c>
      <c r="HJ28" s="3">
        <v>13</v>
      </c>
      <c r="HK28" s="19">
        <v>6.9518716577540107E-2</v>
      </c>
      <c r="HL28" s="19">
        <v>4.1073915223378998E-2</v>
      </c>
      <c r="HM28" s="19">
        <v>0.11529388349865753</v>
      </c>
      <c r="HN28" s="11" t="s">
        <v>725</v>
      </c>
      <c r="HO28" s="11">
        <v>197</v>
      </c>
      <c r="HP28" s="11">
        <v>9</v>
      </c>
      <c r="HQ28" s="497">
        <v>4.5685279187817257E-2</v>
      </c>
      <c r="HR28" s="497">
        <v>2.4218569045282971E-2</v>
      </c>
      <c r="HS28" s="497">
        <v>8.4531182868208113E-2</v>
      </c>
      <c r="HT28" s="8" t="str">
        <f t="shared" si="0"/>
        <v>Sig better than Eng.</v>
      </c>
      <c r="HU28" s="3">
        <v>207</v>
      </c>
      <c r="HV28" s="3">
        <v>34</v>
      </c>
      <c r="HW28" s="19">
        <v>0.16400000000000001</v>
      </c>
      <c r="HX28" s="19">
        <v>0.12</v>
      </c>
      <c r="HY28" s="19">
        <v>0.221</v>
      </c>
      <c r="HZ28" s="3" t="s">
        <v>725</v>
      </c>
      <c r="IA28" s="3">
        <v>213</v>
      </c>
      <c r="IB28" s="3">
        <v>31</v>
      </c>
      <c r="IC28" s="19">
        <v>0.14599999999999999</v>
      </c>
      <c r="ID28" s="19">
        <v>0.104</v>
      </c>
      <c r="IE28" s="19">
        <v>0.19900000000000001</v>
      </c>
      <c r="IF28" s="3" t="s">
        <v>725</v>
      </c>
      <c r="IG28" s="3">
        <v>205</v>
      </c>
      <c r="IH28" s="3">
        <v>27</v>
      </c>
      <c r="II28" s="19">
        <v>0.13170731707317074</v>
      </c>
      <c r="IJ28" s="19">
        <v>9.2119520186502241E-2</v>
      </c>
      <c r="IK28" s="19">
        <v>0.18484396755831045</v>
      </c>
      <c r="IL28" s="3" t="s">
        <v>726</v>
      </c>
      <c r="IM28" s="3">
        <v>193</v>
      </c>
      <c r="IN28" s="3">
        <v>19</v>
      </c>
      <c r="IO28" s="19">
        <v>9.8445595854922283E-2</v>
      </c>
      <c r="IP28" s="19">
        <v>6.3932503429260476E-2</v>
      </c>
      <c r="IQ28" s="19">
        <v>0.14863175549958713</v>
      </c>
      <c r="IR28" s="3" t="s">
        <v>726</v>
      </c>
      <c r="IS28" s="3">
        <v>223</v>
      </c>
      <c r="IT28" s="3">
        <v>33</v>
      </c>
      <c r="IU28" s="19">
        <v>0.14798206278026907</v>
      </c>
      <c r="IV28" s="19">
        <v>0.1073525330055613</v>
      </c>
      <c r="IW28" s="19">
        <v>0.200534125737451</v>
      </c>
      <c r="IX28" s="580" t="s">
        <v>725</v>
      </c>
      <c r="IY28" s="580">
        <v>240</v>
      </c>
      <c r="IZ28" s="580">
        <v>30</v>
      </c>
      <c r="JA28" s="497">
        <v>0.125</v>
      </c>
      <c r="JB28" s="497">
        <v>8.8979374566567848E-2</v>
      </c>
      <c r="JC28" s="497">
        <v>0.17283606538960125</v>
      </c>
      <c r="JD28" s="371" t="str">
        <f t="shared" si="1"/>
        <v>Sig better than Eng.</v>
      </c>
      <c r="JE28" s="3">
        <v>243</v>
      </c>
      <c r="JF28" s="3">
        <v>152</v>
      </c>
      <c r="JG28" s="19">
        <v>0.62551440329218111</v>
      </c>
      <c r="JH28" s="19">
        <v>0.56315198511017772</v>
      </c>
      <c r="JI28" s="19">
        <v>0.68397019724700259</v>
      </c>
      <c r="JJ28" s="3">
        <v>243</v>
      </c>
      <c r="JK28" s="3">
        <v>34</v>
      </c>
      <c r="JL28" s="3">
        <v>48</v>
      </c>
      <c r="JM28" s="383">
        <v>26.041666666666671</v>
      </c>
      <c r="JN28" s="19">
        <v>0.23406862745098025</v>
      </c>
      <c r="JO28" s="3">
        <v>294</v>
      </c>
      <c r="JP28" s="3">
        <v>196</v>
      </c>
      <c r="JQ28" s="19">
        <v>0.66666666666666663</v>
      </c>
      <c r="JR28" s="19">
        <v>0.61093750591623186</v>
      </c>
      <c r="JS28" s="19">
        <v>0.71809660635286543</v>
      </c>
      <c r="JT28" s="3">
        <v>294</v>
      </c>
      <c r="JU28" s="3">
        <v>34</v>
      </c>
      <c r="JV28" s="3">
        <v>58</v>
      </c>
      <c r="JW28" s="383">
        <v>26.586206896551726</v>
      </c>
      <c r="JX28" s="20">
        <v>0.21805273833671393</v>
      </c>
      <c r="JY28" s="44">
        <v>259</v>
      </c>
      <c r="JZ28" s="44">
        <v>185</v>
      </c>
      <c r="KA28" s="20">
        <v>0.7142857142857143</v>
      </c>
      <c r="KB28" s="20">
        <v>0.6564502902182715</v>
      </c>
      <c r="KC28" s="20">
        <v>0.76585751654109624</v>
      </c>
      <c r="KD28" s="438">
        <v>34</v>
      </c>
      <c r="KE28" s="438">
        <v>51</v>
      </c>
      <c r="KF28" s="384">
        <v>26.8</v>
      </c>
      <c r="KG28" s="104">
        <v>0.21</v>
      </c>
      <c r="KH28" s="19">
        <v>0.94310290404040398</v>
      </c>
      <c r="KI28" s="19">
        <v>5.6897095959595953E-2</v>
      </c>
      <c r="KJ28" s="19">
        <v>5.4117934063799819E-2</v>
      </c>
      <c r="KK28" s="19">
        <v>0.18113867504246287</v>
      </c>
      <c r="KL28" s="19">
        <v>0.96440972222222221</v>
      </c>
      <c r="KM28" s="19">
        <v>3.5590277777777776E-2</v>
      </c>
      <c r="KN28" s="19">
        <v>1.7614201033819141E-2</v>
      </c>
      <c r="KO28" s="19">
        <v>0.10993207132684676</v>
      </c>
      <c r="KP28" s="19">
        <v>0.9656723484848484</v>
      </c>
      <c r="KQ28" s="19">
        <v>3.4327651515151512E-2</v>
      </c>
      <c r="KR28" s="19">
        <v>1.7614201033819141E-2</v>
      </c>
      <c r="KS28" s="19">
        <v>0.10993207132684676</v>
      </c>
      <c r="KT28" s="19">
        <v>0.86806344696969695</v>
      </c>
      <c r="KU28" s="19">
        <v>0.13193655303030305</v>
      </c>
      <c r="KV28" s="19">
        <v>9.607722097921384E-2</v>
      </c>
      <c r="KW28" s="104">
        <v>0.24688972487264566</v>
      </c>
      <c r="KX28" s="438">
        <v>13</v>
      </c>
      <c r="KY28" s="438">
        <v>97</v>
      </c>
      <c r="KZ28" s="497">
        <v>0.13402061855670103</v>
      </c>
      <c r="LA28" s="497">
        <v>8.002456680409932E-2</v>
      </c>
      <c r="LB28" s="497">
        <v>0.21589993854994483</v>
      </c>
      <c r="LC28" s="438">
        <v>10</v>
      </c>
      <c r="LD28" s="438">
        <v>97</v>
      </c>
      <c r="LE28" s="497">
        <v>0.10309278350515463</v>
      </c>
      <c r="LF28" s="497">
        <v>5.696749338581044E-2</v>
      </c>
      <c r="LG28" s="497">
        <v>0.17945767439251914</v>
      </c>
      <c r="LH28" s="438">
        <v>12</v>
      </c>
      <c r="LI28" s="438">
        <v>96</v>
      </c>
      <c r="LJ28" s="497">
        <v>0.125</v>
      </c>
      <c r="LK28" s="497">
        <v>7.2972009599242701E-2</v>
      </c>
      <c r="LL28" s="497">
        <v>0.20588468129401402</v>
      </c>
      <c r="LM28" s="438">
        <v>21</v>
      </c>
      <c r="LN28" s="438">
        <v>95</v>
      </c>
      <c r="LO28" s="497">
        <v>0.22105263157894736</v>
      </c>
      <c r="LP28" s="497">
        <v>0.14937352947245269</v>
      </c>
      <c r="LQ28" s="104">
        <v>0.31441423092325321</v>
      </c>
      <c r="LR28" s="3">
        <v>58</v>
      </c>
      <c r="LS28" s="3">
        <v>56</v>
      </c>
      <c r="LT28" s="3">
        <v>56</v>
      </c>
      <c r="LU28" s="3">
        <v>56</v>
      </c>
      <c r="LV28" s="3">
        <v>56</v>
      </c>
      <c r="LW28" s="3">
        <v>62</v>
      </c>
      <c r="LX28" s="3">
        <v>58</v>
      </c>
      <c r="LY28" s="3">
        <v>57</v>
      </c>
      <c r="LZ28" s="3">
        <v>58</v>
      </c>
      <c r="MA28" s="3">
        <v>58</v>
      </c>
      <c r="MB28" s="3">
        <v>57</v>
      </c>
      <c r="MC28" s="3">
        <v>59</v>
      </c>
      <c r="MD28" s="3">
        <v>58</v>
      </c>
      <c r="ME28" s="3">
        <v>60</v>
      </c>
      <c r="MF28" s="3">
        <v>59</v>
      </c>
      <c r="MG28" s="3">
        <v>57</v>
      </c>
      <c r="MH28" s="3">
        <v>56</v>
      </c>
      <c r="MI28" s="3">
        <v>55</v>
      </c>
      <c r="MJ28" s="3">
        <v>55</v>
      </c>
      <c r="MK28" s="3">
        <v>55</v>
      </c>
      <c r="ML28" s="3">
        <v>58</v>
      </c>
      <c r="MM28" s="3">
        <v>54</v>
      </c>
      <c r="MN28" s="8">
        <v>59</v>
      </c>
      <c r="MO28" s="3">
        <v>124</v>
      </c>
      <c r="MP28" s="24">
        <v>0.90300000000000002</v>
      </c>
      <c r="MQ28" s="24">
        <v>1.6E-2</v>
      </c>
      <c r="MR28" s="24">
        <v>0.90300000000000002</v>
      </c>
      <c r="MS28" s="3">
        <v>112</v>
      </c>
      <c r="MT28" s="3">
        <v>2</v>
      </c>
      <c r="MU28" s="3">
        <v>112</v>
      </c>
      <c r="MV28" s="3">
        <v>134</v>
      </c>
      <c r="MW28" s="24">
        <v>0.97</v>
      </c>
      <c r="MX28" s="24">
        <v>0.94</v>
      </c>
      <c r="MY28" s="24">
        <v>0.95499999999999996</v>
      </c>
      <c r="MZ28" s="24">
        <v>0.94</v>
      </c>
      <c r="NA28" s="24">
        <v>0.92500000000000004</v>
      </c>
      <c r="NB28" s="3">
        <v>130</v>
      </c>
      <c r="NC28" s="3">
        <v>126</v>
      </c>
      <c r="ND28" s="3">
        <v>128</v>
      </c>
      <c r="NE28" s="3">
        <v>126</v>
      </c>
      <c r="NF28" s="3">
        <v>124</v>
      </c>
      <c r="NG28" s="3">
        <v>184</v>
      </c>
      <c r="NH28" s="24">
        <v>0.98399999999999999</v>
      </c>
      <c r="NI28" s="24">
        <v>0.875</v>
      </c>
      <c r="NJ28" s="24">
        <v>0.98399999999999999</v>
      </c>
      <c r="NK28" s="24">
        <v>0.98399999999999999</v>
      </c>
      <c r="NL28" s="24">
        <v>0.97799999999999998</v>
      </c>
      <c r="NM28" s="24">
        <v>0.92400000000000004</v>
      </c>
      <c r="NN28" s="24">
        <v>0.94599999999999995</v>
      </c>
      <c r="NO28" s="24">
        <v>0.84799999999999998</v>
      </c>
      <c r="NP28" s="24">
        <v>0.995</v>
      </c>
      <c r="NQ28" s="24">
        <v>0.92900000000000005</v>
      </c>
      <c r="NR28" s="3">
        <v>181</v>
      </c>
      <c r="NS28" s="3">
        <v>161</v>
      </c>
      <c r="NT28" s="3">
        <v>181</v>
      </c>
      <c r="NU28" s="3">
        <v>181</v>
      </c>
      <c r="NV28" s="3">
        <v>180</v>
      </c>
      <c r="NW28" s="3">
        <v>170</v>
      </c>
      <c r="NX28" s="3">
        <v>174</v>
      </c>
      <c r="NY28" s="3">
        <v>156</v>
      </c>
      <c r="NZ28" s="3">
        <v>183</v>
      </c>
      <c r="OA28" s="8">
        <v>171</v>
      </c>
    </row>
    <row r="29" spans="1:391" s="3" customFormat="1" ht="12.75" x14ac:dyDescent="0.2">
      <c r="A29" s="11" t="s">
        <v>55</v>
      </c>
      <c r="B29" s="8">
        <v>24</v>
      </c>
      <c r="C29" s="11" t="s">
        <v>210</v>
      </c>
      <c r="D29" s="11" t="s">
        <v>211</v>
      </c>
      <c r="E29" s="11" t="s">
        <v>287</v>
      </c>
      <c r="F29" s="11" t="s">
        <v>287</v>
      </c>
      <c r="G29" s="11" t="s">
        <v>212</v>
      </c>
      <c r="H29" s="11" t="s">
        <v>268</v>
      </c>
      <c r="I29" s="11" t="s">
        <v>84</v>
      </c>
      <c r="J29" s="11" t="s">
        <v>269</v>
      </c>
      <c r="K29" s="11" t="s">
        <v>383</v>
      </c>
      <c r="L29" s="11" t="s">
        <v>272</v>
      </c>
      <c r="M29" s="11" t="s">
        <v>349</v>
      </c>
      <c r="N29" s="3" t="s">
        <v>402</v>
      </c>
      <c r="O29" s="11">
        <v>508603</v>
      </c>
      <c r="P29" s="11">
        <v>114354</v>
      </c>
      <c r="Q29" s="128" t="s">
        <v>287</v>
      </c>
      <c r="R29" s="128" t="s">
        <v>287</v>
      </c>
      <c r="S29" s="128" t="s">
        <v>287</v>
      </c>
      <c r="T29" s="38">
        <v>12260</v>
      </c>
      <c r="U29" s="39">
        <v>12325</v>
      </c>
      <c r="V29" s="39">
        <v>12385</v>
      </c>
      <c r="W29" s="39">
        <v>12470</v>
      </c>
      <c r="X29" s="39">
        <v>12475</v>
      </c>
      <c r="Y29" s="39">
        <v>12705</v>
      </c>
      <c r="Z29" s="39">
        <v>12710</v>
      </c>
      <c r="AA29" s="39">
        <v>12795</v>
      </c>
      <c r="AB29" s="39">
        <v>12795</v>
      </c>
      <c r="AC29" s="44">
        <v>12437</v>
      </c>
      <c r="AD29" s="38">
        <v>595</v>
      </c>
      <c r="AE29" s="39">
        <v>560</v>
      </c>
      <c r="AF29" s="39">
        <v>605</v>
      </c>
      <c r="AG29" s="39">
        <v>610</v>
      </c>
      <c r="AH29" s="39">
        <v>600</v>
      </c>
      <c r="AI29" s="39">
        <v>615</v>
      </c>
      <c r="AJ29" s="39">
        <v>600</v>
      </c>
      <c r="AK29" s="39">
        <v>605</v>
      </c>
      <c r="AL29" s="39">
        <v>590</v>
      </c>
      <c r="AM29" s="44">
        <v>565</v>
      </c>
      <c r="AN29" s="15">
        <v>607</v>
      </c>
      <c r="AO29" s="3">
        <v>565</v>
      </c>
      <c r="AP29" s="3">
        <v>20</v>
      </c>
      <c r="AQ29" s="3">
        <v>16</v>
      </c>
      <c r="AR29" s="3">
        <v>6</v>
      </c>
      <c r="AS29" s="3">
        <v>0</v>
      </c>
      <c r="AT29" s="3">
        <v>0</v>
      </c>
      <c r="AU29" s="11">
        <v>42</v>
      </c>
      <c r="AV29" s="18">
        <v>0.93080724876441512</v>
      </c>
      <c r="AW29" s="19">
        <v>3.2948929159802305E-2</v>
      </c>
      <c r="AX29" s="19">
        <v>2.6359143327841845E-2</v>
      </c>
      <c r="AY29" s="19">
        <v>9.8846787479406912E-3</v>
      </c>
      <c r="AZ29" s="19">
        <v>0</v>
      </c>
      <c r="BA29" s="19">
        <v>0</v>
      </c>
      <c r="BB29" s="20">
        <v>6.9192751235584882E-2</v>
      </c>
      <c r="BC29" s="15">
        <v>1921</v>
      </c>
      <c r="BD29" s="3">
        <v>1896</v>
      </c>
      <c r="BE29" s="3">
        <v>25</v>
      </c>
      <c r="BF29" s="3">
        <v>21</v>
      </c>
      <c r="BG29" s="3">
        <v>4</v>
      </c>
      <c r="BH29" s="19">
        <v>0.84</v>
      </c>
      <c r="BI29" s="20">
        <v>0.16</v>
      </c>
      <c r="BJ29" s="15">
        <v>1244</v>
      </c>
      <c r="BK29" s="19">
        <v>0.68890675241157562</v>
      </c>
      <c r="BL29" s="19">
        <v>0.16157556270096463</v>
      </c>
      <c r="BM29" s="20">
        <v>0.14951768488745981</v>
      </c>
      <c r="BN29" s="38">
        <v>3898</v>
      </c>
      <c r="BO29" s="39">
        <v>168</v>
      </c>
      <c r="BP29" s="39">
        <v>196</v>
      </c>
      <c r="BQ29" s="39">
        <v>100</v>
      </c>
      <c r="BR29" s="39">
        <v>2423</v>
      </c>
      <c r="BS29" s="39">
        <v>1359</v>
      </c>
      <c r="BT29" s="20">
        <v>0.14716703458425312</v>
      </c>
      <c r="BU29" s="38">
        <v>903</v>
      </c>
      <c r="BV29" s="39">
        <v>1</v>
      </c>
      <c r="BW29" s="39">
        <v>162</v>
      </c>
      <c r="BX29" s="39">
        <v>213</v>
      </c>
      <c r="BY29" s="39">
        <v>86</v>
      </c>
      <c r="BZ29" s="40">
        <v>1365</v>
      </c>
      <c r="CA29" s="39">
        <v>465</v>
      </c>
      <c r="CB29" s="39">
        <v>409</v>
      </c>
      <c r="CC29" s="39">
        <v>55</v>
      </c>
      <c r="CD29" s="39">
        <v>56</v>
      </c>
      <c r="CE29" s="19">
        <v>0.11827956989247312</v>
      </c>
      <c r="CF29" s="104">
        <v>0.12043010752688173</v>
      </c>
      <c r="CG29" s="39">
        <v>45</v>
      </c>
      <c r="CH29" s="39">
        <v>25</v>
      </c>
      <c r="CI29" s="39">
        <v>55</v>
      </c>
      <c r="CJ29" s="39">
        <v>35</v>
      </c>
      <c r="CK29" s="44">
        <v>45</v>
      </c>
      <c r="CL29" s="38">
        <v>209</v>
      </c>
      <c r="CM29" s="39">
        <v>51</v>
      </c>
      <c r="CN29" s="19">
        <v>0.24401913875598086</v>
      </c>
      <c r="CO29" s="40">
        <v>15</v>
      </c>
      <c r="CP29" s="39">
        <v>109</v>
      </c>
      <c r="CQ29" s="39">
        <v>102</v>
      </c>
      <c r="CR29" s="39">
        <v>98</v>
      </c>
      <c r="CS29" s="39">
        <v>111</v>
      </c>
      <c r="CT29" s="39">
        <v>96</v>
      </c>
      <c r="CU29" s="124" t="s">
        <v>474</v>
      </c>
      <c r="CV29" s="39">
        <v>5</v>
      </c>
      <c r="CW29" s="39">
        <v>5</v>
      </c>
      <c r="CX29" s="39">
        <v>2</v>
      </c>
      <c r="CY29" s="39">
        <v>1</v>
      </c>
      <c r="CZ29" s="39">
        <v>5</v>
      </c>
      <c r="DA29" s="120" t="s">
        <v>474</v>
      </c>
      <c r="DB29" s="15">
        <v>7</v>
      </c>
      <c r="DC29" s="15">
        <v>8</v>
      </c>
      <c r="DD29" s="19">
        <v>8.3333333333333329E-2</v>
      </c>
      <c r="DE29" s="19">
        <v>4.2830624150967216E-2</v>
      </c>
      <c r="DF29" s="20">
        <v>0.15589903239709582</v>
      </c>
      <c r="DG29" s="15">
        <v>14</v>
      </c>
      <c r="DH29" s="20">
        <v>2.3102310231023101E-2</v>
      </c>
      <c r="DI29" s="423">
        <v>7</v>
      </c>
      <c r="DJ29" s="428">
        <v>7</v>
      </c>
      <c r="DK29" s="3">
        <v>132</v>
      </c>
      <c r="DL29" s="20">
        <v>2.4242424242424242E-2</v>
      </c>
      <c r="DM29" s="15">
        <v>65</v>
      </c>
      <c r="DN29" s="3">
        <v>50</v>
      </c>
      <c r="DO29" s="3">
        <v>70</v>
      </c>
      <c r="DP29" s="3">
        <v>90</v>
      </c>
      <c r="DQ29" s="11">
        <v>55</v>
      </c>
      <c r="DR29" s="15">
        <v>50</v>
      </c>
      <c r="DS29" s="19">
        <v>8.6956521739130432E-2</v>
      </c>
      <c r="DT29" s="19">
        <v>6.6580223356730778E-2</v>
      </c>
      <c r="DU29" s="19">
        <v>0.11281511406822856</v>
      </c>
      <c r="DV29" s="3">
        <v>65</v>
      </c>
      <c r="DW29" s="19">
        <v>0.11711711711711711</v>
      </c>
      <c r="DX29" s="19">
        <v>9.295911468192429E-2</v>
      </c>
      <c r="DY29" s="19">
        <v>0.14653896962831214</v>
      </c>
      <c r="DZ29" s="3">
        <v>80</v>
      </c>
      <c r="EA29" s="19">
        <v>0.13793103448275862</v>
      </c>
      <c r="EB29" s="19">
        <v>0.11224139189275814</v>
      </c>
      <c r="EC29" s="19">
        <v>0.16838523430065874</v>
      </c>
      <c r="ED29" s="3">
        <v>55</v>
      </c>
      <c r="EE29" s="19">
        <v>9.7345132743362831E-2</v>
      </c>
      <c r="EF29" s="19">
        <v>7.5553398923058568E-2</v>
      </c>
      <c r="EG29" s="19">
        <v>0.12457522576739033</v>
      </c>
      <c r="EH29" s="3">
        <v>70</v>
      </c>
      <c r="EI29" s="20">
        <v>0.11864406779661017</v>
      </c>
      <c r="EJ29" s="20">
        <v>9.4985987179072681E-2</v>
      </c>
      <c r="EK29" s="20">
        <v>0.14723600100334211</v>
      </c>
      <c r="EL29" s="438">
        <v>70</v>
      </c>
      <c r="EM29" s="20">
        <v>0.13861386138613863</v>
      </c>
      <c r="EN29" s="20">
        <v>0.11119506496186198</v>
      </c>
      <c r="EO29" s="104">
        <v>0.17148917062315761</v>
      </c>
      <c r="EP29" s="38">
        <v>195</v>
      </c>
      <c r="EQ29" s="20">
        <v>9.4660194174757281E-2</v>
      </c>
      <c r="ER29" s="44">
        <v>215</v>
      </c>
      <c r="ES29" s="20">
        <v>0.10643564356435643</v>
      </c>
      <c r="ET29" s="44">
        <v>195</v>
      </c>
      <c r="EU29" s="20">
        <v>9.6059113300492605E-2</v>
      </c>
      <c r="EV29" s="44">
        <v>175</v>
      </c>
      <c r="EW29" s="20">
        <v>8.7499999999999994E-2</v>
      </c>
      <c r="EX29" s="44">
        <v>160</v>
      </c>
      <c r="EY29" s="20">
        <v>7.9800498753117205E-2</v>
      </c>
      <c r="EZ29" s="44">
        <v>170</v>
      </c>
      <c r="FA29" s="104">
        <v>8.7179487179487175E-2</v>
      </c>
      <c r="FB29" s="3">
        <v>122</v>
      </c>
      <c r="FC29" s="3">
        <v>4</v>
      </c>
      <c r="FD29" s="3">
        <v>118</v>
      </c>
      <c r="FE29" s="19">
        <v>0.96721311475409832</v>
      </c>
      <c r="FF29" s="3">
        <v>58</v>
      </c>
      <c r="FG29" s="3">
        <v>75</v>
      </c>
      <c r="FH29" s="19">
        <v>0.49152542372881358</v>
      </c>
      <c r="FI29" s="19">
        <v>0.63559322033898302</v>
      </c>
      <c r="FJ29" s="19">
        <v>0.40302228798677547</v>
      </c>
      <c r="FK29" s="19">
        <v>0.5805629571183446</v>
      </c>
      <c r="FL29" s="19">
        <v>0.54575544867159853</v>
      </c>
      <c r="FM29" s="104">
        <v>0.71688062964648003</v>
      </c>
      <c r="FN29" s="438">
        <v>110</v>
      </c>
      <c r="FO29" s="438">
        <v>49</v>
      </c>
      <c r="FP29" s="438">
        <v>20</v>
      </c>
      <c r="FQ29" s="438">
        <v>69</v>
      </c>
      <c r="FR29" s="497">
        <v>0.44545454545454544</v>
      </c>
      <c r="FS29" s="497">
        <v>0.62727272727272732</v>
      </c>
      <c r="FT29" s="497">
        <v>0.35597712785236785</v>
      </c>
      <c r="FU29" s="497">
        <v>0.5386131196347046</v>
      </c>
      <c r="FV29" s="497">
        <v>0.53405205207045159</v>
      </c>
      <c r="FW29" s="104">
        <v>0.7119040371263794</v>
      </c>
      <c r="FX29" s="438">
        <v>82</v>
      </c>
      <c r="FY29" s="438">
        <v>1</v>
      </c>
      <c r="FZ29" s="438">
        <v>81</v>
      </c>
      <c r="GA29" s="497">
        <v>0.98780487804878048</v>
      </c>
      <c r="GB29" s="438">
        <v>35</v>
      </c>
      <c r="GC29" s="438">
        <v>12</v>
      </c>
      <c r="GD29" s="438">
        <v>47</v>
      </c>
      <c r="GE29" s="497">
        <v>0.43209876543209874</v>
      </c>
      <c r="GF29" s="497">
        <v>0.58024691358024694</v>
      </c>
      <c r="GG29" s="497">
        <v>0.32972077141341088</v>
      </c>
      <c r="GH29" s="497">
        <v>0.54062563525025042</v>
      </c>
      <c r="GI29" s="497">
        <v>0.47153660142593201</v>
      </c>
      <c r="GJ29" s="104">
        <v>0.6816903725170137</v>
      </c>
      <c r="GK29" s="3">
        <v>106</v>
      </c>
      <c r="GL29" s="3">
        <v>7</v>
      </c>
      <c r="GM29" s="19">
        <v>6.6000000000000003E-2</v>
      </c>
      <c r="GN29" s="19">
        <v>3.2000000000000001E-2</v>
      </c>
      <c r="GO29" s="19">
        <v>0.13</v>
      </c>
      <c r="GP29" s="353" t="s">
        <v>725</v>
      </c>
      <c r="GQ29" s="3">
        <v>96</v>
      </c>
      <c r="GR29" s="3">
        <v>11</v>
      </c>
      <c r="GS29" s="19">
        <v>0.115</v>
      </c>
      <c r="GT29" s="19">
        <v>6.5000000000000002E-2</v>
      </c>
      <c r="GU29" s="19">
        <v>0.19400000000000001</v>
      </c>
      <c r="GV29" s="3" t="s">
        <v>725</v>
      </c>
      <c r="GW29" s="3">
        <v>91</v>
      </c>
      <c r="GX29" s="3">
        <v>11</v>
      </c>
      <c r="GY29" s="19">
        <v>0.12087912087912088</v>
      </c>
      <c r="GZ29" s="19">
        <v>6.885508485107264E-2</v>
      </c>
      <c r="HA29" s="19">
        <v>0.20361498406203427</v>
      </c>
      <c r="HB29" s="3" t="s">
        <v>725</v>
      </c>
      <c r="HC29" s="3">
        <v>106</v>
      </c>
      <c r="HD29" s="3">
        <v>7</v>
      </c>
      <c r="HE29" s="19">
        <v>6.6037735849056603E-2</v>
      </c>
      <c r="HF29" s="19">
        <v>3.2354147112036276E-2</v>
      </c>
      <c r="HG29" s="19">
        <v>0.13007503957437352</v>
      </c>
      <c r="HH29" s="3" t="s">
        <v>725</v>
      </c>
      <c r="HI29" s="3">
        <v>80</v>
      </c>
      <c r="HJ29" s="3">
        <v>11</v>
      </c>
      <c r="HK29" s="19">
        <v>0.13750000000000001</v>
      </c>
      <c r="HL29" s="19">
        <v>7.8547143243391085E-2</v>
      </c>
      <c r="HM29" s="19">
        <v>0.22967100066986598</v>
      </c>
      <c r="HN29" s="11" t="s">
        <v>725</v>
      </c>
      <c r="HO29" s="11">
        <v>113</v>
      </c>
      <c r="HP29" s="11">
        <v>10</v>
      </c>
      <c r="HQ29" s="497">
        <v>8.8495575221238937E-2</v>
      </c>
      <c r="HR29" s="497">
        <v>4.8779380094718841E-2</v>
      </c>
      <c r="HS29" s="497">
        <v>0.15527027027194956</v>
      </c>
      <c r="HT29" s="8" t="str">
        <f t="shared" si="0"/>
        <v>No Sig diff</v>
      </c>
      <c r="HU29" s="3">
        <v>120</v>
      </c>
      <c r="HV29" s="3">
        <v>21</v>
      </c>
      <c r="HW29" s="19">
        <v>0.17499999999999999</v>
      </c>
      <c r="HX29" s="19">
        <v>0.11700000000000001</v>
      </c>
      <c r="HY29" s="19">
        <v>0.253</v>
      </c>
      <c r="HZ29" s="3" t="s">
        <v>725</v>
      </c>
      <c r="IA29" s="3">
        <v>112</v>
      </c>
      <c r="IB29" s="3">
        <v>22</v>
      </c>
      <c r="IC29" s="19">
        <v>0.19600000000000001</v>
      </c>
      <c r="ID29" s="19">
        <v>0.13300000000000001</v>
      </c>
      <c r="IE29" s="19">
        <v>0.28000000000000003</v>
      </c>
      <c r="IF29" s="3" t="s">
        <v>725</v>
      </c>
      <c r="IG29" s="3">
        <v>104</v>
      </c>
      <c r="IH29" s="3">
        <v>13</v>
      </c>
      <c r="II29" s="19">
        <v>0.125</v>
      </c>
      <c r="IJ29" s="19">
        <v>7.4526025237809115E-2</v>
      </c>
      <c r="IK29" s="19">
        <v>0.20218999054152978</v>
      </c>
      <c r="IL29" s="3" t="s">
        <v>725</v>
      </c>
      <c r="IM29" s="3">
        <v>94</v>
      </c>
      <c r="IN29" s="3">
        <v>14</v>
      </c>
      <c r="IO29" s="19">
        <v>0.14893617021276595</v>
      </c>
      <c r="IP29" s="19">
        <v>9.0840479586594094E-2</v>
      </c>
      <c r="IQ29" s="19">
        <v>0.23459885057555427</v>
      </c>
      <c r="IR29" s="3" t="s">
        <v>725</v>
      </c>
      <c r="IS29" s="3">
        <v>101</v>
      </c>
      <c r="IT29" s="3">
        <v>21</v>
      </c>
      <c r="IU29" s="19">
        <v>0.20792079207920791</v>
      </c>
      <c r="IV29" s="19">
        <v>0.14020802862382939</v>
      </c>
      <c r="IW29" s="19">
        <v>0.297037497490938</v>
      </c>
      <c r="IX29" s="580" t="s">
        <v>725</v>
      </c>
      <c r="IY29" s="580">
        <v>113</v>
      </c>
      <c r="IZ29" s="580">
        <v>15</v>
      </c>
      <c r="JA29" s="497">
        <v>0.13274336283185842</v>
      </c>
      <c r="JB29" s="497">
        <v>8.2122247990653138E-2</v>
      </c>
      <c r="JC29" s="497">
        <v>0.20751346147637351</v>
      </c>
      <c r="JD29" s="371" t="str">
        <f t="shared" si="1"/>
        <v>Sig better than Eng.</v>
      </c>
      <c r="JE29" s="3">
        <v>117</v>
      </c>
      <c r="JF29" s="3">
        <v>64</v>
      </c>
      <c r="JG29" s="19">
        <v>0.54700854700854706</v>
      </c>
      <c r="JH29" s="19">
        <v>0.45674877894037469</v>
      </c>
      <c r="JI29" s="19">
        <v>0.63427958257851358</v>
      </c>
      <c r="JJ29" s="3">
        <v>117</v>
      </c>
      <c r="JK29" s="3">
        <v>34</v>
      </c>
      <c r="JL29" s="3">
        <v>23</v>
      </c>
      <c r="JM29" s="383">
        <v>28.869565217391305</v>
      </c>
      <c r="JN29" s="19">
        <v>0.15089514066496162</v>
      </c>
      <c r="JO29" s="3">
        <v>134</v>
      </c>
      <c r="JP29" s="3">
        <v>83</v>
      </c>
      <c r="JQ29" s="19">
        <v>0.61940298507462688</v>
      </c>
      <c r="JR29" s="19">
        <v>0.53495253716790758</v>
      </c>
      <c r="JS29" s="19">
        <v>0.69719822700548961</v>
      </c>
      <c r="JT29" s="3">
        <v>134</v>
      </c>
      <c r="JU29" s="3">
        <v>34</v>
      </c>
      <c r="JV29" s="3">
        <v>26</v>
      </c>
      <c r="JW29" s="383">
        <v>26.192307692307693</v>
      </c>
      <c r="JX29" s="20">
        <v>0.22963800904977372</v>
      </c>
      <c r="JY29" s="44">
        <v>132</v>
      </c>
      <c r="JZ29" s="44">
        <v>95</v>
      </c>
      <c r="KA29" s="20">
        <v>0.71969696969696972</v>
      </c>
      <c r="KB29" s="20">
        <v>0.63769886887324589</v>
      </c>
      <c r="KC29" s="20">
        <v>0.78926945510918367</v>
      </c>
      <c r="KD29" s="438">
        <v>34</v>
      </c>
      <c r="KE29" s="438">
        <v>26</v>
      </c>
      <c r="KF29" s="384">
        <v>28.4</v>
      </c>
      <c r="KG29" s="104">
        <v>0.16500000000000001</v>
      </c>
      <c r="KH29" s="19">
        <v>0.923408189033189</v>
      </c>
      <c r="KI29" s="19">
        <v>7.6591810966810961E-2</v>
      </c>
      <c r="KJ29" s="19">
        <v>4.2492043037232537E-2</v>
      </c>
      <c r="KK29" s="19">
        <v>0.16780102074279987</v>
      </c>
      <c r="KL29" s="19">
        <v>0.93233676046176039</v>
      </c>
      <c r="KM29" s="19">
        <v>6.7663239538239536E-2</v>
      </c>
      <c r="KN29" s="19">
        <v>3.4389161893526081E-2</v>
      </c>
      <c r="KO29" s="19">
        <v>0.15233056050680582</v>
      </c>
      <c r="KP29" s="19">
        <v>0.923408189033189</v>
      </c>
      <c r="KQ29" s="19">
        <v>7.6591810966810961E-2</v>
      </c>
      <c r="KR29" s="19">
        <v>4.2492043037232537E-2</v>
      </c>
      <c r="KS29" s="19">
        <v>0.16780102074279987</v>
      </c>
      <c r="KT29" s="19">
        <v>0.85197961760461771</v>
      </c>
      <c r="KU29" s="19">
        <v>0.1480203823953824</v>
      </c>
      <c r="KV29" s="19">
        <v>0.11556188621286038</v>
      </c>
      <c r="KW29" s="104">
        <v>0.28331790860477624</v>
      </c>
      <c r="KX29" s="438">
        <v>9</v>
      </c>
      <c r="KY29" s="438">
        <v>64</v>
      </c>
      <c r="KZ29" s="497">
        <v>0.140625</v>
      </c>
      <c r="LA29" s="497">
        <v>7.5785725560308589E-2</v>
      </c>
      <c r="LB29" s="497">
        <v>0.2461628174157702</v>
      </c>
      <c r="LC29" s="438">
        <v>9</v>
      </c>
      <c r="LD29" s="438">
        <v>64</v>
      </c>
      <c r="LE29" s="497">
        <v>0.140625</v>
      </c>
      <c r="LF29" s="497">
        <v>7.5785725560308589E-2</v>
      </c>
      <c r="LG29" s="497">
        <v>0.2461628174157702</v>
      </c>
      <c r="LH29" s="438">
        <v>8</v>
      </c>
      <c r="LI29" s="438">
        <v>64</v>
      </c>
      <c r="LJ29" s="497">
        <v>0.125</v>
      </c>
      <c r="LK29" s="497">
        <v>6.4722426633304547E-2</v>
      </c>
      <c r="LL29" s="497">
        <v>0.22774561821129938</v>
      </c>
      <c r="LM29" s="438">
        <v>10</v>
      </c>
      <c r="LN29" s="438">
        <v>64</v>
      </c>
      <c r="LO29" s="497">
        <v>0.15625</v>
      </c>
      <c r="LP29" s="497">
        <v>8.7148423382065868E-2</v>
      </c>
      <c r="LQ29" s="104">
        <v>0.26428061772548772</v>
      </c>
      <c r="LR29" s="3">
        <v>35</v>
      </c>
      <c r="LS29" s="3">
        <v>35</v>
      </c>
      <c r="LT29" s="3">
        <v>35</v>
      </c>
      <c r="LU29" s="3">
        <v>35</v>
      </c>
      <c r="LV29" s="3">
        <v>35</v>
      </c>
      <c r="LW29" s="3">
        <v>18</v>
      </c>
      <c r="LX29" s="3">
        <v>16</v>
      </c>
      <c r="LY29" s="3">
        <v>18</v>
      </c>
      <c r="LZ29" s="3">
        <v>16</v>
      </c>
      <c r="MA29" s="3">
        <v>18</v>
      </c>
      <c r="MB29" s="3">
        <v>18</v>
      </c>
      <c r="MC29" s="3">
        <v>16</v>
      </c>
      <c r="MD29" s="3">
        <v>18</v>
      </c>
      <c r="ME29" s="3">
        <v>30</v>
      </c>
      <c r="MF29" s="3">
        <v>30</v>
      </c>
      <c r="MG29" s="3">
        <v>30</v>
      </c>
      <c r="MH29" s="3">
        <v>29</v>
      </c>
      <c r="MI29" s="3">
        <v>30</v>
      </c>
      <c r="MJ29" s="3">
        <v>30</v>
      </c>
      <c r="MK29" s="3">
        <v>29</v>
      </c>
      <c r="ML29" s="3">
        <v>29</v>
      </c>
      <c r="MM29" s="3">
        <v>29</v>
      </c>
      <c r="MN29" s="8">
        <v>30</v>
      </c>
      <c r="MO29" s="3">
        <v>92</v>
      </c>
      <c r="MP29" s="24">
        <v>0.95699999999999996</v>
      </c>
      <c r="MQ29" s="24">
        <v>0</v>
      </c>
      <c r="MR29" s="24">
        <v>0.95699999999999996</v>
      </c>
      <c r="MS29" s="3">
        <v>88</v>
      </c>
      <c r="MT29" s="3">
        <v>0</v>
      </c>
      <c r="MU29" s="3">
        <v>88</v>
      </c>
      <c r="MV29" s="3">
        <v>83</v>
      </c>
      <c r="MW29" s="24">
        <v>1</v>
      </c>
      <c r="MX29" s="24">
        <v>0.91600000000000004</v>
      </c>
      <c r="MY29" s="24">
        <v>0.98799999999999999</v>
      </c>
      <c r="MZ29" s="24">
        <v>0.92800000000000005</v>
      </c>
      <c r="NA29" s="24">
        <v>0.92800000000000005</v>
      </c>
      <c r="NB29" s="3">
        <v>83</v>
      </c>
      <c r="NC29" s="3">
        <v>76</v>
      </c>
      <c r="ND29" s="3">
        <v>82</v>
      </c>
      <c r="NE29" s="3">
        <v>77</v>
      </c>
      <c r="NF29" s="3">
        <v>77</v>
      </c>
      <c r="NG29" s="3">
        <v>111</v>
      </c>
      <c r="NH29" s="24">
        <v>0.95499999999999996</v>
      </c>
      <c r="NI29" s="24">
        <v>0.92800000000000005</v>
      </c>
      <c r="NJ29" s="24">
        <v>0.95499999999999996</v>
      </c>
      <c r="NK29" s="24">
        <v>0.95499999999999996</v>
      </c>
      <c r="NL29" s="24">
        <v>0.96399999999999997</v>
      </c>
      <c r="NM29" s="24">
        <v>0.72099999999999997</v>
      </c>
      <c r="NN29" s="24">
        <v>0.91900000000000004</v>
      </c>
      <c r="NO29" s="24">
        <v>0.90100000000000002</v>
      </c>
      <c r="NP29" s="24">
        <v>0.95499999999999996</v>
      </c>
      <c r="NQ29" s="24">
        <v>0.89200000000000002</v>
      </c>
      <c r="NR29" s="3">
        <v>106</v>
      </c>
      <c r="NS29" s="3">
        <v>103</v>
      </c>
      <c r="NT29" s="3">
        <v>106</v>
      </c>
      <c r="NU29" s="3">
        <v>106</v>
      </c>
      <c r="NV29" s="3">
        <v>107</v>
      </c>
      <c r="NW29" s="3">
        <v>80</v>
      </c>
      <c r="NX29" s="3">
        <v>102</v>
      </c>
      <c r="NY29" s="3">
        <v>100</v>
      </c>
      <c r="NZ29" s="3">
        <v>106</v>
      </c>
      <c r="OA29" s="8">
        <v>99</v>
      </c>
    </row>
    <row r="30" spans="1:391" s="3" customFormat="1" ht="12.75" x14ac:dyDescent="0.2">
      <c r="A30" s="11" t="s">
        <v>56</v>
      </c>
      <c r="B30" s="8">
        <v>25</v>
      </c>
      <c r="C30" s="11"/>
      <c r="D30" s="11" t="s">
        <v>213</v>
      </c>
      <c r="E30" s="11" t="s">
        <v>287</v>
      </c>
      <c r="F30" s="11" t="s">
        <v>287</v>
      </c>
      <c r="G30" s="11" t="s">
        <v>214</v>
      </c>
      <c r="H30" s="11" t="s">
        <v>268</v>
      </c>
      <c r="I30" s="11" t="s">
        <v>84</v>
      </c>
      <c r="J30" s="11" t="s">
        <v>269</v>
      </c>
      <c r="K30" s="11" t="s">
        <v>384</v>
      </c>
      <c r="L30" s="11" t="s">
        <v>274</v>
      </c>
      <c r="M30" s="11" t="s">
        <v>350</v>
      </c>
      <c r="N30" s="3" t="s">
        <v>84</v>
      </c>
      <c r="O30" s="11">
        <v>509157</v>
      </c>
      <c r="P30" s="11">
        <v>128837</v>
      </c>
      <c r="Q30" s="128">
        <v>22587</v>
      </c>
      <c r="R30" s="128" t="s">
        <v>287</v>
      </c>
      <c r="S30" s="400" t="s">
        <v>817</v>
      </c>
      <c r="T30" s="38">
        <v>14120</v>
      </c>
      <c r="U30" s="39">
        <v>14350</v>
      </c>
      <c r="V30" s="39">
        <v>14600</v>
      </c>
      <c r="W30" s="39">
        <v>14705</v>
      </c>
      <c r="X30" s="39">
        <v>14730</v>
      </c>
      <c r="Y30" s="39">
        <v>14765</v>
      </c>
      <c r="Z30" s="39">
        <v>14770</v>
      </c>
      <c r="AA30" s="39">
        <v>14845</v>
      </c>
      <c r="AB30" s="39">
        <v>15110</v>
      </c>
      <c r="AC30" s="44">
        <v>15364</v>
      </c>
      <c r="AD30" s="38">
        <v>780</v>
      </c>
      <c r="AE30" s="39">
        <v>795</v>
      </c>
      <c r="AF30" s="39">
        <v>825</v>
      </c>
      <c r="AG30" s="39">
        <v>825</v>
      </c>
      <c r="AH30" s="39">
        <v>785</v>
      </c>
      <c r="AI30" s="39">
        <v>765</v>
      </c>
      <c r="AJ30" s="39">
        <v>780</v>
      </c>
      <c r="AK30" s="39">
        <v>730</v>
      </c>
      <c r="AL30" s="39">
        <v>790</v>
      </c>
      <c r="AM30" s="44">
        <v>817</v>
      </c>
      <c r="AN30" s="15">
        <v>785</v>
      </c>
      <c r="AO30" s="3">
        <v>719</v>
      </c>
      <c r="AP30" s="3">
        <v>33</v>
      </c>
      <c r="AQ30" s="3">
        <v>21</v>
      </c>
      <c r="AR30" s="3">
        <v>11</v>
      </c>
      <c r="AS30" s="3">
        <v>1</v>
      </c>
      <c r="AT30" s="3">
        <v>0</v>
      </c>
      <c r="AU30" s="11">
        <v>66</v>
      </c>
      <c r="AV30" s="18">
        <v>0.91592356687898091</v>
      </c>
      <c r="AW30" s="19">
        <v>4.2038216560509552E-2</v>
      </c>
      <c r="AX30" s="19">
        <v>2.6751592356687899E-2</v>
      </c>
      <c r="AY30" s="19">
        <v>1.4012738853503185E-2</v>
      </c>
      <c r="AZ30" s="19">
        <v>1.2738853503184713E-3</v>
      </c>
      <c r="BA30" s="19">
        <v>0</v>
      </c>
      <c r="BB30" s="20">
        <v>8.407643312101909E-2</v>
      </c>
      <c r="BC30" s="15">
        <v>2449</v>
      </c>
      <c r="BD30" s="3">
        <v>2382</v>
      </c>
      <c r="BE30" s="3">
        <v>67</v>
      </c>
      <c r="BF30" s="3">
        <v>52</v>
      </c>
      <c r="BG30" s="3">
        <v>15</v>
      </c>
      <c r="BH30" s="19">
        <v>0.77611940298507465</v>
      </c>
      <c r="BI30" s="20">
        <v>0.22388059701492538</v>
      </c>
      <c r="BJ30" s="15">
        <v>1660</v>
      </c>
      <c r="BK30" s="19">
        <v>0.67108433734939754</v>
      </c>
      <c r="BL30" s="19">
        <v>0.16385542168674699</v>
      </c>
      <c r="BM30" s="20">
        <v>0.16506024096385541</v>
      </c>
      <c r="BN30" s="38">
        <v>4273</v>
      </c>
      <c r="BO30" s="39">
        <v>221</v>
      </c>
      <c r="BP30" s="39">
        <v>276</v>
      </c>
      <c r="BQ30" s="39">
        <v>114</v>
      </c>
      <c r="BR30" s="39">
        <v>3153</v>
      </c>
      <c r="BS30" s="39">
        <v>1769</v>
      </c>
      <c r="BT30" s="20">
        <v>0.15036743923120408</v>
      </c>
      <c r="BU30" s="38">
        <v>1156</v>
      </c>
      <c r="BV30" s="39">
        <v>0</v>
      </c>
      <c r="BW30" s="39">
        <v>211</v>
      </c>
      <c r="BX30" s="39">
        <v>303</v>
      </c>
      <c r="BY30" s="39">
        <v>110</v>
      </c>
      <c r="BZ30" s="40">
        <v>1780</v>
      </c>
      <c r="CA30" s="39">
        <v>612</v>
      </c>
      <c r="CB30" s="39">
        <v>534</v>
      </c>
      <c r="CC30" s="39">
        <v>77</v>
      </c>
      <c r="CD30" s="39">
        <v>78</v>
      </c>
      <c r="CE30" s="19">
        <v>0.12581699346405228</v>
      </c>
      <c r="CF30" s="104">
        <v>0.12745098039215685</v>
      </c>
      <c r="CG30" s="39">
        <v>85</v>
      </c>
      <c r="CH30" s="39">
        <v>55</v>
      </c>
      <c r="CI30" s="39">
        <v>55</v>
      </c>
      <c r="CJ30" s="39">
        <v>40</v>
      </c>
      <c r="CK30" s="44">
        <v>45</v>
      </c>
      <c r="CL30" s="38">
        <v>303</v>
      </c>
      <c r="CM30" s="39">
        <v>102</v>
      </c>
      <c r="CN30" s="19">
        <v>0.33663366336633666</v>
      </c>
      <c r="CO30" s="40">
        <v>32</v>
      </c>
      <c r="CP30" s="39">
        <v>126</v>
      </c>
      <c r="CQ30" s="39">
        <v>154</v>
      </c>
      <c r="CR30" s="39">
        <v>123</v>
      </c>
      <c r="CS30" s="39">
        <v>135</v>
      </c>
      <c r="CT30" s="39">
        <v>134</v>
      </c>
      <c r="CU30" s="124" t="s">
        <v>474</v>
      </c>
      <c r="CV30" s="39">
        <v>4</v>
      </c>
      <c r="CW30" s="39">
        <v>4</v>
      </c>
      <c r="CX30" s="39">
        <v>1</v>
      </c>
      <c r="CY30" s="39">
        <v>3</v>
      </c>
      <c r="CZ30" s="39">
        <v>4</v>
      </c>
      <c r="DA30" s="120" t="s">
        <v>474</v>
      </c>
      <c r="DB30" s="15">
        <v>6</v>
      </c>
      <c r="DC30" s="15">
        <v>9</v>
      </c>
      <c r="DD30" s="19">
        <v>6.7164179104477612E-2</v>
      </c>
      <c r="DE30" s="19">
        <v>3.573460604589504E-2</v>
      </c>
      <c r="DF30" s="20">
        <v>0.12271887382554017</v>
      </c>
      <c r="DG30" s="15">
        <v>13</v>
      </c>
      <c r="DH30" s="20">
        <v>1.6602809706257982E-2</v>
      </c>
      <c r="DI30" s="423">
        <v>6</v>
      </c>
      <c r="DJ30" s="428">
        <v>5</v>
      </c>
      <c r="DK30" s="3">
        <v>170</v>
      </c>
      <c r="DL30" s="20">
        <v>2.8504359490274984E-2</v>
      </c>
      <c r="DM30" s="15">
        <v>95</v>
      </c>
      <c r="DN30" s="3">
        <v>80</v>
      </c>
      <c r="DO30" s="3">
        <v>80</v>
      </c>
      <c r="DP30" s="3">
        <v>85</v>
      </c>
      <c r="DQ30" s="11">
        <v>65</v>
      </c>
      <c r="DR30" s="15">
        <v>85</v>
      </c>
      <c r="DS30" s="19">
        <v>0.10828025477707007</v>
      </c>
      <c r="DT30" s="19">
        <v>8.8419954473737863E-2</v>
      </c>
      <c r="DU30" s="19">
        <v>0.13195570767843204</v>
      </c>
      <c r="DV30" s="3">
        <v>90</v>
      </c>
      <c r="DW30" s="19">
        <v>0.11764705882352941</v>
      </c>
      <c r="DX30" s="19">
        <v>9.6703361366976701E-2</v>
      </c>
      <c r="DY30" s="19">
        <v>0.14241155200239825</v>
      </c>
      <c r="DZ30" s="3">
        <v>90</v>
      </c>
      <c r="EA30" s="19">
        <v>0.12413793103448276</v>
      </c>
      <c r="EB30" s="19">
        <v>0.10209837316457582</v>
      </c>
      <c r="EC30" s="19">
        <v>0.15013955402216764</v>
      </c>
      <c r="ED30" s="3">
        <v>90</v>
      </c>
      <c r="EE30" s="19">
        <v>0.12244897959183673</v>
      </c>
      <c r="EF30" s="19">
        <v>0.10069394134024073</v>
      </c>
      <c r="EG30" s="19">
        <v>0.14813002031742489</v>
      </c>
      <c r="EH30" s="3">
        <v>90</v>
      </c>
      <c r="EI30" s="20">
        <v>0.12857142857142856</v>
      </c>
      <c r="EJ30" s="20">
        <v>0.10578711641888054</v>
      </c>
      <c r="EK30" s="20">
        <v>0.15541014116910751</v>
      </c>
      <c r="EL30" s="438">
        <v>75</v>
      </c>
      <c r="EM30" s="20">
        <v>0.11904761904761904</v>
      </c>
      <c r="EN30" s="20">
        <v>9.6039673592483332E-2</v>
      </c>
      <c r="EO30" s="104">
        <v>0.14667316363171276</v>
      </c>
      <c r="EP30" s="38">
        <v>270</v>
      </c>
      <c r="EQ30" s="20">
        <v>9.8181818181818176E-2</v>
      </c>
      <c r="ER30" s="44">
        <v>270</v>
      </c>
      <c r="ES30" s="20">
        <v>9.8181818181818176E-2</v>
      </c>
      <c r="ET30" s="44">
        <v>260</v>
      </c>
      <c r="EU30" s="20">
        <v>9.6118299445471345E-2</v>
      </c>
      <c r="EV30" s="44">
        <v>245</v>
      </c>
      <c r="EW30" s="20">
        <v>9.1588785046728974E-2</v>
      </c>
      <c r="EX30" s="44">
        <v>240</v>
      </c>
      <c r="EY30" s="20">
        <v>9.03954802259887E-2</v>
      </c>
      <c r="EZ30" s="44">
        <v>215</v>
      </c>
      <c r="FA30" s="104">
        <v>8.1904761904761911E-2</v>
      </c>
      <c r="FB30" s="3">
        <v>142</v>
      </c>
      <c r="FC30" s="3">
        <v>8</v>
      </c>
      <c r="FD30" s="3">
        <v>134</v>
      </c>
      <c r="FE30" s="19">
        <v>0.94366197183098588</v>
      </c>
      <c r="FF30" s="3">
        <v>52</v>
      </c>
      <c r="FG30" s="3">
        <v>71</v>
      </c>
      <c r="FH30" s="19">
        <v>0.38805970149253732</v>
      </c>
      <c r="FI30" s="19">
        <v>0.52985074626865669</v>
      </c>
      <c r="FJ30" s="19">
        <v>0.30976736607385452</v>
      </c>
      <c r="FK30" s="19">
        <v>0.47259151542490918</v>
      </c>
      <c r="FL30" s="19">
        <v>0.44569249320882598</v>
      </c>
      <c r="FM30" s="104">
        <v>0.61234513839150362</v>
      </c>
      <c r="FN30" s="438">
        <v>168</v>
      </c>
      <c r="FO30" s="438">
        <v>77</v>
      </c>
      <c r="FP30" s="438">
        <v>10</v>
      </c>
      <c r="FQ30" s="438">
        <v>87</v>
      </c>
      <c r="FR30" s="497">
        <v>0.45833333333333331</v>
      </c>
      <c r="FS30" s="497">
        <v>0.5178571428571429</v>
      </c>
      <c r="FT30" s="497">
        <v>0.38476159343111366</v>
      </c>
      <c r="FU30" s="497">
        <v>0.53376796226470868</v>
      </c>
      <c r="FV30" s="497">
        <v>0.44274718981543448</v>
      </c>
      <c r="FW30" s="104">
        <v>0.59216871488635592</v>
      </c>
      <c r="FX30" s="438">
        <v>137</v>
      </c>
      <c r="FY30" s="438">
        <v>2</v>
      </c>
      <c r="FZ30" s="438">
        <v>135</v>
      </c>
      <c r="GA30" s="497">
        <v>0.98540145985401462</v>
      </c>
      <c r="GB30" s="438">
        <v>66</v>
      </c>
      <c r="GC30" s="438">
        <v>10</v>
      </c>
      <c r="GD30" s="438">
        <v>76</v>
      </c>
      <c r="GE30" s="497">
        <v>0.48888888888888887</v>
      </c>
      <c r="GF30" s="497">
        <v>0.562962962962963</v>
      </c>
      <c r="GG30" s="497">
        <v>0.40604784868040777</v>
      </c>
      <c r="GH30" s="497">
        <v>0.57234477247553717</v>
      </c>
      <c r="GI30" s="497">
        <v>0.47869613625003338</v>
      </c>
      <c r="GJ30" s="104">
        <v>0.64374567719961162</v>
      </c>
      <c r="GK30" s="3">
        <v>145</v>
      </c>
      <c r="GL30" s="3">
        <v>10</v>
      </c>
      <c r="GM30" s="19">
        <v>6.8965517241379309E-2</v>
      </c>
      <c r="GN30" s="19">
        <v>3.7888953275645364E-2</v>
      </c>
      <c r="GO30" s="19">
        <v>0.12229127479787401</v>
      </c>
      <c r="GP30" s="353" t="s">
        <v>725</v>
      </c>
      <c r="GQ30" s="3">
        <v>131</v>
      </c>
      <c r="GR30" s="3">
        <v>13</v>
      </c>
      <c r="GS30" s="19">
        <v>9.9236641221374045E-2</v>
      </c>
      <c r="GT30" s="19">
        <v>5.8914886907542818E-2</v>
      </c>
      <c r="GU30" s="19">
        <v>0.16239285539726198</v>
      </c>
      <c r="GV30" s="3" t="s">
        <v>725</v>
      </c>
      <c r="GW30" s="3">
        <v>82</v>
      </c>
      <c r="GX30" s="3">
        <v>6</v>
      </c>
      <c r="GY30" s="19">
        <v>7.3170731707317069E-2</v>
      </c>
      <c r="GZ30" s="19">
        <v>3.3964777256659195E-2</v>
      </c>
      <c r="HA30" s="19">
        <v>0.15057843808854837</v>
      </c>
      <c r="HB30" s="3" t="s">
        <v>725</v>
      </c>
      <c r="HC30" s="3">
        <v>122</v>
      </c>
      <c r="HD30" s="3">
        <v>13</v>
      </c>
      <c r="HE30" s="19">
        <v>0.10655737704918032</v>
      </c>
      <c r="HF30" s="19">
        <v>6.3336996121428416E-2</v>
      </c>
      <c r="HG30" s="19">
        <v>0.1737983573650079</v>
      </c>
      <c r="HH30" s="3" t="s">
        <v>725</v>
      </c>
      <c r="HI30" s="3">
        <v>82</v>
      </c>
      <c r="HJ30" s="3">
        <v>11</v>
      </c>
      <c r="HK30" s="19">
        <v>0.13414634146341464</v>
      </c>
      <c r="HL30" s="19">
        <v>7.6586914295638464E-2</v>
      </c>
      <c r="HM30" s="19">
        <v>0.22445012742882514</v>
      </c>
      <c r="HN30" s="11" t="s">
        <v>725</v>
      </c>
      <c r="HO30" s="11">
        <v>144</v>
      </c>
      <c r="HP30" s="11">
        <v>9</v>
      </c>
      <c r="HQ30" s="497">
        <v>6.25E-2</v>
      </c>
      <c r="HR30" s="497">
        <v>3.3226648433715554E-2</v>
      </c>
      <c r="HS30" s="497">
        <v>0.11450903406644156</v>
      </c>
      <c r="HT30" s="8" t="str">
        <f t="shared" si="0"/>
        <v>No Sig diff</v>
      </c>
      <c r="HU30" s="3">
        <v>123</v>
      </c>
      <c r="HV30" s="3">
        <v>23</v>
      </c>
      <c r="HW30" s="19">
        <v>0.18699186991869918</v>
      </c>
      <c r="HX30" s="19">
        <v>0.12795837432731735</v>
      </c>
      <c r="HY30" s="19">
        <v>0.26498458993763258</v>
      </c>
      <c r="HZ30" s="3" t="s">
        <v>725</v>
      </c>
      <c r="IA30" s="3">
        <v>128</v>
      </c>
      <c r="IB30" s="3">
        <v>18</v>
      </c>
      <c r="IC30" s="19">
        <v>0.140625</v>
      </c>
      <c r="ID30" s="19">
        <v>9.083969494262252E-2</v>
      </c>
      <c r="IE30" s="19">
        <v>0.21135249237896167</v>
      </c>
      <c r="IF30" s="3" t="s">
        <v>725</v>
      </c>
      <c r="IG30" s="3">
        <v>125</v>
      </c>
      <c r="IH30" s="3">
        <v>19</v>
      </c>
      <c r="II30" s="19">
        <v>0.152</v>
      </c>
      <c r="IJ30" s="19">
        <v>9.9520834204329611E-2</v>
      </c>
      <c r="IK30" s="19">
        <v>0.22523067981666553</v>
      </c>
      <c r="IL30" s="3" t="s">
        <v>725</v>
      </c>
      <c r="IM30" s="3">
        <v>103</v>
      </c>
      <c r="IN30" s="3">
        <v>18</v>
      </c>
      <c r="IO30" s="19">
        <v>0.17475728155339806</v>
      </c>
      <c r="IP30" s="19">
        <v>0.11349896556855764</v>
      </c>
      <c r="IQ30" s="19">
        <v>0.25940364415299016</v>
      </c>
      <c r="IR30" s="3" t="s">
        <v>725</v>
      </c>
      <c r="IS30" s="3">
        <v>126</v>
      </c>
      <c r="IT30" s="3">
        <v>20</v>
      </c>
      <c r="IU30" s="19">
        <v>0.15873015873015872</v>
      </c>
      <c r="IV30" s="19">
        <v>0.10516625713947378</v>
      </c>
      <c r="IW30" s="19">
        <v>0.2324875186182172</v>
      </c>
      <c r="IX30" s="580" t="s">
        <v>725</v>
      </c>
      <c r="IY30" s="580">
        <v>119</v>
      </c>
      <c r="IZ30" s="580">
        <v>13</v>
      </c>
      <c r="JA30" s="497">
        <v>0.1092436974789916</v>
      </c>
      <c r="JB30" s="497">
        <v>6.4962412309252232E-2</v>
      </c>
      <c r="JC30" s="497">
        <v>0.17796419493865004</v>
      </c>
      <c r="JD30" s="371" t="str">
        <f t="shared" si="1"/>
        <v>Sig better than Eng.</v>
      </c>
      <c r="JE30" s="3">
        <v>152</v>
      </c>
      <c r="JF30" s="3">
        <v>85</v>
      </c>
      <c r="JG30" s="19">
        <v>0.55921052631578949</v>
      </c>
      <c r="JH30" s="19">
        <v>0.47978845905599204</v>
      </c>
      <c r="JI30" s="19">
        <v>0.63571353981011325</v>
      </c>
      <c r="JJ30" s="3">
        <v>152</v>
      </c>
      <c r="JK30" s="3">
        <v>34</v>
      </c>
      <c r="JL30" s="3">
        <v>30</v>
      </c>
      <c r="JM30" s="383">
        <v>24.766666666666669</v>
      </c>
      <c r="JN30" s="19">
        <v>0.27156862745098032</v>
      </c>
      <c r="JO30" s="3">
        <v>150</v>
      </c>
      <c r="JP30" s="3">
        <v>89</v>
      </c>
      <c r="JQ30" s="19">
        <v>0.59333333333333338</v>
      </c>
      <c r="JR30" s="19">
        <v>0.51334665051332073</v>
      </c>
      <c r="JS30" s="19">
        <v>0.668658903871305</v>
      </c>
      <c r="JT30" s="3">
        <v>150</v>
      </c>
      <c r="JU30" s="3">
        <v>34</v>
      </c>
      <c r="JV30" s="3">
        <v>30</v>
      </c>
      <c r="JW30" s="383">
        <v>26.6</v>
      </c>
      <c r="JX30" s="20">
        <v>0.21764705882352936</v>
      </c>
      <c r="JY30" s="44">
        <v>207</v>
      </c>
      <c r="JZ30" s="44">
        <v>134</v>
      </c>
      <c r="KA30" s="20">
        <v>0.64734299516908211</v>
      </c>
      <c r="KB30" s="20">
        <v>0.580109461583598</v>
      </c>
      <c r="KC30" s="20">
        <v>0.70920745142389652</v>
      </c>
      <c r="KD30" s="438">
        <v>34</v>
      </c>
      <c r="KE30" s="438">
        <v>41</v>
      </c>
      <c r="KF30" s="384">
        <v>24.2</v>
      </c>
      <c r="KG30" s="104">
        <v>0.28799999999999998</v>
      </c>
      <c r="KH30" s="19">
        <v>0.900595238095238</v>
      </c>
      <c r="KI30" s="19">
        <v>9.9404761904761912E-2</v>
      </c>
      <c r="KJ30" s="19">
        <v>3.9457573336373918E-2</v>
      </c>
      <c r="KK30" s="19">
        <v>0.19577736249133981</v>
      </c>
      <c r="KL30" s="19">
        <v>0.91845238095238091</v>
      </c>
      <c r="KM30" s="19">
        <v>8.1547619047619049E-2</v>
      </c>
      <c r="KN30" s="19">
        <v>2.864359650368855E-2</v>
      </c>
      <c r="KO30" s="19">
        <v>0.17260178091636799</v>
      </c>
      <c r="KP30" s="19">
        <v>0.88511904761904758</v>
      </c>
      <c r="KQ30" s="19">
        <v>0.11488095238095238</v>
      </c>
      <c r="KR30" s="19">
        <v>5.0966556283051322E-2</v>
      </c>
      <c r="KS30" s="19">
        <v>0.21825793795231954</v>
      </c>
      <c r="KT30" s="19">
        <v>0.76557539682539688</v>
      </c>
      <c r="KU30" s="19">
        <v>0.23442460317460317</v>
      </c>
      <c r="KV30" s="19">
        <v>0.13195287989578958</v>
      </c>
      <c r="KW30" s="104">
        <v>0.34938926831587819</v>
      </c>
      <c r="KX30" s="438">
        <v>4</v>
      </c>
      <c r="KY30" s="438">
        <v>72</v>
      </c>
      <c r="KZ30" s="497">
        <v>5.5555555555555552E-2</v>
      </c>
      <c r="LA30" s="497">
        <v>2.1814215981316658E-2</v>
      </c>
      <c r="LB30" s="497">
        <v>0.13432015965997915</v>
      </c>
      <c r="LC30" s="438">
        <v>3</v>
      </c>
      <c r="LD30" s="438">
        <v>72</v>
      </c>
      <c r="LE30" s="497">
        <v>4.1666666666666664E-2</v>
      </c>
      <c r="LF30" s="497">
        <v>1.4270807466925193E-2</v>
      </c>
      <c r="LG30" s="497">
        <v>0.11549276741316108</v>
      </c>
      <c r="LH30" s="438">
        <v>2</v>
      </c>
      <c r="LI30" s="438">
        <v>72</v>
      </c>
      <c r="LJ30" s="497">
        <v>2.7777777777777776E-2</v>
      </c>
      <c r="LK30" s="497">
        <v>7.6510219044945826E-3</v>
      </c>
      <c r="LL30" s="497">
        <v>9.5741752214382206E-2</v>
      </c>
      <c r="LM30" s="438">
        <v>9</v>
      </c>
      <c r="LN30" s="438">
        <v>71</v>
      </c>
      <c r="LO30" s="497">
        <v>0.12676056338028169</v>
      </c>
      <c r="LP30" s="497">
        <v>6.8145275895648436E-2</v>
      </c>
      <c r="LQ30" s="104">
        <v>0.22369108278653727</v>
      </c>
      <c r="LR30" s="3">
        <v>40</v>
      </c>
      <c r="LS30" s="3">
        <v>39</v>
      </c>
      <c r="LT30" s="3">
        <v>39</v>
      </c>
      <c r="LU30" s="3">
        <v>39</v>
      </c>
      <c r="LV30" s="3">
        <v>39</v>
      </c>
      <c r="LW30" s="3">
        <v>33</v>
      </c>
      <c r="LX30" s="3">
        <v>32</v>
      </c>
      <c r="LY30" s="3">
        <v>33</v>
      </c>
      <c r="LZ30" s="3">
        <v>32</v>
      </c>
      <c r="MA30" s="3">
        <v>33</v>
      </c>
      <c r="MB30" s="3">
        <v>33</v>
      </c>
      <c r="MC30" s="3">
        <v>32</v>
      </c>
      <c r="MD30" s="3">
        <v>33</v>
      </c>
      <c r="ME30" s="3">
        <v>45</v>
      </c>
      <c r="MF30" s="3">
        <v>39</v>
      </c>
      <c r="MG30" s="3">
        <v>42</v>
      </c>
      <c r="MH30" s="3">
        <v>37</v>
      </c>
      <c r="MI30" s="3">
        <v>42</v>
      </c>
      <c r="MJ30" s="3">
        <v>43</v>
      </c>
      <c r="MK30" s="3">
        <v>38</v>
      </c>
      <c r="ML30" s="3">
        <v>39</v>
      </c>
      <c r="MM30" s="3">
        <v>38</v>
      </c>
      <c r="MN30" s="8">
        <v>43</v>
      </c>
      <c r="MO30" s="3">
        <v>140</v>
      </c>
      <c r="MP30" s="24">
        <v>0.97099999999999997</v>
      </c>
      <c r="MQ30" s="24">
        <v>7.0000000000000001E-3</v>
      </c>
      <c r="MR30" s="24">
        <v>0.97099999999999997</v>
      </c>
      <c r="MS30" s="3">
        <v>136</v>
      </c>
      <c r="MT30" s="3">
        <v>1</v>
      </c>
      <c r="MU30" s="3">
        <v>136</v>
      </c>
      <c r="MV30" s="3">
        <v>151</v>
      </c>
      <c r="MW30" s="24">
        <v>0.96699999999999997</v>
      </c>
      <c r="MX30" s="24">
        <v>0.94699999999999995</v>
      </c>
      <c r="MY30" s="24">
        <v>0.96699999999999997</v>
      </c>
      <c r="MZ30" s="24">
        <v>0.96</v>
      </c>
      <c r="NA30" s="24">
        <v>0.95399999999999996</v>
      </c>
      <c r="NB30" s="3">
        <v>146</v>
      </c>
      <c r="NC30" s="3">
        <v>143</v>
      </c>
      <c r="ND30" s="3">
        <v>146</v>
      </c>
      <c r="NE30" s="3">
        <v>145</v>
      </c>
      <c r="NF30" s="3">
        <v>144</v>
      </c>
      <c r="NG30" s="3">
        <v>179</v>
      </c>
      <c r="NH30" s="24">
        <v>0.96599999999999997</v>
      </c>
      <c r="NI30" s="24">
        <v>0.94399999999999995</v>
      </c>
      <c r="NJ30" s="24">
        <v>0.96599999999999997</v>
      </c>
      <c r="NK30" s="24">
        <v>0.96599999999999997</v>
      </c>
      <c r="NL30" s="24">
        <v>0.96599999999999997</v>
      </c>
      <c r="NM30" s="24">
        <v>0.91100000000000003</v>
      </c>
      <c r="NN30" s="24">
        <v>0.93899999999999995</v>
      </c>
      <c r="NO30" s="24">
        <v>0.92200000000000004</v>
      </c>
      <c r="NP30" s="24">
        <v>0.96099999999999997</v>
      </c>
      <c r="NQ30" s="24">
        <v>0.92700000000000005</v>
      </c>
      <c r="NR30" s="3">
        <v>173</v>
      </c>
      <c r="NS30" s="3">
        <v>169</v>
      </c>
      <c r="NT30" s="3">
        <v>173</v>
      </c>
      <c r="NU30" s="3">
        <v>173</v>
      </c>
      <c r="NV30" s="3">
        <v>173</v>
      </c>
      <c r="NW30" s="3">
        <v>163</v>
      </c>
      <c r="NX30" s="3">
        <v>168</v>
      </c>
      <c r="NY30" s="3">
        <v>165</v>
      </c>
      <c r="NZ30" s="3">
        <v>172</v>
      </c>
      <c r="OA30" s="8">
        <v>166</v>
      </c>
    </row>
    <row r="31" spans="1:391" s="3" customFormat="1" ht="12.75" x14ac:dyDescent="0.2">
      <c r="A31" s="11" t="s">
        <v>57</v>
      </c>
      <c r="B31" s="8">
        <v>26</v>
      </c>
      <c r="C31" s="11" t="s">
        <v>215</v>
      </c>
      <c r="D31" s="11" t="s">
        <v>216</v>
      </c>
      <c r="E31" s="11" t="s">
        <v>901</v>
      </c>
      <c r="F31" s="11" t="s">
        <v>902</v>
      </c>
      <c r="G31" s="11" t="s">
        <v>217</v>
      </c>
      <c r="H31" s="11" t="s">
        <v>268</v>
      </c>
      <c r="I31" s="11" t="s">
        <v>84</v>
      </c>
      <c r="J31" s="11" t="s">
        <v>269</v>
      </c>
      <c r="K31" s="11" t="s">
        <v>385</v>
      </c>
      <c r="L31" s="11" t="s">
        <v>277</v>
      </c>
      <c r="M31" s="11" t="s">
        <v>351</v>
      </c>
      <c r="N31" s="3" t="s">
        <v>402</v>
      </c>
      <c r="O31" s="11">
        <v>521421</v>
      </c>
      <c r="P31" s="11">
        <v>122487</v>
      </c>
      <c r="Q31" s="128" t="s">
        <v>287</v>
      </c>
      <c r="R31" s="128" t="s">
        <v>287</v>
      </c>
      <c r="S31" s="128" t="s">
        <v>287</v>
      </c>
      <c r="T31" s="38">
        <v>27490</v>
      </c>
      <c r="U31" s="39">
        <v>27485</v>
      </c>
      <c r="V31" s="39">
        <v>27665</v>
      </c>
      <c r="W31" s="39">
        <v>27665</v>
      </c>
      <c r="X31" s="39">
        <v>27750</v>
      </c>
      <c r="Y31" s="39">
        <v>27890</v>
      </c>
      <c r="Z31" s="39">
        <v>27850</v>
      </c>
      <c r="AA31" s="39">
        <v>27865</v>
      </c>
      <c r="AB31" s="39">
        <v>27915</v>
      </c>
      <c r="AC31" s="44">
        <v>28160</v>
      </c>
      <c r="AD31" s="38">
        <v>1285</v>
      </c>
      <c r="AE31" s="39">
        <v>1260</v>
      </c>
      <c r="AF31" s="39">
        <v>1305</v>
      </c>
      <c r="AG31" s="39">
        <v>1265</v>
      </c>
      <c r="AH31" s="39">
        <v>1265</v>
      </c>
      <c r="AI31" s="39">
        <v>1275</v>
      </c>
      <c r="AJ31" s="39">
        <v>1280</v>
      </c>
      <c r="AK31" s="39">
        <v>1325</v>
      </c>
      <c r="AL31" s="39">
        <v>1305</v>
      </c>
      <c r="AM31" s="44">
        <v>1324</v>
      </c>
      <c r="AN31" s="15">
        <v>1291</v>
      </c>
      <c r="AO31" s="3">
        <v>1208</v>
      </c>
      <c r="AP31" s="3">
        <v>29</v>
      </c>
      <c r="AQ31" s="3">
        <v>35</v>
      </c>
      <c r="AR31" s="3">
        <v>13</v>
      </c>
      <c r="AS31" s="3">
        <v>2</v>
      </c>
      <c r="AT31" s="3">
        <v>4</v>
      </c>
      <c r="AU31" s="11">
        <v>83</v>
      </c>
      <c r="AV31" s="18">
        <v>0.93570875290472499</v>
      </c>
      <c r="AW31" s="19">
        <v>2.2463206816421378E-2</v>
      </c>
      <c r="AX31" s="19">
        <v>2.7110766847405113E-2</v>
      </c>
      <c r="AY31" s="19">
        <v>1.0069713400464756E-2</v>
      </c>
      <c r="AZ31" s="19">
        <v>1.5491866769945779E-3</v>
      </c>
      <c r="BA31" s="19">
        <v>3.0983733539891559E-3</v>
      </c>
      <c r="BB31" s="20">
        <v>6.4291247095275006E-2</v>
      </c>
      <c r="BC31" s="15">
        <v>3945</v>
      </c>
      <c r="BD31" s="3">
        <v>3878</v>
      </c>
      <c r="BE31" s="3">
        <v>67</v>
      </c>
      <c r="BF31" s="3">
        <v>60</v>
      </c>
      <c r="BG31" s="3">
        <v>7</v>
      </c>
      <c r="BH31" s="19">
        <v>0.89552238805970152</v>
      </c>
      <c r="BI31" s="20">
        <v>0.1044776119402985</v>
      </c>
      <c r="BJ31" s="15">
        <v>2715</v>
      </c>
      <c r="BK31" s="19">
        <v>0.70202578268876614</v>
      </c>
      <c r="BL31" s="19">
        <v>0.11344383057090239</v>
      </c>
      <c r="BM31" s="20">
        <v>0.18453038674033148</v>
      </c>
      <c r="BN31" s="38">
        <v>8411</v>
      </c>
      <c r="BO31" s="39">
        <v>355</v>
      </c>
      <c r="BP31" s="39">
        <v>458</v>
      </c>
      <c r="BQ31" s="39">
        <v>190</v>
      </c>
      <c r="BR31" s="39">
        <v>5413</v>
      </c>
      <c r="BS31" s="39">
        <v>3084</v>
      </c>
      <c r="BT31" s="20">
        <v>0.13132295719844359</v>
      </c>
      <c r="BU31" s="38">
        <v>2033</v>
      </c>
      <c r="BV31" s="39">
        <v>2</v>
      </c>
      <c r="BW31" s="39">
        <v>360</v>
      </c>
      <c r="BX31" s="39">
        <v>501</v>
      </c>
      <c r="BY31" s="39">
        <v>211</v>
      </c>
      <c r="BZ31" s="40">
        <v>3107</v>
      </c>
      <c r="CA31" s="39">
        <v>1008</v>
      </c>
      <c r="CB31" s="39">
        <v>893</v>
      </c>
      <c r="CC31" s="39">
        <v>112</v>
      </c>
      <c r="CD31" s="39">
        <v>115</v>
      </c>
      <c r="CE31" s="19">
        <v>0.1111111111111111</v>
      </c>
      <c r="CF31" s="104">
        <v>0.11408730158730158</v>
      </c>
      <c r="CG31" s="39">
        <v>85</v>
      </c>
      <c r="CH31" s="39">
        <v>85</v>
      </c>
      <c r="CI31" s="39">
        <v>80</v>
      </c>
      <c r="CJ31" s="39">
        <v>85</v>
      </c>
      <c r="CK31" s="44">
        <v>65</v>
      </c>
      <c r="CL31" s="38">
        <v>497</v>
      </c>
      <c r="CM31" s="39">
        <v>134</v>
      </c>
      <c r="CN31" s="19">
        <v>0.26961770623742454</v>
      </c>
      <c r="CO31" s="40">
        <v>57</v>
      </c>
      <c r="CP31" s="39">
        <v>247</v>
      </c>
      <c r="CQ31" s="39">
        <v>240</v>
      </c>
      <c r="CR31" s="39">
        <v>238</v>
      </c>
      <c r="CS31" s="39">
        <v>247</v>
      </c>
      <c r="CT31" s="39">
        <v>228</v>
      </c>
      <c r="CU31" s="124" t="s">
        <v>474</v>
      </c>
      <c r="CV31" s="39">
        <v>12</v>
      </c>
      <c r="CW31" s="39">
        <v>11</v>
      </c>
      <c r="CX31" s="39">
        <v>8</v>
      </c>
      <c r="CY31" s="39">
        <v>16</v>
      </c>
      <c r="CZ31" s="39">
        <v>9</v>
      </c>
      <c r="DA31" s="120" t="s">
        <v>474</v>
      </c>
      <c r="DB31" s="15">
        <v>23</v>
      </c>
      <c r="DC31" s="15">
        <v>14</v>
      </c>
      <c r="DD31" s="19">
        <v>6.1403508771929821E-2</v>
      </c>
      <c r="DE31" s="19">
        <v>3.6925597628576258E-2</v>
      </c>
      <c r="DF31" s="20">
        <v>0.10041592438677761</v>
      </c>
      <c r="DG31" s="15">
        <v>19</v>
      </c>
      <c r="DH31" s="20">
        <v>1.4740108611326609E-2</v>
      </c>
      <c r="DI31" s="423">
        <v>8</v>
      </c>
      <c r="DJ31" s="428">
        <v>7</v>
      </c>
      <c r="DK31" s="3">
        <v>280</v>
      </c>
      <c r="DL31" s="20">
        <v>2.3984923762206612E-2</v>
      </c>
      <c r="DM31" s="15">
        <v>160</v>
      </c>
      <c r="DN31" s="3">
        <v>160</v>
      </c>
      <c r="DO31" s="3">
        <v>135</v>
      </c>
      <c r="DP31" s="3">
        <v>120</v>
      </c>
      <c r="DQ31" s="11">
        <v>120</v>
      </c>
      <c r="DR31" s="15">
        <v>115</v>
      </c>
      <c r="DS31" s="19">
        <v>9.3117408906882596E-2</v>
      </c>
      <c r="DT31" s="19">
        <v>7.8148015989406391E-2</v>
      </c>
      <c r="DU31" s="19">
        <v>0.11061016380488121</v>
      </c>
      <c r="DV31" s="3">
        <v>130</v>
      </c>
      <c r="DW31" s="19">
        <v>0.10236220472440945</v>
      </c>
      <c r="DX31" s="19">
        <v>8.68721711934725E-2</v>
      </c>
      <c r="DY31" s="19">
        <v>0.12025051035667515</v>
      </c>
      <c r="DZ31" s="3">
        <v>145</v>
      </c>
      <c r="EA31" s="19">
        <v>0.1124031007751938</v>
      </c>
      <c r="EB31" s="19">
        <v>9.6304518779695869E-2</v>
      </c>
      <c r="EC31" s="19">
        <v>0.13080325923858133</v>
      </c>
      <c r="ED31" s="3">
        <v>145</v>
      </c>
      <c r="EE31" s="19">
        <v>0.11462450592885376</v>
      </c>
      <c r="EF31" s="19">
        <v>9.8223868995621369E-2</v>
      </c>
      <c r="EG31" s="19">
        <v>0.13335861656865136</v>
      </c>
      <c r="EH31" s="3">
        <v>120</v>
      </c>
      <c r="EI31" s="20">
        <v>9.3023255813953487E-2</v>
      </c>
      <c r="EJ31" s="20">
        <v>7.8358423236746744E-2</v>
      </c>
      <c r="EK31" s="20">
        <v>0.11010474368244433</v>
      </c>
      <c r="EL31" s="438">
        <v>145</v>
      </c>
      <c r="EM31" s="20">
        <v>0.12608695652173912</v>
      </c>
      <c r="EN31" s="20">
        <v>0.1081380785075248</v>
      </c>
      <c r="EO31" s="104">
        <v>0.14652555536902223</v>
      </c>
      <c r="EP31" s="38">
        <v>380</v>
      </c>
      <c r="EQ31" s="20">
        <v>8.3242059145673605E-2</v>
      </c>
      <c r="ER31" s="44">
        <v>415</v>
      </c>
      <c r="ES31" s="20">
        <v>9.1008771929824567E-2</v>
      </c>
      <c r="ET31" s="44">
        <v>425</v>
      </c>
      <c r="EU31" s="20">
        <v>9.3406593406593408E-2</v>
      </c>
      <c r="EV31" s="44">
        <v>405</v>
      </c>
      <c r="EW31" s="20">
        <v>8.990011098779134E-2</v>
      </c>
      <c r="EX31" s="44">
        <v>330</v>
      </c>
      <c r="EY31" s="20">
        <v>7.3660714285714288E-2</v>
      </c>
      <c r="EZ31" s="44">
        <v>365</v>
      </c>
      <c r="FA31" s="104">
        <v>8.3333333333333329E-2</v>
      </c>
      <c r="FB31" s="3">
        <v>242</v>
      </c>
      <c r="FC31" s="3">
        <v>2</v>
      </c>
      <c r="FD31" s="3">
        <v>240</v>
      </c>
      <c r="FE31" s="19">
        <v>0.99173553719008267</v>
      </c>
      <c r="FF31" s="3">
        <v>111</v>
      </c>
      <c r="FG31" s="3">
        <v>149</v>
      </c>
      <c r="FH31" s="19">
        <v>0.46250000000000002</v>
      </c>
      <c r="FI31" s="19">
        <v>0.62083333333333335</v>
      </c>
      <c r="FJ31" s="19">
        <v>0.40050631657407987</v>
      </c>
      <c r="FK31" s="19">
        <v>0.52567527016091531</v>
      </c>
      <c r="FL31" s="19">
        <v>0.5580016762847223</v>
      </c>
      <c r="FM31" s="104">
        <v>0.67985765534695974</v>
      </c>
      <c r="FN31" s="438">
        <v>196</v>
      </c>
      <c r="FO31" s="438">
        <v>90</v>
      </c>
      <c r="FP31" s="438">
        <v>29</v>
      </c>
      <c r="FQ31" s="438">
        <v>119</v>
      </c>
      <c r="FR31" s="497">
        <v>0.45918367346938777</v>
      </c>
      <c r="FS31" s="497">
        <v>0.6071428571428571</v>
      </c>
      <c r="FT31" s="497">
        <v>0.39087250439379079</v>
      </c>
      <c r="FU31" s="497">
        <v>0.52906402882399439</v>
      </c>
      <c r="FV31" s="497">
        <v>0.53733960720551399</v>
      </c>
      <c r="FW31" s="104">
        <v>0.67282699309779992</v>
      </c>
      <c r="FX31" s="438">
        <v>213</v>
      </c>
      <c r="FY31" s="438">
        <v>12</v>
      </c>
      <c r="FZ31" s="438">
        <v>201</v>
      </c>
      <c r="GA31" s="497">
        <v>0.94366197183098588</v>
      </c>
      <c r="GB31" s="438">
        <v>96</v>
      </c>
      <c r="GC31" s="438">
        <v>32</v>
      </c>
      <c r="GD31" s="438">
        <v>128</v>
      </c>
      <c r="GE31" s="497">
        <v>0.47761194029850745</v>
      </c>
      <c r="GF31" s="497">
        <v>0.63681592039800994</v>
      </c>
      <c r="GG31" s="497">
        <v>0.409627782713893</v>
      </c>
      <c r="GH31" s="497">
        <v>0.54643579908339324</v>
      </c>
      <c r="GI31" s="497">
        <v>0.56834205764017742</v>
      </c>
      <c r="GJ31" s="104">
        <v>0.70015827582085155</v>
      </c>
      <c r="GK31" s="3">
        <v>231</v>
      </c>
      <c r="GL31" s="3">
        <v>14</v>
      </c>
      <c r="GM31" s="19">
        <v>6.0999999999999999E-2</v>
      </c>
      <c r="GN31" s="19">
        <v>3.5999999999999997E-2</v>
      </c>
      <c r="GO31" s="19">
        <v>9.9000000000000005E-2</v>
      </c>
      <c r="GP31" s="353" t="s">
        <v>725</v>
      </c>
      <c r="GQ31" s="3">
        <v>230</v>
      </c>
      <c r="GR31" s="3">
        <v>15</v>
      </c>
      <c r="GS31" s="19">
        <v>6.5000000000000002E-2</v>
      </c>
      <c r="GT31" s="19">
        <v>0.04</v>
      </c>
      <c r="GU31" s="19">
        <v>0.105</v>
      </c>
      <c r="GV31" s="3" t="s">
        <v>725</v>
      </c>
      <c r="GW31" s="3">
        <v>176</v>
      </c>
      <c r="GX31" s="3">
        <v>13</v>
      </c>
      <c r="GY31" s="19">
        <v>7.3863636363636367E-2</v>
      </c>
      <c r="GZ31" s="19">
        <v>4.3671472994869648E-2</v>
      </c>
      <c r="HA31" s="19">
        <v>0.12226055967645509</v>
      </c>
      <c r="HB31" s="3" t="s">
        <v>725</v>
      </c>
      <c r="HC31" s="3">
        <v>236</v>
      </c>
      <c r="HD31" s="3">
        <v>18</v>
      </c>
      <c r="HE31" s="19">
        <v>7.6271186440677971E-2</v>
      </c>
      <c r="HF31" s="19">
        <v>4.8786992568433107E-2</v>
      </c>
      <c r="HG31" s="19">
        <v>0.11732882000457022</v>
      </c>
      <c r="HH31" s="3" t="s">
        <v>725</v>
      </c>
      <c r="HI31" s="3">
        <v>160</v>
      </c>
      <c r="HJ31" s="3">
        <v>11</v>
      </c>
      <c r="HK31" s="19">
        <v>6.8750000000000006E-2</v>
      </c>
      <c r="HL31" s="19">
        <v>3.8819420910912797E-2</v>
      </c>
      <c r="HM31" s="19">
        <v>0.11890292242451041</v>
      </c>
      <c r="HN31" s="11" t="s">
        <v>725</v>
      </c>
      <c r="HO31" s="11">
        <v>260</v>
      </c>
      <c r="HP31" s="11">
        <v>17</v>
      </c>
      <c r="HQ31" s="497">
        <v>6.5384615384615388E-2</v>
      </c>
      <c r="HR31" s="497">
        <v>4.1220216967255301E-2</v>
      </c>
      <c r="HS31" s="497">
        <v>0.10220477389595496</v>
      </c>
      <c r="HT31" s="8" t="str">
        <f t="shared" si="0"/>
        <v>No Sig diff</v>
      </c>
      <c r="HU31" s="3">
        <v>265</v>
      </c>
      <c r="HV31" s="3">
        <v>31</v>
      </c>
      <c r="HW31" s="19">
        <v>0.11700000000000001</v>
      </c>
      <c r="HX31" s="19">
        <v>8.4000000000000005E-2</v>
      </c>
      <c r="HY31" s="19">
        <v>0.161</v>
      </c>
      <c r="HZ31" s="3" t="s">
        <v>726</v>
      </c>
      <c r="IA31" s="3">
        <v>230</v>
      </c>
      <c r="IB31" s="3">
        <v>31</v>
      </c>
      <c r="IC31" s="19">
        <v>0.13500000000000001</v>
      </c>
      <c r="ID31" s="19">
        <v>9.7000000000000003E-2</v>
      </c>
      <c r="IE31" s="19">
        <v>0.185</v>
      </c>
      <c r="IF31" s="3" t="s">
        <v>726</v>
      </c>
      <c r="IG31" s="3">
        <v>219</v>
      </c>
      <c r="IH31" s="3">
        <v>30</v>
      </c>
      <c r="II31" s="19">
        <v>0.13698630136986301</v>
      </c>
      <c r="IJ31" s="19">
        <v>9.7668720477282839E-2</v>
      </c>
      <c r="IK31" s="19">
        <v>0.18881952618270312</v>
      </c>
      <c r="IL31" s="3" t="s">
        <v>726</v>
      </c>
      <c r="IM31" s="3">
        <v>201</v>
      </c>
      <c r="IN31" s="3">
        <v>23</v>
      </c>
      <c r="IO31" s="19">
        <v>0.11442786069651742</v>
      </c>
      <c r="IP31" s="19">
        <v>7.7469981483862999E-2</v>
      </c>
      <c r="IQ31" s="19">
        <v>0.16584726058050997</v>
      </c>
      <c r="IR31" s="3" t="s">
        <v>726</v>
      </c>
      <c r="IS31" s="3">
        <v>229</v>
      </c>
      <c r="IT31" s="3">
        <v>23</v>
      </c>
      <c r="IU31" s="19">
        <v>0.10043668122270742</v>
      </c>
      <c r="IV31" s="19">
        <v>6.7861778552950641E-2</v>
      </c>
      <c r="IW31" s="19">
        <v>0.14619571392769853</v>
      </c>
      <c r="IX31" s="580" t="s">
        <v>726</v>
      </c>
      <c r="IY31" s="580">
        <v>247</v>
      </c>
      <c r="IZ31" s="580">
        <v>30</v>
      </c>
      <c r="JA31" s="497">
        <v>0.1214574898785425</v>
      </c>
      <c r="JB31" s="497">
        <v>8.6416792569386489E-2</v>
      </c>
      <c r="JC31" s="497">
        <v>0.1680924066707962</v>
      </c>
      <c r="JD31" s="371" t="str">
        <f t="shared" si="1"/>
        <v>Sig better than Eng.</v>
      </c>
      <c r="JE31" s="3">
        <v>270</v>
      </c>
      <c r="JF31" s="3">
        <v>155</v>
      </c>
      <c r="JG31" s="19">
        <v>0.57407407407407407</v>
      </c>
      <c r="JH31" s="19">
        <v>0.51445921214610213</v>
      </c>
      <c r="JI31" s="19">
        <v>0.63161070791735763</v>
      </c>
      <c r="JJ31" s="3">
        <v>270</v>
      </c>
      <c r="JK31" s="3">
        <v>34</v>
      </c>
      <c r="JL31" s="3">
        <v>54</v>
      </c>
      <c r="JM31" s="383">
        <v>24.518518518518523</v>
      </c>
      <c r="JN31" s="19">
        <v>0.27886710239651402</v>
      </c>
      <c r="JO31" s="3">
        <v>260</v>
      </c>
      <c r="JP31" s="3">
        <v>153</v>
      </c>
      <c r="JQ31" s="19">
        <v>0.58846153846153848</v>
      </c>
      <c r="JR31" s="19">
        <v>0.52777950947191454</v>
      </c>
      <c r="JS31" s="19">
        <v>0.64656761628159143</v>
      </c>
      <c r="JT31" s="3">
        <v>260</v>
      </c>
      <c r="JU31" s="3">
        <v>34</v>
      </c>
      <c r="JV31" s="3">
        <v>52</v>
      </c>
      <c r="JW31" s="383">
        <v>27.500000000000011</v>
      </c>
      <c r="JX31" s="20">
        <v>0.19117647058823498</v>
      </c>
      <c r="JY31" s="44">
        <v>306</v>
      </c>
      <c r="JZ31" s="44">
        <v>187</v>
      </c>
      <c r="KA31" s="20">
        <v>0.61111111111111116</v>
      </c>
      <c r="KB31" s="20">
        <v>0.55543464423107125</v>
      </c>
      <c r="KC31" s="20">
        <v>0.6640324350255874</v>
      </c>
      <c r="KD31" s="438">
        <v>34</v>
      </c>
      <c r="KE31" s="438">
        <v>61</v>
      </c>
      <c r="KF31" s="384">
        <v>25.4</v>
      </c>
      <c r="KG31" s="104">
        <v>0.254</v>
      </c>
      <c r="KH31" s="19">
        <v>0.89917119917119925</v>
      </c>
      <c r="KI31" s="19">
        <v>0.10082880082880083</v>
      </c>
      <c r="KJ31" s="19">
        <v>7.1581992836351707E-2</v>
      </c>
      <c r="KK31" s="19">
        <v>0.17759209866429901</v>
      </c>
      <c r="KL31" s="19">
        <v>0.9474488474488475</v>
      </c>
      <c r="KM31" s="19">
        <v>5.2551152551152558E-2</v>
      </c>
      <c r="KN31" s="19">
        <v>2.9236134754816855E-2</v>
      </c>
      <c r="KO31" s="19">
        <v>0.10870448882000433</v>
      </c>
      <c r="KP31" s="19">
        <v>0.90750453250453256</v>
      </c>
      <c r="KQ31" s="19">
        <v>9.2495467495467498E-2</v>
      </c>
      <c r="KR31" s="19">
        <v>7.1581992836351707E-2</v>
      </c>
      <c r="KS31" s="19">
        <v>0.17759209866429901</v>
      </c>
      <c r="KT31" s="19">
        <v>0.80558793058793066</v>
      </c>
      <c r="KU31" s="19">
        <v>0.19441206941206943</v>
      </c>
      <c r="KV31" s="19">
        <v>0.15442678106920676</v>
      </c>
      <c r="KW31" s="104">
        <v>0.28940587930164563</v>
      </c>
      <c r="KX31" s="438">
        <v>3</v>
      </c>
      <c r="KY31" s="438">
        <v>72</v>
      </c>
      <c r="KZ31" s="497">
        <v>4.1666666666666664E-2</v>
      </c>
      <c r="LA31" s="497">
        <v>1.4270807466925193E-2</v>
      </c>
      <c r="LB31" s="497">
        <v>0.11549276741316108</v>
      </c>
      <c r="LC31" s="438">
        <v>3</v>
      </c>
      <c r="LD31" s="438">
        <v>72</v>
      </c>
      <c r="LE31" s="497">
        <v>4.1666666666666664E-2</v>
      </c>
      <c r="LF31" s="497">
        <v>1.4270807466925193E-2</v>
      </c>
      <c r="LG31" s="497">
        <v>0.11549276741316108</v>
      </c>
      <c r="LH31" s="438">
        <v>3</v>
      </c>
      <c r="LI31" s="438">
        <v>72</v>
      </c>
      <c r="LJ31" s="497">
        <v>4.1666666666666664E-2</v>
      </c>
      <c r="LK31" s="497">
        <v>1.4270807466925193E-2</v>
      </c>
      <c r="LL31" s="497">
        <v>0.11549276741316108</v>
      </c>
      <c r="LM31" s="438">
        <v>5</v>
      </c>
      <c r="LN31" s="438">
        <v>72</v>
      </c>
      <c r="LO31" s="497">
        <v>6.9444444444444448E-2</v>
      </c>
      <c r="LP31" s="497">
        <v>3.0025381565770098E-2</v>
      </c>
      <c r="LQ31" s="104">
        <v>0.15247979483673521</v>
      </c>
      <c r="LR31" s="3">
        <v>81</v>
      </c>
      <c r="LS31" s="3">
        <v>79</v>
      </c>
      <c r="LT31" s="3">
        <v>80</v>
      </c>
      <c r="LU31" s="3">
        <v>80</v>
      </c>
      <c r="LV31" s="3">
        <v>80</v>
      </c>
      <c r="LW31" s="3">
        <v>51</v>
      </c>
      <c r="LX31" s="3">
        <v>48</v>
      </c>
      <c r="LY31" s="3">
        <v>49</v>
      </c>
      <c r="LZ31" s="3">
        <v>48</v>
      </c>
      <c r="MA31" s="3">
        <v>49</v>
      </c>
      <c r="MB31" s="3">
        <v>51</v>
      </c>
      <c r="MC31" s="3">
        <v>47</v>
      </c>
      <c r="MD31" s="3">
        <v>49</v>
      </c>
      <c r="ME31" s="3">
        <v>71</v>
      </c>
      <c r="MF31" s="3">
        <v>69</v>
      </c>
      <c r="MG31" s="3">
        <v>65</v>
      </c>
      <c r="MH31" s="3">
        <v>67</v>
      </c>
      <c r="MI31" s="3">
        <v>66</v>
      </c>
      <c r="MJ31" s="3">
        <v>69</v>
      </c>
      <c r="MK31" s="3">
        <v>67</v>
      </c>
      <c r="ML31" s="3">
        <v>68</v>
      </c>
      <c r="MM31" s="3">
        <v>70</v>
      </c>
      <c r="MN31" s="8">
        <v>69</v>
      </c>
      <c r="MO31" s="3">
        <v>235</v>
      </c>
      <c r="MP31" s="24">
        <v>0.96599999999999997</v>
      </c>
      <c r="MQ31" s="24">
        <v>1.2999999999999999E-2</v>
      </c>
      <c r="MR31" s="24">
        <v>0.97</v>
      </c>
      <c r="MS31" s="3">
        <v>227</v>
      </c>
      <c r="MT31" s="3">
        <v>3</v>
      </c>
      <c r="MU31" s="3">
        <v>228</v>
      </c>
      <c r="MV31" s="3">
        <v>241</v>
      </c>
      <c r="MW31" s="24">
        <v>0.97899999999999998</v>
      </c>
      <c r="MX31" s="24">
        <v>0.92900000000000005</v>
      </c>
      <c r="MY31" s="24">
        <v>0.93400000000000005</v>
      </c>
      <c r="MZ31" s="24">
        <v>0.95</v>
      </c>
      <c r="NA31" s="24">
        <v>0.93400000000000005</v>
      </c>
      <c r="NB31" s="3">
        <v>236</v>
      </c>
      <c r="NC31" s="3">
        <v>224</v>
      </c>
      <c r="ND31" s="3">
        <v>225</v>
      </c>
      <c r="NE31" s="3">
        <v>229</v>
      </c>
      <c r="NF31" s="3">
        <v>225</v>
      </c>
      <c r="NG31" s="3">
        <v>276</v>
      </c>
      <c r="NH31" s="24">
        <v>0.96</v>
      </c>
      <c r="NI31" s="24">
        <v>0.91300000000000003</v>
      </c>
      <c r="NJ31" s="24">
        <v>0.96</v>
      </c>
      <c r="NK31" s="24">
        <v>0.96399999999999997</v>
      </c>
      <c r="NL31" s="24">
        <v>0.96399999999999997</v>
      </c>
      <c r="NM31" s="24">
        <v>0.91300000000000003</v>
      </c>
      <c r="NN31" s="24">
        <v>0.95299999999999996</v>
      </c>
      <c r="NO31" s="24">
        <v>0.89500000000000002</v>
      </c>
      <c r="NP31" s="24">
        <v>0.97099999999999997</v>
      </c>
      <c r="NQ31" s="24">
        <v>0.92</v>
      </c>
      <c r="NR31" s="3">
        <v>265</v>
      </c>
      <c r="NS31" s="3">
        <v>252</v>
      </c>
      <c r="NT31" s="3">
        <v>265</v>
      </c>
      <c r="NU31" s="3">
        <v>266</v>
      </c>
      <c r="NV31" s="3">
        <v>266</v>
      </c>
      <c r="NW31" s="3">
        <v>252</v>
      </c>
      <c r="NX31" s="3">
        <v>263</v>
      </c>
      <c r="NY31" s="3">
        <v>247</v>
      </c>
      <c r="NZ31" s="3">
        <v>268</v>
      </c>
      <c r="OA31" s="8">
        <v>254</v>
      </c>
    </row>
    <row r="32" spans="1:391" s="3" customFormat="1" ht="12.75" x14ac:dyDescent="0.2">
      <c r="A32" s="11" t="s">
        <v>58</v>
      </c>
      <c r="B32" s="8">
        <v>27</v>
      </c>
      <c r="C32" s="11" t="s">
        <v>218</v>
      </c>
      <c r="D32" s="11" t="s">
        <v>219</v>
      </c>
      <c r="E32" s="11" t="s">
        <v>287</v>
      </c>
      <c r="F32" s="11" t="s">
        <v>287</v>
      </c>
      <c r="G32" s="11" t="s">
        <v>220</v>
      </c>
      <c r="H32" s="11" t="s">
        <v>890</v>
      </c>
      <c r="I32" s="11" t="s">
        <v>84</v>
      </c>
      <c r="J32" s="11" t="s">
        <v>271</v>
      </c>
      <c r="K32" s="11" t="s">
        <v>386</v>
      </c>
      <c r="L32" s="11" t="s">
        <v>274</v>
      </c>
      <c r="M32" s="11" t="s">
        <v>352</v>
      </c>
      <c r="N32" s="3" t="s">
        <v>84</v>
      </c>
      <c r="O32" s="11">
        <v>518392</v>
      </c>
      <c r="P32" s="11">
        <v>131222</v>
      </c>
      <c r="Q32" s="128">
        <v>21563</v>
      </c>
      <c r="R32" s="128" t="s">
        <v>287</v>
      </c>
      <c r="S32" s="400" t="s">
        <v>817</v>
      </c>
      <c r="T32" s="38">
        <v>17035</v>
      </c>
      <c r="U32" s="39">
        <v>17080</v>
      </c>
      <c r="V32" s="39">
        <v>17315</v>
      </c>
      <c r="W32" s="39">
        <v>17440</v>
      </c>
      <c r="X32" s="39">
        <v>17640</v>
      </c>
      <c r="Y32" s="39">
        <v>17925</v>
      </c>
      <c r="Z32" s="39">
        <v>18020</v>
      </c>
      <c r="AA32" s="39">
        <v>18165</v>
      </c>
      <c r="AB32" s="39">
        <v>18135</v>
      </c>
      <c r="AC32" s="44">
        <v>18258</v>
      </c>
      <c r="AD32" s="38">
        <v>970</v>
      </c>
      <c r="AE32" s="39">
        <v>935</v>
      </c>
      <c r="AF32" s="39">
        <v>955</v>
      </c>
      <c r="AG32" s="39">
        <v>1005</v>
      </c>
      <c r="AH32" s="39">
        <v>1025</v>
      </c>
      <c r="AI32" s="39">
        <v>1095</v>
      </c>
      <c r="AJ32" s="39">
        <v>1110</v>
      </c>
      <c r="AK32" s="39">
        <v>1155</v>
      </c>
      <c r="AL32" s="39">
        <v>1095</v>
      </c>
      <c r="AM32" s="44">
        <v>1086</v>
      </c>
      <c r="AN32" s="15">
        <v>1094</v>
      </c>
      <c r="AO32" s="3">
        <v>916</v>
      </c>
      <c r="AP32" s="3">
        <v>48</v>
      </c>
      <c r="AQ32" s="3">
        <v>68</v>
      </c>
      <c r="AR32" s="3">
        <v>48</v>
      </c>
      <c r="AS32" s="3">
        <v>8</v>
      </c>
      <c r="AT32" s="3">
        <v>6</v>
      </c>
      <c r="AU32" s="11">
        <v>178</v>
      </c>
      <c r="AV32" s="18">
        <v>0.83729433272394882</v>
      </c>
      <c r="AW32" s="19">
        <v>4.3875685557586835E-2</v>
      </c>
      <c r="AX32" s="19">
        <v>6.2157221206581355E-2</v>
      </c>
      <c r="AY32" s="19">
        <v>4.3875685557586835E-2</v>
      </c>
      <c r="AZ32" s="19">
        <v>7.3126142595978062E-3</v>
      </c>
      <c r="BA32" s="19">
        <v>5.4844606946983544E-3</v>
      </c>
      <c r="BB32" s="20">
        <v>0.16270566727605118</v>
      </c>
      <c r="BC32" s="15">
        <v>2770</v>
      </c>
      <c r="BD32" s="3">
        <v>2686</v>
      </c>
      <c r="BE32" s="3">
        <v>84</v>
      </c>
      <c r="BF32" s="3">
        <v>74</v>
      </c>
      <c r="BG32" s="3">
        <v>10</v>
      </c>
      <c r="BH32" s="19">
        <v>0.88095238095238093</v>
      </c>
      <c r="BI32" s="20">
        <v>0.11904761904761904</v>
      </c>
      <c r="BJ32" s="15">
        <v>2084</v>
      </c>
      <c r="BK32" s="19">
        <v>0.66314779270633395</v>
      </c>
      <c r="BL32" s="19">
        <v>0.16794625719769674</v>
      </c>
      <c r="BM32" s="20">
        <v>0.16890595009596929</v>
      </c>
      <c r="BN32" s="38">
        <v>5092</v>
      </c>
      <c r="BO32" s="39">
        <v>298</v>
      </c>
      <c r="BP32" s="39">
        <v>371</v>
      </c>
      <c r="BQ32" s="39">
        <v>148</v>
      </c>
      <c r="BR32" s="39">
        <v>3972</v>
      </c>
      <c r="BS32" s="39">
        <v>2199</v>
      </c>
      <c r="BT32" s="20">
        <v>0.15507048658481129</v>
      </c>
      <c r="BU32" s="38">
        <v>1435</v>
      </c>
      <c r="BV32" s="39">
        <v>1</v>
      </c>
      <c r="BW32" s="39">
        <v>262</v>
      </c>
      <c r="BX32" s="39">
        <v>376</v>
      </c>
      <c r="BY32" s="39">
        <v>131</v>
      </c>
      <c r="BZ32" s="40">
        <v>2205</v>
      </c>
      <c r="CA32" s="39">
        <v>822</v>
      </c>
      <c r="CB32" s="39">
        <v>717</v>
      </c>
      <c r="CC32" s="39">
        <v>103</v>
      </c>
      <c r="CD32" s="39">
        <v>105</v>
      </c>
      <c r="CE32" s="19">
        <v>0.12530413625304138</v>
      </c>
      <c r="CF32" s="104">
        <v>0.12773722627737227</v>
      </c>
      <c r="CG32" s="39">
        <v>95</v>
      </c>
      <c r="CH32" s="39">
        <v>100</v>
      </c>
      <c r="CI32" s="39">
        <v>85</v>
      </c>
      <c r="CJ32" s="39">
        <v>70</v>
      </c>
      <c r="CK32" s="44">
        <v>60</v>
      </c>
      <c r="CL32" s="38">
        <v>375</v>
      </c>
      <c r="CM32" s="39">
        <v>107</v>
      </c>
      <c r="CN32" s="19">
        <v>0.28533333333333333</v>
      </c>
      <c r="CO32" s="40">
        <v>35</v>
      </c>
      <c r="CP32" s="39">
        <v>200</v>
      </c>
      <c r="CQ32" s="39">
        <v>201</v>
      </c>
      <c r="CR32" s="39">
        <v>193</v>
      </c>
      <c r="CS32" s="39">
        <v>194</v>
      </c>
      <c r="CT32" s="39">
        <v>199</v>
      </c>
      <c r="CU32" s="124" t="s">
        <v>474</v>
      </c>
      <c r="CV32" s="39">
        <v>5</v>
      </c>
      <c r="CW32" s="39">
        <v>6</v>
      </c>
      <c r="CX32" s="39">
        <v>3</v>
      </c>
      <c r="CY32" s="39">
        <v>6</v>
      </c>
      <c r="CZ32" s="39">
        <v>3</v>
      </c>
      <c r="DA32" s="120" t="s">
        <v>474</v>
      </c>
      <c r="DB32" s="15">
        <v>9</v>
      </c>
      <c r="DC32" s="15">
        <v>11</v>
      </c>
      <c r="DD32" s="19">
        <v>5.5276381909547742E-2</v>
      </c>
      <c r="DE32" s="19">
        <v>3.1142457209597071E-2</v>
      </c>
      <c r="DF32" s="20">
        <v>9.625486565987218E-2</v>
      </c>
      <c r="DG32" s="15">
        <v>19</v>
      </c>
      <c r="DH32" s="20">
        <v>1.736745886654479E-2</v>
      </c>
      <c r="DI32" s="423">
        <v>7</v>
      </c>
      <c r="DJ32" s="428">
        <v>7</v>
      </c>
      <c r="DK32" s="3">
        <v>286</v>
      </c>
      <c r="DL32" s="20">
        <v>3.7725893681572351E-2</v>
      </c>
      <c r="DM32" s="15">
        <v>150</v>
      </c>
      <c r="DN32" s="3">
        <v>145</v>
      </c>
      <c r="DO32" s="3">
        <v>135</v>
      </c>
      <c r="DP32" s="3">
        <v>125</v>
      </c>
      <c r="DQ32" s="11">
        <v>105</v>
      </c>
      <c r="DR32" s="15">
        <v>95</v>
      </c>
      <c r="DS32" s="19">
        <v>0.10160427807486631</v>
      </c>
      <c r="DT32" s="19">
        <v>8.3839775349221296E-2</v>
      </c>
      <c r="DU32" s="19">
        <v>0.1226290133898103</v>
      </c>
      <c r="DV32" s="3">
        <v>120</v>
      </c>
      <c r="DW32" s="19">
        <v>0.12698412698412698</v>
      </c>
      <c r="DX32" s="19">
        <v>0.1072551342537283</v>
      </c>
      <c r="DY32" s="19">
        <v>0.14973348755856297</v>
      </c>
      <c r="DZ32" s="3">
        <v>125</v>
      </c>
      <c r="EA32" s="19">
        <v>0.12315270935960591</v>
      </c>
      <c r="EB32" s="19">
        <v>0.10434558707624035</v>
      </c>
      <c r="EC32" s="19">
        <v>0.14480157573603356</v>
      </c>
      <c r="ED32" s="3">
        <v>135</v>
      </c>
      <c r="EE32" s="19">
        <v>0.13500000000000001</v>
      </c>
      <c r="EF32" s="19">
        <v>0.11521137849166015</v>
      </c>
      <c r="EG32" s="19">
        <v>0.15758215520279509</v>
      </c>
      <c r="EH32" s="3">
        <v>120</v>
      </c>
      <c r="EI32" s="20">
        <v>0.12</v>
      </c>
      <c r="EJ32" s="20">
        <v>0.10129926060130916</v>
      </c>
      <c r="EK32" s="20">
        <v>0.14160907584771276</v>
      </c>
      <c r="EL32" s="438">
        <v>105</v>
      </c>
      <c r="EM32" s="20">
        <v>0.12</v>
      </c>
      <c r="EN32" s="20">
        <v>0.1001124101709939</v>
      </c>
      <c r="EO32" s="104">
        <v>0.14320958684499258</v>
      </c>
      <c r="EP32" s="38">
        <v>305</v>
      </c>
      <c r="EQ32" s="20">
        <v>9.4427244582043338E-2</v>
      </c>
      <c r="ER32" s="44">
        <v>350</v>
      </c>
      <c r="ES32" s="20">
        <v>0.10920436817472699</v>
      </c>
      <c r="ET32" s="44">
        <v>340</v>
      </c>
      <c r="EU32" s="20">
        <v>0.10240963855421686</v>
      </c>
      <c r="EV32" s="44">
        <v>345</v>
      </c>
      <c r="EW32" s="20">
        <v>0.10534351145038168</v>
      </c>
      <c r="EX32" s="44">
        <v>340</v>
      </c>
      <c r="EY32" s="20">
        <v>0.10256410256410256</v>
      </c>
      <c r="EZ32" s="44">
        <v>305</v>
      </c>
      <c r="FA32" s="104">
        <v>9.2846270928462704E-2</v>
      </c>
      <c r="FB32" s="3">
        <v>198</v>
      </c>
      <c r="FC32" s="3">
        <v>8</v>
      </c>
      <c r="FD32" s="3">
        <v>190</v>
      </c>
      <c r="FE32" s="19">
        <v>0.95959595959595956</v>
      </c>
      <c r="FF32" s="3">
        <v>93</v>
      </c>
      <c r="FG32" s="3">
        <v>115</v>
      </c>
      <c r="FH32" s="19">
        <v>0.48947368421052634</v>
      </c>
      <c r="FI32" s="19">
        <v>0.60526315789473684</v>
      </c>
      <c r="FJ32" s="19">
        <v>0.41930894701947735</v>
      </c>
      <c r="FK32" s="19">
        <v>0.56005564757734805</v>
      </c>
      <c r="FL32" s="19">
        <v>0.53433430731905218</v>
      </c>
      <c r="FM32" s="104">
        <v>0.67201974671269327</v>
      </c>
      <c r="FN32" s="438">
        <v>156</v>
      </c>
      <c r="FO32" s="438">
        <v>78</v>
      </c>
      <c r="FP32" s="438">
        <v>28</v>
      </c>
      <c r="FQ32" s="438">
        <v>106</v>
      </c>
      <c r="FR32" s="497">
        <v>0.5</v>
      </c>
      <c r="FS32" s="497">
        <v>0.67948717948717952</v>
      </c>
      <c r="FT32" s="497">
        <v>0.42248720841465115</v>
      </c>
      <c r="FU32" s="497">
        <v>0.57751279158534885</v>
      </c>
      <c r="FV32" s="497">
        <v>0.60269872848965911</v>
      </c>
      <c r="FW32" s="104">
        <v>0.74764842432767908</v>
      </c>
      <c r="FX32" s="438">
        <v>316</v>
      </c>
      <c r="FY32" s="438">
        <v>16</v>
      </c>
      <c r="FZ32" s="438">
        <v>300</v>
      </c>
      <c r="GA32" s="497">
        <v>0.94936708860759489</v>
      </c>
      <c r="GB32" s="438">
        <v>146</v>
      </c>
      <c r="GC32" s="438">
        <v>45</v>
      </c>
      <c r="GD32" s="438">
        <v>191</v>
      </c>
      <c r="GE32" s="497">
        <v>0.48666666666666669</v>
      </c>
      <c r="GF32" s="497">
        <v>0.63666666666666671</v>
      </c>
      <c r="GG32" s="497">
        <v>0.43063449599449383</v>
      </c>
      <c r="GH32" s="497">
        <v>0.54303598323816071</v>
      </c>
      <c r="GI32" s="497">
        <v>0.58083162487586903</v>
      </c>
      <c r="GJ32" s="104">
        <v>0.68904596298942167</v>
      </c>
      <c r="GK32" s="3">
        <v>161</v>
      </c>
      <c r="GL32" s="3">
        <v>11</v>
      </c>
      <c r="GM32" s="19">
        <v>6.8322981366459631E-2</v>
      </c>
      <c r="GN32" s="19">
        <v>3.8575583671797267E-2</v>
      </c>
      <c r="GO32" s="19">
        <v>0.11818994731518039</v>
      </c>
      <c r="GP32" s="353" t="s">
        <v>725</v>
      </c>
      <c r="GQ32" s="3">
        <v>168</v>
      </c>
      <c r="GR32" s="3">
        <v>11</v>
      </c>
      <c r="GS32" s="19">
        <v>6.5476190476190479E-2</v>
      </c>
      <c r="GT32" s="19">
        <v>3.695089521739349E-2</v>
      </c>
      <c r="GU32" s="19">
        <v>0.11342875703903946</v>
      </c>
      <c r="GV32" s="3" t="s">
        <v>725</v>
      </c>
      <c r="GW32" s="3">
        <v>115</v>
      </c>
      <c r="GX32" s="3">
        <v>6</v>
      </c>
      <c r="GY32" s="19">
        <v>5.2173913043478258E-2</v>
      </c>
      <c r="GZ32" s="19">
        <v>2.4128549061825513E-2</v>
      </c>
      <c r="HA32" s="19">
        <v>0.10917054519277661</v>
      </c>
      <c r="HB32" s="3" t="s">
        <v>725</v>
      </c>
      <c r="HC32" s="3">
        <v>172</v>
      </c>
      <c r="HD32" s="3">
        <v>14</v>
      </c>
      <c r="HE32" s="19">
        <v>8.1395348837209308E-2</v>
      </c>
      <c r="HF32" s="19">
        <v>4.910271749221258E-2</v>
      </c>
      <c r="HG32" s="19">
        <v>0.13197777987310397</v>
      </c>
      <c r="HH32" s="3" t="s">
        <v>725</v>
      </c>
      <c r="HI32" s="3">
        <v>101</v>
      </c>
      <c r="HJ32" s="3">
        <v>1</v>
      </c>
      <c r="HK32" s="19">
        <v>9.9009900990099011E-3</v>
      </c>
      <c r="HL32" s="19">
        <v>1.7499112489682295E-3</v>
      </c>
      <c r="HM32" s="19">
        <v>5.3967157994455041E-2</v>
      </c>
      <c r="HN32" s="11" t="s">
        <v>726</v>
      </c>
      <c r="HO32" s="11">
        <v>187</v>
      </c>
      <c r="HP32" s="11">
        <v>14</v>
      </c>
      <c r="HQ32" s="497">
        <v>7.4866310160427801E-2</v>
      </c>
      <c r="HR32" s="497">
        <v>4.511723060861856E-2</v>
      </c>
      <c r="HS32" s="497">
        <v>0.12173047123488336</v>
      </c>
      <c r="HT32" s="8" t="str">
        <f t="shared" si="0"/>
        <v>No Sig diff</v>
      </c>
      <c r="HU32" s="3">
        <v>181</v>
      </c>
      <c r="HV32" s="3">
        <v>18</v>
      </c>
      <c r="HW32" s="19">
        <v>9.9447513812154692E-2</v>
      </c>
      <c r="HX32" s="19">
        <v>6.3834231714869225E-2</v>
      </c>
      <c r="HY32" s="19">
        <v>0.15170972187047022</v>
      </c>
      <c r="HZ32" s="3" t="s">
        <v>726</v>
      </c>
      <c r="IA32" s="3">
        <v>172</v>
      </c>
      <c r="IB32" s="3">
        <v>27</v>
      </c>
      <c r="IC32" s="19">
        <v>0.15697674418604651</v>
      </c>
      <c r="ID32" s="19">
        <v>0.11018266234093407</v>
      </c>
      <c r="IE32" s="19">
        <v>0.21875830077786704</v>
      </c>
      <c r="IF32" s="3" t="s">
        <v>725</v>
      </c>
      <c r="IG32" s="3">
        <v>196</v>
      </c>
      <c r="IH32" s="3">
        <v>24</v>
      </c>
      <c r="II32" s="19">
        <v>0.12244897959183673</v>
      </c>
      <c r="IJ32" s="19">
        <v>8.3682204688779863E-2</v>
      </c>
      <c r="IK32" s="19">
        <v>0.1757307275757328</v>
      </c>
      <c r="IL32" s="3" t="s">
        <v>726</v>
      </c>
      <c r="IM32" s="3">
        <v>178</v>
      </c>
      <c r="IN32" s="3">
        <v>26</v>
      </c>
      <c r="IO32" s="19">
        <v>0.14606741573033707</v>
      </c>
      <c r="IP32" s="19">
        <v>0.10167044863273805</v>
      </c>
      <c r="IQ32" s="19">
        <v>0.20541826030550761</v>
      </c>
      <c r="IR32" s="3" t="s">
        <v>725</v>
      </c>
      <c r="IS32" s="3">
        <v>198</v>
      </c>
      <c r="IT32" s="3">
        <v>22</v>
      </c>
      <c r="IU32" s="19">
        <v>0.1111111111111111</v>
      </c>
      <c r="IV32" s="19">
        <v>7.4529633249924634E-2</v>
      </c>
      <c r="IW32" s="19">
        <v>0.16249530255969058</v>
      </c>
      <c r="IX32" s="580" t="s">
        <v>726</v>
      </c>
      <c r="IY32" s="580">
        <v>167</v>
      </c>
      <c r="IZ32" s="580">
        <v>25</v>
      </c>
      <c r="JA32" s="497">
        <v>0.1497005988023952</v>
      </c>
      <c r="JB32" s="497">
        <v>0.10350110403596958</v>
      </c>
      <c r="JC32" s="497">
        <v>0.21165342105622822</v>
      </c>
      <c r="JD32" s="371" t="str">
        <f t="shared" si="1"/>
        <v>Sig better than Eng.</v>
      </c>
      <c r="JE32" s="3">
        <v>197</v>
      </c>
      <c r="JF32" s="3">
        <v>96</v>
      </c>
      <c r="JG32" s="19">
        <v>0.48730964467005078</v>
      </c>
      <c r="JH32" s="19">
        <v>0.41842434381975807</v>
      </c>
      <c r="JI32" s="19">
        <v>0.55668039785380308</v>
      </c>
      <c r="JJ32" s="3">
        <v>197</v>
      </c>
      <c r="JK32" s="3">
        <v>34</v>
      </c>
      <c r="JL32" s="3">
        <v>39</v>
      </c>
      <c r="JM32" s="383">
        <v>24.076923076923077</v>
      </c>
      <c r="JN32" s="19">
        <v>0.29185520361990952</v>
      </c>
      <c r="JO32" s="3">
        <v>215</v>
      </c>
      <c r="JP32" s="3">
        <v>140</v>
      </c>
      <c r="JQ32" s="19">
        <v>0.65116279069767447</v>
      </c>
      <c r="JR32" s="19">
        <v>0.58530853616604794</v>
      </c>
      <c r="JS32" s="19">
        <v>0.71171013822168405</v>
      </c>
      <c r="JT32" s="3">
        <v>215</v>
      </c>
      <c r="JU32" s="3">
        <v>34</v>
      </c>
      <c r="JV32" s="3">
        <v>43</v>
      </c>
      <c r="JW32" s="383">
        <v>24.232558139534884</v>
      </c>
      <c r="JX32" s="20">
        <v>0.28727770177838574</v>
      </c>
      <c r="JY32" s="44">
        <v>219</v>
      </c>
      <c r="JZ32" s="44">
        <v>122</v>
      </c>
      <c r="KA32" s="20">
        <v>0.55707762557077622</v>
      </c>
      <c r="KB32" s="20">
        <v>0.49086762596297678</v>
      </c>
      <c r="KC32" s="20">
        <v>0.62131975663765437</v>
      </c>
      <c r="KD32" s="438">
        <v>34</v>
      </c>
      <c r="KE32" s="438">
        <v>43</v>
      </c>
      <c r="KF32" s="384">
        <v>21.6</v>
      </c>
      <c r="KG32" s="104">
        <v>0.36299999999999999</v>
      </c>
      <c r="KH32" s="19">
        <v>0.90972777222777235</v>
      </c>
      <c r="KI32" s="19">
        <v>9.0272227772227778E-2</v>
      </c>
      <c r="KJ32" s="19">
        <v>4.2986910653413021E-2</v>
      </c>
      <c r="KK32" s="19">
        <v>0.13784827338561564</v>
      </c>
      <c r="KL32" s="19">
        <v>0.88209429459429456</v>
      </c>
      <c r="KM32" s="19">
        <v>0.11790570540570541</v>
      </c>
      <c r="KN32" s="19">
        <v>6.6278187495025204E-2</v>
      </c>
      <c r="KO32" s="19">
        <v>0.1752358718003717</v>
      </c>
      <c r="KP32" s="19">
        <v>0.87754884004884015</v>
      </c>
      <c r="KQ32" s="19">
        <v>0.12245115995115995</v>
      </c>
      <c r="KR32" s="19">
        <v>6.6278187495025204E-2</v>
      </c>
      <c r="KS32" s="19">
        <v>0.1752358718003717</v>
      </c>
      <c r="KT32" s="19">
        <v>0.77176874162520082</v>
      </c>
      <c r="KU32" s="19">
        <v>0.22823125837479907</v>
      </c>
      <c r="KV32" s="19">
        <v>0.16395460040058435</v>
      </c>
      <c r="KW32" s="104">
        <v>0.30869018535562776</v>
      </c>
      <c r="KX32" s="438">
        <v>8</v>
      </c>
      <c r="KY32" s="438">
        <v>77</v>
      </c>
      <c r="KZ32" s="497">
        <v>0.1038961038961039</v>
      </c>
      <c r="LA32" s="497">
        <v>5.359292364758092E-2</v>
      </c>
      <c r="LB32" s="497">
        <v>0.19184375092681485</v>
      </c>
      <c r="LC32" s="438">
        <v>8</v>
      </c>
      <c r="LD32" s="438">
        <v>77</v>
      </c>
      <c r="LE32" s="497">
        <v>0.1038961038961039</v>
      </c>
      <c r="LF32" s="497">
        <v>5.359292364758092E-2</v>
      </c>
      <c r="LG32" s="497">
        <v>0.19184375092681485</v>
      </c>
      <c r="LH32" s="438">
        <v>10</v>
      </c>
      <c r="LI32" s="438">
        <v>77</v>
      </c>
      <c r="LJ32" s="497">
        <v>0.12987012987012986</v>
      </c>
      <c r="LK32" s="497">
        <v>7.2098290062351036E-2</v>
      </c>
      <c r="LL32" s="497">
        <v>0.2228179468350352</v>
      </c>
      <c r="LM32" s="438">
        <v>15</v>
      </c>
      <c r="LN32" s="438">
        <v>75</v>
      </c>
      <c r="LO32" s="497">
        <v>0.2</v>
      </c>
      <c r="LP32" s="497">
        <v>0.12512147714196709</v>
      </c>
      <c r="LQ32" s="104">
        <v>0.30411282834771636</v>
      </c>
      <c r="LR32" s="3">
        <v>58</v>
      </c>
      <c r="LS32" s="3">
        <v>56</v>
      </c>
      <c r="LT32" s="3">
        <v>57</v>
      </c>
      <c r="LU32" s="3">
        <v>58</v>
      </c>
      <c r="LV32" s="3">
        <v>56</v>
      </c>
      <c r="LW32" s="3">
        <v>68</v>
      </c>
      <c r="LX32" s="3">
        <v>66</v>
      </c>
      <c r="LY32" s="3">
        <v>62</v>
      </c>
      <c r="LZ32" s="3">
        <v>65</v>
      </c>
      <c r="MA32" s="3">
        <v>63</v>
      </c>
      <c r="MB32" s="3">
        <v>65</v>
      </c>
      <c r="MC32" s="3">
        <v>65</v>
      </c>
      <c r="MD32" s="3">
        <v>66</v>
      </c>
      <c r="ME32" s="3">
        <v>56</v>
      </c>
      <c r="MF32" s="3">
        <v>52</v>
      </c>
      <c r="MG32" s="3">
        <v>49</v>
      </c>
      <c r="MH32" s="3">
        <v>48</v>
      </c>
      <c r="MI32" s="3">
        <v>48</v>
      </c>
      <c r="MJ32" s="3">
        <v>51</v>
      </c>
      <c r="MK32" s="3">
        <v>46</v>
      </c>
      <c r="ML32" s="3">
        <v>52</v>
      </c>
      <c r="MM32" s="3">
        <v>49</v>
      </c>
      <c r="MN32" s="8">
        <v>51</v>
      </c>
      <c r="MO32" s="3">
        <v>372</v>
      </c>
      <c r="MP32" s="24">
        <v>0.97299999999999998</v>
      </c>
      <c r="MQ32" s="24">
        <v>3.0000000000000001E-3</v>
      </c>
      <c r="MR32" s="24">
        <v>0.97</v>
      </c>
      <c r="MS32" s="3">
        <v>362</v>
      </c>
      <c r="MT32" s="3">
        <v>1</v>
      </c>
      <c r="MU32" s="3">
        <v>361</v>
      </c>
      <c r="MV32" s="3">
        <v>390</v>
      </c>
      <c r="MW32" s="24">
        <v>0.97899999999999998</v>
      </c>
      <c r="MX32" s="24">
        <v>0.95099999999999996</v>
      </c>
      <c r="MY32" s="24">
        <v>0.94899999999999995</v>
      </c>
      <c r="MZ32" s="24">
        <v>0.95099999999999996</v>
      </c>
      <c r="NA32" s="24">
        <v>0.94599999999999995</v>
      </c>
      <c r="NB32" s="3">
        <v>382</v>
      </c>
      <c r="NC32" s="3">
        <v>371</v>
      </c>
      <c r="ND32" s="3">
        <v>370</v>
      </c>
      <c r="NE32" s="3">
        <v>371</v>
      </c>
      <c r="NF32" s="3">
        <v>369</v>
      </c>
      <c r="NG32" s="3">
        <v>392</v>
      </c>
      <c r="NH32" s="24">
        <v>0.95699999999999996</v>
      </c>
      <c r="NI32" s="24">
        <v>0.89500000000000002</v>
      </c>
      <c r="NJ32" s="24">
        <v>0.95699999999999996</v>
      </c>
      <c r="NK32" s="24">
        <v>0.95399999999999996</v>
      </c>
      <c r="NL32" s="24">
        <v>0.94599999999999995</v>
      </c>
      <c r="NM32" s="24">
        <v>0.84899999999999998</v>
      </c>
      <c r="NN32" s="24">
        <v>0.93600000000000005</v>
      </c>
      <c r="NO32" s="24">
        <v>0.90300000000000002</v>
      </c>
      <c r="NP32" s="24">
        <v>0.95199999999999996</v>
      </c>
      <c r="NQ32" s="24">
        <v>0.91300000000000003</v>
      </c>
      <c r="NR32" s="3">
        <v>375</v>
      </c>
      <c r="NS32" s="3">
        <v>351</v>
      </c>
      <c r="NT32" s="3">
        <v>375</v>
      </c>
      <c r="NU32" s="3">
        <v>374</v>
      </c>
      <c r="NV32" s="3">
        <v>371</v>
      </c>
      <c r="NW32" s="3">
        <v>333</v>
      </c>
      <c r="NX32" s="3">
        <v>367</v>
      </c>
      <c r="NY32" s="3">
        <v>354</v>
      </c>
      <c r="NZ32" s="3">
        <v>373</v>
      </c>
      <c r="OA32" s="8">
        <v>358</v>
      </c>
    </row>
    <row r="33" spans="1:391" s="3" customFormat="1" ht="12.75" x14ac:dyDescent="0.2">
      <c r="A33" s="11" t="s">
        <v>59</v>
      </c>
      <c r="B33" s="8">
        <v>28</v>
      </c>
      <c r="C33" s="11" t="s">
        <v>221</v>
      </c>
      <c r="D33" s="11" t="s">
        <v>222</v>
      </c>
      <c r="E33" s="11" t="s">
        <v>287</v>
      </c>
      <c r="F33" s="11" t="s">
        <v>287</v>
      </c>
      <c r="G33" s="11" t="s">
        <v>223</v>
      </c>
      <c r="H33" s="11" t="s">
        <v>890</v>
      </c>
      <c r="I33" s="11" t="s">
        <v>84</v>
      </c>
      <c r="J33" s="11" t="s">
        <v>271</v>
      </c>
      <c r="K33" s="11" t="s">
        <v>386</v>
      </c>
      <c r="L33" s="11" t="s">
        <v>274</v>
      </c>
      <c r="M33" s="11" t="s">
        <v>353</v>
      </c>
      <c r="N33" s="3" t="s">
        <v>84</v>
      </c>
      <c r="O33" s="11">
        <v>518940</v>
      </c>
      <c r="P33" s="11">
        <v>131753</v>
      </c>
      <c r="Q33" s="128" t="s">
        <v>287</v>
      </c>
      <c r="R33" s="128" t="s">
        <v>287</v>
      </c>
      <c r="S33" s="128" t="s">
        <v>287</v>
      </c>
      <c r="T33" s="38">
        <v>15245</v>
      </c>
      <c r="U33" s="39">
        <v>15340</v>
      </c>
      <c r="V33" s="39">
        <v>15245</v>
      </c>
      <c r="W33" s="39">
        <v>15350</v>
      </c>
      <c r="X33" s="39">
        <v>15440</v>
      </c>
      <c r="Y33" s="39">
        <v>15490</v>
      </c>
      <c r="Z33" s="39">
        <v>15465</v>
      </c>
      <c r="AA33" s="39">
        <v>15390</v>
      </c>
      <c r="AB33" s="39">
        <v>15370</v>
      </c>
      <c r="AC33" s="44">
        <v>15420</v>
      </c>
      <c r="AD33" s="38">
        <v>950</v>
      </c>
      <c r="AE33" s="39">
        <v>945</v>
      </c>
      <c r="AF33" s="39">
        <v>965</v>
      </c>
      <c r="AG33" s="39">
        <v>935</v>
      </c>
      <c r="AH33" s="39">
        <v>925</v>
      </c>
      <c r="AI33" s="39">
        <v>950</v>
      </c>
      <c r="AJ33" s="39">
        <v>945</v>
      </c>
      <c r="AK33" s="39">
        <v>960</v>
      </c>
      <c r="AL33" s="39">
        <v>945</v>
      </c>
      <c r="AM33" s="44">
        <v>887</v>
      </c>
      <c r="AN33" s="15">
        <v>948</v>
      </c>
      <c r="AO33" s="3">
        <v>832</v>
      </c>
      <c r="AP33" s="3">
        <v>27</v>
      </c>
      <c r="AQ33" s="3">
        <v>55</v>
      </c>
      <c r="AR33" s="3">
        <v>28</v>
      </c>
      <c r="AS33" s="3">
        <v>6</v>
      </c>
      <c r="AT33" s="3">
        <v>0</v>
      </c>
      <c r="AU33" s="11">
        <v>116</v>
      </c>
      <c r="AV33" s="18">
        <v>0.87763713080168781</v>
      </c>
      <c r="AW33" s="19">
        <v>2.8481012658227847E-2</v>
      </c>
      <c r="AX33" s="19">
        <v>5.8016877637130801E-2</v>
      </c>
      <c r="AY33" s="19">
        <v>2.9535864978902954E-2</v>
      </c>
      <c r="AZ33" s="19">
        <v>6.3291139240506328E-3</v>
      </c>
      <c r="BA33" s="19">
        <v>0</v>
      </c>
      <c r="BB33" s="20">
        <v>0.12236286919831219</v>
      </c>
      <c r="BC33" s="15">
        <v>2458</v>
      </c>
      <c r="BD33" s="3">
        <v>2411</v>
      </c>
      <c r="BE33" s="3">
        <v>47</v>
      </c>
      <c r="BF33" s="3">
        <v>44</v>
      </c>
      <c r="BG33" s="3">
        <v>3</v>
      </c>
      <c r="BH33" s="19">
        <v>0.93617021276595747</v>
      </c>
      <c r="BI33" s="20">
        <v>6.3829787234042548E-2</v>
      </c>
      <c r="BJ33" s="15">
        <v>1866</v>
      </c>
      <c r="BK33" s="19">
        <v>0.732583065380493</v>
      </c>
      <c r="BL33" s="19">
        <v>0.14094319399785638</v>
      </c>
      <c r="BM33" s="20">
        <v>0.12647374062165059</v>
      </c>
      <c r="BN33" s="38">
        <v>4586</v>
      </c>
      <c r="BO33" s="39">
        <v>288</v>
      </c>
      <c r="BP33" s="39">
        <v>313</v>
      </c>
      <c r="BQ33" s="39">
        <v>136</v>
      </c>
      <c r="BR33" s="39">
        <v>3549</v>
      </c>
      <c r="BS33" s="39">
        <v>2026</v>
      </c>
      <c r="BT33" s="20">
        <v>0.1357354392892399</v>
      </c>
      <c r="BU33" s="38">
        <v>1413</v>
      </c>
      <c r="BV33" s="39">
        <v>1</v>
      </c>
      <c r="BW33" s="39">
        <v>187</v>
      </c>
      <c r="BX33" s="39">
        <v>324</v>
      </c>
      <c r="BY33" s="39">
        <v>108</v>
      </c>
      <c r="BZ33" s="40">
        <v>2033</v>
      </c>
      <c r="CA33" s="39">
        <v>741</v>
      </c>
      <c r="CB33" s="39">
        <v>659</v>
      </c>
      <c r="CC33" s="39">
        <v>81</v>
      </c>
      <c r="CD33" s="39">
        <v>82</v>
      </c>
      <c r="CE33" s="19">
        <v>0.10931174089068826</v>
      </c>
      <c r="CF33" s="104">
        <v>0.1106612685560054</v>
      </c>
      <c r="CG33" s="39">
        <v>70</v>
      </c>
      <c r="CH33" s="39">
        <v>70</v>
      </c>
      <c r="CI33" s="39">
        <v>50</v>
      </c>
      <c r="CJ33" s="39">
        <v>60</v>
      </c>
      <c r="CK33" s="44">
        <v>55</v>
      </c>
      <c r="CL33" s="38">
        <v>323</v>
      </c>
      <c r="CM33" s="39">
        <v>88</v>
      </c>
      <c r="CN33" s="19">
        <v>0.27244582043343651</v>
      </c>
      <c r="CO33" s="40">
        <v>31</v>
      </c>
      <c r="CP33" s="39">
        <v>202</v>
      </c>
      <c r="CQ33" s="39">
        <v>177</v>
      </c>
      <c r="CR33" s="39">
        <v>175</v>
      </c>
      <c r="CS33" s="39">
        <v>195</v>
      </c>
      <c r="CT33" s="39">
        <v>159</v>
      </c>
      <c r="CU33" s="124" t="s">
        <v>474</v>
      </c>
      <c r="CV33" s="39">
        <v>11</v>
      </c>
      <c r="CW33" s="39">
        <v>6</v>
      </c>
      <c r="CX33" s="39">
        <v>1</v>
      </c>
      <c r="CY33" s="39">
        <v>5</v>
      </c>
      <c r="CZ33" s="39">
        <v>2</v>
      </c>
      <c r="DA33" s="120" t="s">
        <v>474</v>
      </c>
      <c r="DB33" s="15">
        <v>5</v>
      </c>
      <c r="DC33" s="15">
        <v>9</v>
      </c>
      <c r="DD33" s="19">
        <v>5.6603773584905662E-2</v>
      </c>
      <c r="DE33" s="19">
        <v>3.006197811963247E-2</v>
      </c>
      <c r="DF33" s="20">
        <v>0.10406515988853231</v>
      </c>
      <c r="DG33" s="15">
        <v>19</v>
      </c>
      <c r="DH33" s="20">
        <v>2.0169851380042462E-2</v>
      </c>
      <c r="DI33" s="423">
        <v>10</v>
      </c>
      <c r="DJ33" s="428">
        <v>9</v>
      </c>
      <c r="DK33" s="3">
        <v>206</v>
      </c>
      <c r="DL33" s="20">
        <v>3.2258064516129031E-2</v>
      </c>
      <c r="DM33" s="15">
        <v>90</v>
      </c>
      <c r="DN33" s="3">
        <v>100</v>
      </c>
      <c r="DO33" s="3">
        <v>110</v>
      </c>
      <c r="DP33" s="3">
        <v>115</v>
      </c>
      <c r="DQ33" s="11">
        <v>95</v>
      </c>
      <c r="DR33" s="15">
        <v>60</v>
      </c>
      <c r="DS33" s="19">
        <v>6.6666666666666666E-2</v>
      </c>
      <c r="DT33" s="19">
        <v>5.214240948427367E-2</v>
      </c>
      <c r="DU33" s="19">
        <v>8.4874384348439899E-2</v>
      </c>
      <c r="DV33" s="3">
        <v>90</v>
      </c>
      <c r="DW33" s="19">
        <v>9.7297297297297303E-2</v>
      </c>
      <c r="DX33" s="19">
        <v>7.983114770947454E-2</v>
      </c>
      <c r="DY33" s="19">
        <v>0.11809440468146729</v>
      </c>
      <c r="DZ33" s="3">
        <v>95</v>
      </c>
      <c r="EA33" s="19">
        <v>0.10160427807486631</v>
      </c>
      <c r="EB33" s="19">
        <v>8.3839775349221296E-2</v>
      </c>
      <c r="EC33" s="19">
        <v>0.1226290133898103</v>
      </c>
      <c r="ED33" s="3">
        <v>105</v>
      </c>
      <c r="EE33" s="19">
        <v>0.11413043478260869</v>
      </c>
      <c r="EF33" s="19">
        <v>9.5168419961077527E-2</v>
      </c>
      <c r="EG33" s="19">
        <v>0.13630144619287046</v>
      </c>
      <c r="EH33" s="3">
        <v>105</v>
      </c>
      <c r="EI33" s="20">
        <v>0.11290322580645161</v>
      </c>
      <c r="EJ33" s="20">
        <v>9.4135368929881461E-2</v>
      </c>
      <c r="EK33" s="20">
        <v>0.13485581238985217</v>
      </c>
      <c r="EL33" s="438">
        <v>80</v>
      </c>
      <c r="EM33" s="20">
        <v>0.1</v>
      </c>
      <c r="EN33" s="20">
        <v>8.1084815650398406E-2</v>
      </c>
      <c r="EO33" s="104">
        <v>0.12273828531414242</v>
      </c>
      <c r="EP33" s="38">
        <v>225</v>
      </c>
      <c r="EQ33" s="20">
        <v>7.3529411764705885E-2</v>
      </c>
      <c r="ER33" s="44">
        <v>250</v>
      </c>
      <c r="ES33" s="20">
        <v>8.1300813008130079E-2</v>
      </c>
      <c r="ET33" s="44">
        <v>270</v>
      </c>
      <c r="EU33" s="20">
        <v>8.8669950738916259E-2</v>
      </c>
      <c r="EV33" s="44">
        <v>265</v>
      </c>
      <c r="EW33" s="20">
        <v>8.7314662273476118E-2</v>
      </c>
      <c r="EX33" s="44">
        <v>240</v>
      </c>
      <c r="EY33" s="20">
        <v>8.067226890756303E-2</v>
      </c>
      <c r="EZ33" s="44">
        <v>235</v>
      </c>
      <c r="FA33" s="104">
        <v>8.1597222222222224E-2</v>
      </c>
      <c r="FB33" s="3">
        <v>176</v>
      </c>
      <c r="FC33" s="3">
        <v>3</v>
      </c>
      <c r="FD33" s="3">
        <v>173</v>
      </c>
      <c r="FE33" s="19">
        <v>0.98295454545454541</v>
      </c>
      <c r="FF33" s="3">
        <v>78</v>
      </c>
      <c r="FG33" s="3">
        <v>107</v>
      </c>
      <c r="FH33" s="19">
        <v>0.45086705202312138</v>
      </c>
      <c r="FI33" s="19">
        <v>0.61849710982658956</v>
      </c>
      <c r="FJ33" s="19">
        <v>0.37858899286391479</v>
      </c>
      <c r="FK33" s="19">
        <v>0.52527978009448417</v>
      </c>
      <c r="FL33" s="19">
        <v>0.54428186792058009</v>
      </c>
      <c r="FM33" s="104">
        <v>0.68756403259151666</v>
      </c>
      <c r="FN33" s="438">
        <v>131</v>
      </c>
      <c r="FO33" s="438">
        <v>50</v>
      </c>
      <c r="FP33" s="438">
        <v>22</v>
      </c>
      <c r="FQ33" s="438">
        <v>72</v>
      </c>
      <c r="FR33" s="497">
        <v>0.38167938931297712</v>
      </c>
      <c r="FS33" s="497">
        <v>0.54961832061068705</v>
      </c>
      <c r="FT33" s="497">
        <v>0.30298494935783832</v>
      </c>
      <c r="FU33" s="497">
        <v>0.46711543170358027</v>
      </c>
      <c r="FV33" s="497">
        <v>0.46421644795146721</v>
      </c>
      <c r="FW33" s="104">
        <v>0.63219306966793787</v>
      </c>
      <c r="FX33" s="438">
        <v>144</v>
      </c>
      <c r="FY33" s="438">
        <v>10</v>
      </c>
      <c r="FZ33" s="438">
        <v>134</v>
      </c>
      <c r="GA33" s="497">
        <v>0.93055555555555558</v>
      </c>
      <c r="GB33" s="438">
        <v>60</v>
      </c>
      <c r="GC33" s="438">
        <v>22</v>
      </c>
      <c r="GD33" s="438">
        <v>82</v>
      </c>
      <c r="GE33" s="497">
        <v>0.44776119402985076</v>
      </c>
      <c r="GF33" s="497">
        <v>0.61194029850746268</v>
      </c>
      <c r="GG33" s="497">
        <v>0.36619149680229973</v>
      </c>
      <c r="GH33" s="497">
        <v>0.532242543871839</v>
      </c>
      <c r="GI33" s="497">
        <v>0.5274100524412394</v>
      </c>
      <c r="GJ33" s="104">
        <v>0.69023128897132047</v>
      </c>
      <c r="GK33" s="3">
        <v>156</v>
      </c>
      <c r="GL33" s="3">
        <v>13</v>
      </c>
      <c r="GM33" s="19">
        <v>8.3333333333333329E-2</v>
      </c>
      <c r="GN33" s="19">
        <v>4.9345650854239163E-2</v>
      </c>
      <c r="GO33" s="19">
        <v>0.13734845867693996</v>
      </c>
      <c r="GP33" s="353" t="s">
        <v>725</v>
      </c>
      <c r="GQ33" s="3">
        <v>181</v>
      </c>
      <c r="GR33" s="3">
        <v>10</v>
      </c>
      <c r="GS33" s="19">
        <v>5.5248618784530384E-2</v>
      </c>
      <c r="GT33" s="19">
        <v>3.0283475638943135E-2</v>
      </c>
      <c r="GU33" s="19">
        <v>9.8699810755813064E-2</v>
      </c>
      <c r="GV33" s="3" t="s">
        <v>725</v>
      </c>
      <c r="GW33" s="3">
        <v>108</v>
      </c>
      <c r="GX33" s="3">
        <v>12</v>
      </c>
      <c r="GY33" s="19">
        <v>0.1111111111111111</v>
      </c>
      <c r="GZ33" s="19">
        <v>6.4712669289837363E-2</v>
      </c>
      <c r="HA33" s="19">
        <v>0.18422416606859585</v>
      </c>
      <c r="HB33" s="3" t="s">
        <v>725</v>
      </c>
      <c r="HC33" s="3">
        <v>153</v>
      </c>
      <c r="HD33" s="3">
        <v>15</v>
      </c>
      <c r="HE33" s="19">
        <v>9.8039215686274508E-2</v>
      </c>
      <c r="HF33" s="19">
        <v>6.0315942800075413E-2</v>
      </c>
      <c r="HG33" s="19">
        <v>0.15545263698202605</v>
      </c>
      <c r="HH33" s="3" t="s">
        <v>725</v>
      </c>
      <c r="HI33" s="3">
        <v>91</v>
      </c>
      <c r="HJ33" s="3">
        <v>10</v>
      </c>
      <c r="HK33" s="19">
        <v>0.10989010989010989</v>
      </c>
      <c r="HL33" s="19">
        <v>6.079473021268491E-2</v>
      </c>
      <c r="HM33" s="19">
        <v>0.19058751461094686</v>
      </c>
      <c r="HN33" s="11" t="s">
        <v>725</v>
      </c>
      <c r="HO33" s="11">
        <v>148</v>
      </c>
      <c r="HP33" s="11">
        <v>5</v>
      </c>
      <c r="HQ33" s="497">
        <v>3.3783783783783786E-2</v>
      </c>
      <c r="HR33" s="497">
        <v>1.4515094986352797E-2</v>
      </c>
      <c r="HS33" s="497">
        <v>7.664221427685157E-2</v>
      </c>
      <c r="HT33" s="8" t="str">
        <f t="shared" si="0"/>
        <v>Sig better than Eng.</v>
      </c>
      <c r="HU33" s="3">
        <v>171</v>
      </c>
      <c r="HV33" s="3">
        <v>23</v>
      </c>
      <c r="HW33" s="19">
        <v>0.13450292397660818</v>
      </c>
      <c r="HX33" s="19">
        <v>9.1326032311684457E-2</v>
      </c>
      <c r="HY33" s="19">
        <v>0.19374055977050725</v>
      </c>
      <c r="HZ33" s="3" t="s">
        <v>725</v>
      </c>
      <c r="IA33" s="3">
        <v>177</v>
      </c>
      <c r="IB33" s="3">
        <v>23</v>
      </c>
      <c r="IC33" s="19">
        <v>0.12994350282485875</v>
      </c>
      <c r="ID33" s="19">
        <v>8.8171749186438317E-2</v>
      </c>
      <c r="IE33" s="19">
        <v>0.18743683717269055</v>
      </c>
      <c r="IF33" s="3" t="s">
        <v>726</v>
      </c>
      <c r="IG33" s="3">
        <v>183</v>
      </c>
      <c r="IH33" s="3">
        <v>21</v>
      </c>
      <c r="II33" s="19">
        <v>0.11475409836065574</v>
      </c>
      <c r="IJ33" s="19">
        <v>7.6292257179258957E-2</v>
      </c>
      <c r="IK33" s="19">
        <v>0.16905724453217186</v>
      </c>
      <c r="IL33" s="3" t="s">
        <v>726</v>
      </c>
      <c r="IM33" s="3">
        <v>157</v>
      </c>
      <c r="IN33" s="3">
        <v>16</v>
      </c>
      <c r="IO33" s="19">
        <v>0.10191082802547771</v>
      </c>
      <c r="IP33" s="19">
        <v>6.3707629183896414E-2</v>
      </c>
      <c r="IQ33" s="19">
        <v>0.15912956144771889</v>
      </c>
      <c r="IR33" s="3" t="s">
        <v>726</v>
      </c>
      <c r="IS33" s="3">
        <v>171</v>
      </c>
      <c r="IT33" s="3">
        <v>24</v>
      </c>
      <c r="IU33" s="19">
        <v>0.14035087719298245</v>
      </c>
      <c r="IV33" s="19">
        <v>9.6163341271534919E-2</v>
      </c>
      <c r="IW33" s="19">
        <v>0.20034218533734166</v>
      </c>
      <c r="IX33" s="580" t="s">
        <v>725</v>
      </c>
      <c r="IY33" s="580">
        <v>164</v>
      </c>
      <c r="IZ33" s="580">
        <v>17</v>
      </c>
      <c r="JA33" s="497">
        <v>0.10365853658536585</v>
      </c>
      <c r="JB33" s="497">
        <v>6.573150818853768E-2</v>
      </c>
      <c r="JC33" s="497">
        <v>0.15972803611344755</v>
      </c>
      <c r="JD33" s="371" t="str">
        <f t="shared" si="1"/>
        <v>Sig better than Eng.</v>
      </c>
      <c r="JE33" s="3">
        <v>180</v>
      </c>
      <c r="JF33" s="3">
        <v>111</v>
      </c>
      <c r="JG33" s="19">
        <v>0.6166666666666667</v>
      </c>
      <c r="JH33" s="19">
        <v>0.54390527473114403</v>
      </c>
      <c r="JI33" s="19">
        <v>0.68455244242047963</v>
      </c>
      <c r="JJ33" s="3">
        <v>180</v>
      </c>
      <c r="JK33" s="3">
        <v>34</v>
      </c>
      <c r="JL33" s="3">
        <v>36</v>
      </c>
      <c r="JM33" s="383">
        <v>26.111111111111114</v>
      </c>
      <c r="JN33" s="19">
        <v>0.23202614379084957</v>
      </c>
      <c r="JO33" s="3">
        <v>216</v>
      </c>
      <c r="JP33" s="3">
        <v>130</v>
      </c>
      <c r="JQ33" s="19">
        <v>0.60185185185185186</v>
      </c>
      <c r="JR33" s="19">
        <v>0.53533927843598739</v>
      </c>
      <c r="JS33" s="19">
        <v>0.66480495384863836</v>
      </c>
      <c r="JT33" s="3">
        <v>216</v>
      </c>
      <c r="JU33" s="3">
        <v>34</v>
      </c>
      <c r="JV33" s="3">
        <v>43</v>
      </c>
      <c r="JW33" s="383">
        <v>24.302325581395348</v>
      </c>
      <c r="JX33" s="20">
        <v>0.28522571819425446</v>
      </c>
      <c r="JY33" s="44">
        <v>169</v>
      </c>
      <c r="JZ33" s="44">
        <v>112</v>
      </c>
      <c r="KA33" s="20">
        <v>0.66272189349112431</v>
      </c>
      <c r="KB33" s="20">
        <v>0.58852970591911236</v>
      </c>
      <c r="KC33" s="20">
        <v>0.72968098482179977</v>
      </c>
      <c r="KD33" s="438">
        <v>34</v>
      </c>
      <c r="KE33" s="438">
        <v>33</v>
      </c>
      <c r="KF33" s="384">
        <v>26.6</v>
      </c>
      <c r="KG33" s="104">
        <v>0.218</v>
      </c>
      <c r="KH33" s="19">
        <v>0.96952380952380945</v>
      </c>
      <c r="KI33" s="19">
        <v>3.047619047619048E-2</v>
      </c>
      <c r="KJ33" s="19">
        <v>1.3974386294255415E-2</v>
      </c>
      <c r="KK33" s="19">
        <v>8.8247958700979443E-2</v>
      </c>
      <c r="KL33" s="19">
        <v>0.96285714285714286</v>
      </c>
      <c r="KM33" s="19">
        <v>3.7142857142857144E-2</v>
      </c>
      <c r="KN33" s="19">
        <v>1.9216974525702958E-2</v>
      </c>
      <c r="KO33" s="19">
        <v>0.10027032537346971</v>
      </c>
      <c r="KP33" s="19">
        <v>0.94946428571428565</v>
      </c>
      <c r="KQ33" s="19">
        <v>5.0535714285714281E-2</v>
      </c>
      <c r="KR33" s="19">
        <v>3.0601532803567904E-2</v>
      </c>
      <c r="KS33" s="19">
        <v>0.12341567690348033</v>
      </c>
      <c r="KT33" s="19">
        <v>0.8962286324786326</v>
      </c>
      <c r="KU33" s="19">
        <v>0.10377136752136751</v>
      </c>
      <c r="KV33" s="19">
        <v>6.3513981388531537E-2</v>
      </c>
      <c r="KW33" s="104">
        <v>0.18105039578114984</v>
      </c>
      <c r="KX33" s="438">
        <v>6</v>
      </c>
      <c r="KY33" s="438">
        <v>51</v>
      </c>
      <c r="KZ33" s="497">
        <v>0.11764705882352941</v>
      </c>
      <c r="LA33" s="497">
        <v>5.5050736779181757E-2</v>
      </c>
      <c r="LB33" s="497">
        <v>0.2338084431432246</v>
      </c>
      <c r="LC33" s="438">
        <v>4</v>
      </c>
      <c r="LD33" s="438">
        <v>51</v>
      </c>
      <c r="LE33" s="497">
        <v>7.8431372549019607E-2</v>
      </c>
      <c r="LF33" s="497">
        <v>3.092219678848921E-2</v>
      </c>
      <c r="LG33" s="497">
        <v>0.18499946312595883</v>
      </c>
      <c r="LH33" s="438">
        <v>5</v>
      </c>
      <c r="LI33" s="438">
        <v>51</v>
      </c>
      <c r="LJ33" s="497">
        <v>9.8039215686274508E-2</v>
      </c>
      <c r="LK33" s="497">
        <v>4.2608073107618633E-2</v>
      </c>
      <c r="LL33" s="497">
        <v>0.20978234681080857</v>
      </c>
      <c r="LM33" s="438">
        <v>10</v>
      </c>
      <c r="LN33" s="438">
        <v>50</v>
      </c>
      <c r="LO33" s="497">
        <v>0.2</v>
      </c>
      <c r="LP33" s="497">
        <v>0.11243750015776111</v>
      </c>
      <c r="LQ33" s="104">
        <v>0.33037105932225408</v>
      </c>
      <c r="LR33" s="3">
        <v>45</v>
      </c>
      <c r="LS33" s="3">
        <v>44</v>
      </c>
      <c r="LT33" s="3">
        <v>43</v>
      </c>
      <c r="LU33" s="3">
        <v>43</v>
      </c>
      <c r="LV33" s="3">
        <v>44</v>
      </c>
      <c r="LW33" s="3">
        <v>36</v>
      </c>
      <c r="LX33" s="3">
        <v>33</v>
      </c>
      <c r="LY33" s="3">
        <v>32</v>
      </c>
      <c r="LZ33" s="3">
        <v>35</v>
      </c>
      <c r="MA33" s="3">
        <v>32</v>
      </c>
      <c r="MB33" s="3">
        <v>33</v>
      </c>
      <c r="MC33" s="3">
        <v>36</v>
      </c>
      <c r="MD33" s="3">
        <v>34</v>
      </c>
      <c r="ME33" s="3">
        <v>34</v>
      </c>
      <c r="MF33" s="3">
        <v>30</v>
      </c>
      <c r="MG33" s="3">
        <v>29</v>
      </c>
      <c r="MH33" s="3">
        <v>29</v>
      </c>
      <c r="MI33" s="3">
        <v>30</v>
      </c>
      <c r="MJ33" s="3">
        <v>32</v>
      </c>
      <c r="MK33" s="3">
        <v>30</v>
      </c>
      <c r="ML33" s="3">
        <v>33</v>
      </c>
      <c r="MM33" s="3">
        <v>31</v>
      </c>
      <c r="MN33" s="8">
        <v>31</v>
      </c>
      <c r="MO33" s="3">
        <v>162</v>
      </c>
      <c r="MP33" s="24">
        <v>0.98799999999999999</v>
      </c>
      <c r="MQ33" s="24">
        <v>0</v>
      </c>
      <c r="MR33" s="24">
        <v>0.98799999999999999</v>
      </c>
      <c r="MS33" s="3">
        <v>160</v>
      </c>
      <c r="MT33" s="3">
        <v>0</v>
      </c>
      <c r="MU33" s="3">
        <v>160</v>
      </c>
      <c r="MV33" s="3">
        <v>157</v>
      </c>
      <c r="MW33" s="24">
        <v>0.93600000000000005</v>
      </c>
      <c r="MX33" s="24">
        <v>0.94299999999999995</v>
      </c>
      <c r="MY33" s="24">
        <v>0.93</v>
      </c>
      <c r="MZ33" s="24">
        <v>0.94899999999999995</v>
      </c>
      <c r="NA33" s="24">
        <v>0.94299999999999995</v>
      </c>
      <c r="NB33" s="3">
        <v>147</v>
      </c>
      <c r="NC33" s="3">
        <v>148</v>
      </c>
      <c r="ND33" s="3">
        <v>146</v>
      </c>
      <c r="NE33" s="3">
        <v>149</v>
      </c>
      <c r="NF33" s="3">
        <v>148</v>
      </c>
      <c r="NG33" s="3">
        <v>195</v>
      </c>
      <c r="NH33" s="24">
        <v>0.97399999999999998</v>
      </c>
      <c r="NI33" s="24">
        <v>0.96899999999999997</v>
      </c>
      <c r="NJ33" s="24">
        <v>0.97399999999999998</v>
      </c>
      <c r="NK33" s="24">
        <v>0.97399999999999998</v>
      </c>
      <c r="NL33" s="24">
        <v>0.96899999999999997</v>
      </c>
      <c r="NM33" s="24">
        <v>0.73799999999999999</v>
      </c>
      <c r="NN33" s="24">
        <v>0.94399999999999995</v>
      </c>
      <c r="NO33" s="24">
        <v>0.96899999999999997</v>
      </c>
      <c r="NP33" s="24">
        <v>0.96899999999999997</v>
      </c>
      <c r="NQ33" s="24">
        <v>0.93799999999999994</v>
      </c>
      <c r="NR33" s="3">
        <v>190</v>
      </c>
      <c r="NS33" s="3">
        <v>189</v>
      </c>
      <c r="NT33" s="3">
        <v>190</v>
      </c>
      <c r="NU33" s="3">
        <v>190</v>
      </c>
      <c r="NV33" s="3">
        <v>189</v>
      </c>
      <c r="NW33" s="3">
        <v>144</v>
      </c>
      <c r="NX33" s="3">
        <v>184</v>
      </c>
      <c r="NY33" s="3">
        <v>189</v>
      </c>
      <c r="NZ33" s="3">
        <v>189</v>
      </c>
      <c r="OA33" s="8">
        <v>183</v>
      </c>
    </row>
    <row r="34" spans="1:391" s="3" customFormat="1" ht="12.75" x14ac:dyDescent="0.2">
      <c r="A34" s="11" t="s">
        <v>60</v>
      </c>
      <c r="B34" s="8">
        <v>29</v>
      </c>
      <c r="C34" s="11" t="s">
        <v>224</v>
      </c>
      <c r="D34" s="11" t="s">
        <v>225</v>
      </c>
      <c r="E34" s="11" t="s">
        <v>287</v>
      </c>
      <c r="F34" s="11" t="s">
        <v>287</v>
      </c>
      <c r="G34" s="11" t="s">
        <v>226</v>
      </c>
      <c r="H34" s="11" t="s">
        <v>890</v>
      </c>
      <c r="I34" s="11" t="s">
        <v>84</v>
      </c>
      <c r="J34" s="11" t="s">
        <v>271</v>
      </c>
      <c r="K34" s="11" t="s">
        <v>387</v>
      </c>
      <c r="L34" s="11" t="s">
        <v>274</v>
      </c>
      <c r="M34" s="11" t="s">
        <v>60</v>
      </c>
      <c r="N34" s="3" t="s">
        <v>84</v>
      </c>
      <c r="O34" s="11">
        <v>515671</v>
      </c>
      <c r="P34" s="11">
        <v>126796</v>
      </c>
      <c r="Q34" s="128" t="s">
        <v>287</v>
      </c>
      <c r="R34" s="128" t="s">
        <v>287</v>
      </c>
      <c r="S34" s="128" t="s">
        <v>287</v>
      </c>
      <c r="T34" s="38">
        <v>10140</v>
      </c>
      <c r="U34" s="39">
        <v>10345</v>
      </c>
      <c r="V34" s="39">
        <v>10460</v>
      </c>
      <c r="W34" s="39">
        <v>10555</v>
      </c>
      <c r="X34" s="39">
        <v>10600</v>
      </c>
      <c r="Y34" s="39">
        <v>10635</v>
      </c>
      <c r="Z34" s="39">
        <v>10750</v>
      </c>
      <c r="AA34" s="39">
        <v>10925</v>
      </c>
      <c r="AB34" s="39">
        <v>10975</v>
      </c>
      <c r="AC34" s="44">
        <v>11323</v>
      </c>
      <c r="AD34" s="38">
        <v>630</v>
      </c>
      <c r="AE34" s="39">
        <v>645</v>
      </c>
      <c r="AF34" s="39">
        <v>645</v>
      </c>
      <c r="AG34" s="39">
        <v>635</v>
      </c>
      <c r="AH34" s="39">
        <v>635</v>
      </c>
      <c r="AI34" s="39">
        <v>620</v>
      </c>
      <c r="AJ34" s="39">
        <v>635</v>
      </c>
      <c r="AK34" s="39">
        <v>605</v>
      </c>
      <c r="AL34" s="39">
        <v>570</v>
      </c>
      <c r="AM34" s="44">
        <v>586</v>
      </c>
      <c r="AN34" s="15">
        <v>638</v>
      </c>
      <c r="AO34" s="3">
        <v>583</v>
      </c>
      <c r="AP34" s="3">
        <v>11</v>
      </c>
      <c r="AQ34" s="3">
        <v>27</v>
      </c>
      <c r="AR34" s="3">
        <v>13</v>
      </c>
      <c r="AS34" s="3">
        <v>3</v>
      </c>
      <c r="AT34" s="3">
        <v>1</v>
      </c>
      <c r="AU34" s="11">
        <v>55</v>
      </c>
      <c r="AV34" s="18">
        <v>0.91379310344827591</v>
      </c>
      <c r="AW34" s="19">
        <v>1.7241379310344827E-2</v>
      </c>
      <c r="AX34" s="19">
        <v>4.2319749216300939E-2</v>
      </c>
      <c r="AY34" s="19">
        <v>2.037617554858934E-2</v>
      </c>
      <c r="AZ34" s="19">
        <v>4.7021943573667714E-3</v>
      </c>
      <c r="BA34" s="19">
        <v>1.567398119122257E-3</v>
      </c>
      <c r="BB34" s="20">
        <v>8.6206896551724088E-2</v>
      </c>
      <c r="BC34" s="15">
        <v>2308</v>
      </c>
      <c r="BD34" s="3">
        <v>2278</v>
      </c>
      <c r="BE34" s="3">
        <v>30</v>
      </c>
      <c r="BF34" s="3">
        <v>29</v>
      </c>
      <c r="BG34" s="3">
        <v>1</v>
      </c>
      <c r="BH34" s="19">
        <v>0.96666666666666667</v>
      </c>
      <c r="BI34" s="20">
        <v>3.3333333333333333E-2</v>
      </c>
      <c r="BJ34" s="15">
        <v>1330</v>
      </c>
      <c r="BK34" s="19">
        <v>0.78270676691729324</v>
      </c>
      <c r="BL34" s="19">
        <v>9.2481203007518803E-2</v>
      </c>
      <c r="BM34" s="20">
        <v>0.12481203007518797</v>
      </c>
      <c r="BN34" s="38">
        <v>2972</v>
      </c>
      <c r="BO34" s="39">
        <v>166</v>
      </c>
      <c r="BP34" s="39">
        <v>218</v>
      </c>
      <c r="BQ34" s="39">
        <v>106</v>
      </c>
      <c r="BR34" s="39">
        <v>2576</v>
      </c>
      <c r="BS34" s="39">
        <v>1433</v>
      </c>
      <c r="BT34" s="20">
        <v>0.14584787159804605</v>
      </c>
      <c r="BU34" s="38">
        <v>1053</v>
      </c>
      <c r="BV34" s="39">
        <v>0</v>
      </c>
      <c r="BW34" s="39">
        <v>141</v>
      </c>
      <c r="BX34" s="39">
        <v>184</v>
      </c>
      <c r="BY34" s="39">
        <v>63</v>
      </c>
      <c r="BZ34" s="40">
        <v>1441</v>
      </c>
      <c r="CA34" s="39">
        <v>490</v>
      </c>
      <c r="CB34" s="39">
        <v>454</v>
      </c>
      <c r="CC34" s="39">
        <v>36</v>
      </c>
      <c r="CD34" s="39">
        <v>36</v>
      </c>
      <c r="CE34" s="19">
        <v>7.3469387755102047E-2</v>
      </c>
      <c r="CF34" s="104">
        <v>7.3469387755102047E-2</v>
      </c>
      <c r="CG34" s="39">
        <v>40</v>
      </c>
      <c r="CH34" s="39">
        <v>35</v>
      </c>
      <c r="CI34" s="39">
        <v>20</v>
      </c>
      <c r="CJ34" s="39">
        <v>15</v>
      </c>
      <c r="CK34" s="44">
        <v>25</v>
      </c>
      <c r="CL34" s="38">
        <v>183</v>
      </c>
      <c r="CM34" s="39">
        <v>42</v>
      </c>
      <c r="CN34" s="19">
        <v>0.22950819672131148</v>
      </c>
      <c r="CO34" s="40">
        <v>23</v>
      </c>
      <c r="CP34" s="39">
        <v>123</v>
      </c>
      <c r="CQ34" s="39">
        <v>104</v>
      </c>
      <c r="CR34" s="39">
        <v>126</v>
      </c>
      <c r="CS34" s="39">
        <v>91</v>
      </c>
      <c r="CT34" s="39">
        <v>78</v>
      </c>
      <c r="CU34" s="124" t="s">
        <v>474</v>
      </c>
      <c r="CV34" s="39">
        <v>6</v>
      </c>
      <c r="CW34" s="39">
        <v>3</v>
      </c>
      <c r="CX34" s="39">
        <v>2</v>
      </c>
      <c r="CY34" s="39">
        <v>1</v>
      </c>
      <c r="CZ34" s="39">
        <v>0</v>
      </c>
      <c r="DA34" s="120" t="s">
        <v>474</v>
      </c>
      <c r="DB34" s="15">
        <v>3</v>
      </c>
      <c r="DC34" s="15">
        <v>4</v>
      </c>
      <c r="DD34" s="19">
        <v>5.128205128205128E-2</v>
      </c>
      <c r="DE34" s="19">
        <v>2.0121012473896145E-2</v>
      </c>
      <c r="DF34" s="20">
        <v>0.12456676547294485</v>
      </c>
      <c r="DG34" s="15">
        <v>12</v>
      </c>
      <c r="DH34" s="20">
        <v>1.889763779527559E-2</v>
      </c>
      <c r="DI34" s="423">
        <v>10</v>
      </c>
      <c r="DJ34" s="428">
        <v>10</v>
      </c>
      <c r="DK34" s="3">
        <v>63</v>
      </c>
      <c r="DL34" s="20">
        <v>1.6406250000000001E-2</v>
      </c>
      <c r="DM34" s="15">
        <v>40</v>
      </c>
      <c r="DN34" s="3">
        <v>60</v>
      </c>
      <c r="DO34" s="3">
        <v>40</v>
      </c>
      <c r="DP34" s="3">
        <v>35</v>
      </c>
      <c r="DQ34" s="11">
        <v>35</v>
      </c>
      <c r="DR34" s="15">
        <v>35</v>
      </c>
      <c r="DS34" s="19">
        <v>5.5555555555555552E-2</v>
      </c>
      <c r="DT34" s="19">
        <v>4.0214470057622881E-2</v>
      </c>
      <c r="DU34" s="19">
        <v>7.6283840037272566E-2</v>
      </c>
      <c r="DV34" s="3">
        <v>50</v>
      </c>
      <c r="DW34" s="19">
        <v>7.9365079365079361E-2</v>
      </c>
      <c r="DX34" s="19">
        <v>6.0717109217296394E-2</v>
      </c>
      <c r="DY34" s="19">
        <v>0.1031116485510868</v>
      </c>
      <c r="DZ34" s="3">
        <v>50</v>
      </c>
      <c r="EA34" s="19">
        <v>8.1967213114754092E-2</v>
      </c>
      <c r="EB34" s="19">
        <v>6.2725697475180045E-2</v>
      </c>
      <c r="EC34" s="19">
        <v>0.10644088019488035</v>
      </c>
      <c r="ED34" s="3">
        <v>40</v>
      </c>
      <c r="EE34" s="19">
        <v>6.6666666666666666E-2</v>
      </c>
      <c r="EF34" s="19">
        <v>4.9337618409390389E-2</v>
      </c>
      <c r="EG34" s="19">
        <v>8.9509189135816888E-2</v>
      </c>
      <c r="EH34" s="3">
        <v>40</v>
      </c>
      <c r="EI34" s="20">
        <v>7.0175438596491224E-2</v>
      </c>
      <c r="EJ34" s="20">
        <v>5.1955720247553482E-2</v>
      </c>
      <c r="EK34" s="20">
        <v>9.4149893998230247E-2</v>
      </c>
      <c r="EL34" s="438">
        <v>30</v>
      </c>
      <c r="EM34" s="20">
        <v>6.1224489795918366E-2</v>
      </c>
      <c r="EN34" s="20">
        <v>4.321938940143772E-2</v>
      </c>
      <c r="EO34" s="104">
        <v>8.6055821661540147E-2</v>
      </c>
      <c r="EP34" s="38">
        <v>155</v>
      </c>
      <c r="EQ34" s="20">
        <v>6.8584070796460173E-2</v>
      </c>
      <c r="ER34" s="44">
        <v>160</v>
      </c>
      <c r="ES34" s="20">
        <v>7.1428571428571425E-2</v>
      </c>
      <c r="ET34" s="44">
        <v>140</v>
      </c>
      <c r="EU34" s="20">
        <v>6.3781321184510256E-2</v>
      </c>
      <c r="EV34" s="44">
        <v>130</v>
      </c>
      <c r="EW34" s="20">
        <v>6.0185185185185182E-2</v>
      </c>
      <c r="EX34" s="44">
        <v>115</v>
      </c>
      <c r="EY34" s="20">
        <v>5.4245283018867926E-2</v>
      </c>
      <c r="EZ34" s="44">
        <v>100</v>
      </c>
      <c r="FA34" s="104">
        <v>4.6948356807511735E-2</v>
      </c>
      <c r="FB34" s="3">
        <v>89</v>
      </c>
      <c r="FC34" s="3">
        <v>2</v>
      </c>
      <c r="FD34" s="3">
        <v>87</v>
      </c>
      <c r="FE34" s="19">
        <v>0.97752808988764039</v>
      </c>
      <c r="FF34" s="3">
        <v>39</v>
      </c>
      <c r="FG34" s="3">
        <v>54</v>
      </c>
      <c r="FH34" s="19">
        <v>0.44827586206896552</v>
      </c>
      <c r="FI34" s="19">
        <v>0.62068965517241381</v>
      </c>
      <c r="FJ34" s="19">
        <v>0.34817004727070094</v>
      </c>
      <c r="FK34" s="19">
        <v>0.55275640052414199</v>
      </c>
      <c r="FL34" s="19">
        <v>0.51567426573095965</v>
      </c>
      <c r="FM34" s="104">
        <v>0.71549735608107345</v>
      </c>
      <c r="FN34" s="438">
        <v>85</v>
      </c>
      <c r="FO34" s="438">
        <v>40</v>
      </c>
      <c r="FP34" s="438">
        <v>12</v>
      </c>
      <c r="FQ34" s="438">
        <v>52</v>
      </c>
      <c r="FR34" s="497">
        <v>0.47058823529411764</v>
      </c>
      <c r="FS34" s="497">
        <v>0.61176470588235299</v>
      </c>
      <c r="FT34" s="497">
        <v>0.36806170013762118</v>
      </c>
      <c r="FU34" s="497">
        <v>0.57565826949849952</v>
      </c>
      <c r="FV34" s="497">
        <v>0.50547711232963566</v>
      </c>
      <c r="FW34" s="104">
        <v>0.70838700305310576</v>
      </c>
      <c r="FX34" s="438">
        <v>74</v>
      </c>
      <c r="FY34" s="438">
        <v>11</v>
      </c>
      <c r="FZ34" s="438">
        <v>63</v>
      </c>
      <c r="GA34" s="497">
        <v>0.85135135135135132</v>
      </c>
      <c r="GB34" s="438">
        <v>28</v>
      </c>
      <c r="GC34" s="438">
        <v>10</v>
      </c>
      <c r="GD34" s="438">
        <v>38</v>
      </c>
      <c r="GE34" s="497">
        <v>0.44444444444444442</v>
      </c>
      <c r="GF34" s="497">
        <v>0.60317460317460314</v>
      </c>
      <c r="GG34" s="497">
        <v>0.32847096011891802</v>
      </c>
      <c r="GH34" s="497">
        <v>0.56680361761317655</v>
      </c>
      <c r="GI34" s="497">
        <v>0.47980918511657461</v>
      </c>
      <c r="GJ34" s="104">
        <v>0.7146808848095354</v>
      </c>
      <c r="GK34" s="3">
        <v>118</v>
      </c>
      <c r="GL34" s="3">
        <v>11</v>
      </c>
      <c r="GM34" s="19">
        <v>9.3220338983050849E-2</v>
      </c>
      <c r="GN34" s="19">
        <v>5.2851600772239334E-2</v>
      </c>
      <c r="GO34" s="19">
        <v>0.15923925131385774</v>
      </c>
      <c r="GP34" s="353" t="s">
        <v>725</v>
      </c>
      <c r="GQ34" s="3">
        <v>116</v>
      </c>
      <c r="GR34" s="3">
        <v>11</v>
      </c>
      <c r="GS34" s="19">
        <v>9.4827586206896547E-2</v>
      </c>
      <c r="GT34" s="19">
        <v>5.3777363581140956E-2</v>
      </c>
      <c r="GU34" s="19">
        <v>0.16185301237546282</v>
      </c>
      <c r="GV34" s="3" t="s">
        <v>725</v>
      </c>
      <c r="GW34" s="3">
        <v>87</v>
      </c>
      <c r="GX34" s="3">
        <v>9</v>
      </c>
      <c r="GY34" s="19">
        <v>0.10344827586206896</v>
      </c>
      <c r="GZ34" s="19">
        <v>5.5385110337884548E-2</v>
      </c>
      <c r="HA34" s="19">
        <v>0.18504980896262463</v>
      </c>
      <c r="HB34" s="3" t="s">
        <v>725</v>
      </c>
      <c r="HC34" s="3">
        <v>110</v>
      </c>
      <c r="HD34" s="3">
        <v>3</v>
      </c>
      <c r="HE34" s="19">
        <v>2.7272727272727271E-2</v>
      </c>
      <c r="HF34" s="19">
        <v>9.3179698578722808E-3</v>
      </c>
      <c r="HG34" s="19">
        <v>7.7130841696755659E-2</v>
      </c>
      <c r="HH34" s="3" t="s">
        <v>726</v>
      </c>
      <c r="HI34" s="3">
        <v>69</v>
      </c>
      <c r="HJ34" s="3">
        <v>3</v>
      </c>
      <c r="HK34" s="19">
        <v>4.3478260869565216E-2</v>
      </c>
      <c r="HL34" s="19">
        <v>1.4895903896212303E-2</v>
      </c>
      <c r="HM34" s="19">
        <v>0.12021202749379141</v>
      </c>
      <c r="HN34" s="11" t="s">
        <v>725</v>
      </c>
      <c r="HO34" s="11">
        <v>113</v>
      </c>
      <c r="HP34" s="11">
        <v>8</v>
      </c>
      <c r="HQ34" s="497">
        <v>7.0796460176991149E-2</v>
      </c>
      <c r="HR34" s="497">
        <v>3.6307708145227553E-2</v>
      </c>
      <c r="HS34" s="497">
        <v>0.13350751858129756</v>
      </c>
      <c r="HT34" s="8" t="str">
        <f t="shared" si="0"/>
        <v>No Sig diff</v>
      </c>
      <c r="HU34" s="3">
        <v>116</v>
      </c>
      <c r="HV34" s="3">
        <v>15</v>
      </c>
      <c r="HW34" s="19">
        <v>0.12931034482758622</v>
      </c>
      <c r="HX34" s="19">
        <v>7.995391352718767E-2</v>
      </c>
      <c r="HY34" s="19">
        <v>0.20243132405013073</v>
      </c>
      <c r="HZ34" s="3" t="s">
        <v>725</v>
      </c>
      <c r="IA34" s="3">
        <v>123</v>
      </c>
      <c r="IB34" s="3">
        <v>14</v>
      </c>
      <c r="IC34" s="19">
        <v>0.11382113821138211</v>
      </c>
      <c r="ID34" s="19">
        <v>6.9022844406854716E-2</v>
      </c>
      <c r="IE34" s="19">
        <v>0.18201068293301853</v>
      </c>
      <c r="IF34" s="3" t="s">
        <v>726</v>
      </c>
      <c r="IG34" s="3">
        <v>107</v>
      </c>
      <c r="IH34" s="3">
        <v>13</v>
      </c>
      <c r="II34" s="19">
        <v>0.12149532710280374</v>
      </c>
      <c r="IJ34" s="19">
        <v>7.2394341667617434E-2</v>
      </c>
      <c r="IK34" s="19">
        <v>0.19683216561760347</v>
      </c>
      <c r="IL34" s="3" t="s">
        <v>725</v>
      </c>
      <c r="IM34" s="3">
        <v>126</v>
      </c>
      <c r="IN34" s="3">
        <v>21</v>
      </c>
      <c r="IO34" s="19">
        <v>0.16666666666666666</v>
      </c>
      <c r="IP34" s="19">
        <v>0.11167188880425907</v>
      </c>
      <c r="IQ34" s="19">
        <v>0.2413852875172065</v>
      </c>
      <c r="IR34" s="3" t="s">
        <v>725</v>
      </c>
      <c r="IS34" s="3">
        <v>130</v>
      </c>
      <c r="IT34" s="3">
        <v>14</v>
      </c>
      <c r="IU34" s="19">
        <v>0.1076923076923077</v>
      </c>
      <c r="IV34" s="19">
        <v>6.5241339616437868E-2</v>
      </c>
      <c r="IW34" s="19">
        <v>0.17266296224380828</v>
      </c>
      <c r="IX34" s="580" t="s">
        <v>726</v>
      </c>
      <c r="IY34" s="580">
        <v>131</v>
      </c>
      <c r="IZ34" s="580">
        <v>13</v>
      </c>
      <c r="JA34" s="497">
        <v>9.9236641221374045E-2</v>
      </c>
      <c r="JB34" s="497">
        <v>5.8914886907542825E-2</v>
      </c>
      <c r="JC34" s="497">
        <v>0.16239285539726195</v>
      </c>
      <c r="JD34" s="371" t="str">
        <f t="shared" si="1"/>
        <v>Sig better than Eng.</v>
      </c>
      <c r="JE34" s="3">
        <v>134</v>
      </c>
      <c r="JF34" s="3">
        <v>89</v>
      </c>
      <c r="JG34" s="19">
        <v>0.66417910447761197</v>
      </c>
      <c r="JH34" s="19">
        <v>0.58062954335825934</v>
      </c>
      <c r="JI34" s="19">
        <v>0.73857775738016174</v>
      </c>
      <c r="JJ34" s="3">
        <v>134</v>
      </c>
      <c r="JK34" s="3">
        <v>34</v>
      </c>
      <c r="JL34" s="3">
        <v>26</v>
      </c>
      <c r="JM34" s="383">
        <v>27.038461538461537</v>
      </c>
      <c r="JN34" s="19">
        <v>0.20475113122171951</v>
      </c>
      <c r="JO34" s="3">
        <v>135</v>
      </c>
      <c r="JP34" s="3">
        <v>97</v>
      </c>
      <c r="JQ34" s="19">
        <v>0.71851851851851856</v>
      </c>
      <c r="JR34" s="19">
        <v>0.63742332520504075</v>
      </c>
      <c r="JS34" s="19">
        <v>0.78752179206137429</v>
      </c>
      <c r="JT34" s="3">
        <v>135</v>
      </c>
      <c r="JU34" s="3">
        <v>35</v>
      </c>
      <c r="JV34" s="3">
        <v>27</v>
      </c>
      <c r="JW34" s="383">
        <v>25.407407407407412</v>
      </c>
      <c r="JX34" s="20">
        <v>0.27407407407407397</v>
      </c>
      <c r="JY34" s="44">
        <v>117</v>
      </c>
      <c r="JZ34" s="44">
        <v>89</v>
      </c>
      <c r="KA34" s="20">
        <v>0.76068376068376065</v>
      </c>
      <c r="KB34" s="20">
        <v>0.67587418287904921</v>
      </c>
      <c r="KC34" s="20">
        <v>0.82891945827114966</v>
      </c>
      <c r="KD34" s="438">
        <v>36</v>
      </c>
      <c r="KE34" s="438">
        <v>23</v>
      </c>
      <c r="KF34" s="384">
        <v>27</v>
      </c>
      <c r="KG34" s="104">
        <v>0.251</v>
      </c>
      <c r="KH34" s="19">
        <v>0.9821428571428571</v>
      </c>
      <c r="KI34" s="19">
        <v>1.7857142857142856E-2</v>
      </c>
      <c r="KJ34" s="19">
        <v>3.4696032534422437E-3</v>
      </c>
      <c r="KK34" s="19">
        <v>0.10304807675589374</v>
      </c>
      <c r="KL34" s="19">
        <v>0.96785714285714286</v>
      </c>
      <c r="KM34" s="19">
        <v>3.2142857142857147E-2</v>
      </c>
      <c r="KN34" s="19">
        <v>1.0820856268751204E-2</v>
      </c>
      <c r="KO34" s="19">
        <v>0.1321654898626527</v>
      </c>
      <c r="KP34" s="19">
        <v>0.9821428571428571</v>
      </c>
      <c r="KQ34" s="19">
        <v>1.7857142857142856E-2</v>
      </c>
      <c r="KR34" s="19">
        <v>3.4696032534422437E-3</v>
      </c>
      <c r="KS34" s="19">
        <v>0.10304807675589374</v>
      </c>
      <c r="KT34" s="19">
        <v>0.94387755102040816</v>
      </c>
      <c r="KU34" s="19">
        <v>5.6122448979591837E-2</v>
      </c>
      <c r="KV34" s="19">
        <v>2.0206272864052088E-2</v>
      </c>
      <c r="KW34" s="104">
        <v>0.15924873938941972</v>
      </c>
      <c r="KX34" s="438">
        <v>1</v>
      </c>
      <c r="KY34" s="438">
        <v>46</v>
      </c>
      <c r="KZ34" s="497">
        <v>2.1739130434782608E-2</v>
      </c>
      <c r="LA34" s="497">
        <v>3.8478542580502872E-3</v>
      </c>
      <c r="LB34" s="497">
        <v>0.11335294521511352</v>
      </c>
      <c r="LC34" s="438">
        <v>1</v>
      </c>
      <c r="LD34" s="438">
        <v>46</v>
      </c>
      <c r="LE34" s="497">
        <v>2.1739130434782608E-2</v>
      </c>
      <c r="LF34" s="497">
        <v>3.8478542580502872E-3</v>
      </c>
      <c r="LG34" s="497">
        <v>0.11335294521511352</v>
      </c>
      <c r="LH34" s="438">
        <v>2</v>
      </c>
      <c r="LI34" s="438">
        <v>46</v>
      </c>
      <c r="LJ34" s="497">
        <v>4.3478260869565216E-2</v>
      </c>
      <c r="LK34" s="497">
        <v>1.2005445598556619E-2</v>
      </c>
      <c r="LL34" s="497">
        <v>0.14532259026219066</v>
      </c>
      <c r="LM34" s="438">
        <v>5</v>
      </c>
      <c r="LN34" s="438">
        <v>43</v>
      </c>
      <c r="LO34" s="497">
        <v>0.11627906976744186</v>
      </c>
      <c r="LP34" s="497">
        <v>5.0704277398041682E-2</v>
      </c>
      <c r="LQ34" s="104">
        <v>0.24479161810082128</v>
      </c>
      <c r="LR34" s="3">
        <v>29</v>
      </c>
      <c r="LS34" s="3">
        <v>28</v>
      </c>
      <c r="LT34" s="3">
        <v>28</v>
      </c>
      <c r="LU34" s="3">
        <v>28</v>
      </c>
      <c r="LV34" s="3">
        <v>28</v>
      </c>
      <c r="LW34" s="3">
        <v>31</v>
      </c>
      <c r="LX34" s="3">
        <v>31</v>
      </c>
      <c r="LY34" s="3">
        <v>30</v>
      </c>
      <c r="LZ34" s="3">
        <v>30</v>
      </c>
      <c r="MA34" s="3">
        <v>30</v>
      </c>
      <c r="MB34" s="3">
        <v>31</v>
      </c>
      <c r="MC34" s="3">
        <v>30</v>
      </c>
      <c r="MD34" s="3">
        <v>31</v>
      </c>
      <c r="ME34" s="3">
        <v>30</v>
      </c>
      <c r="MF34" s="3">
        <v>28</v>
      </c>
      <c r="MG34" s="3">
        <v>29</v>
      </c>
      <c r="MH34" s="3">
        <v>27</v>
      </c>
      <c r="MI34" s="3">
        <v>28</v>
      </c>
      <c r="MJ34" s="3">
        <v>29</v>
      </c>
      <c r="MK34" s="3">
        <v>26</v>
      </c>
      <c r="ML34" s="3">
        <v>27</v>
      </c>
      <c r="MM34" s="3">
        <v>29</v>
      </c>
      <c r="MN34" s="8">
        <v>29</v>
      </c>
      <c r="MO34" s="3">
        <v>70</v>
      </c>
      <c r="MP34" s="24">
        <v>0.94299999999999995</v>
      </c>
      <c r="MQ34" s="24">
        <v>1.4E-2</v>
      </c>
      <c r="MR34" s="24">
        <v>0.92900000000000005</v>
      </c>
      <c r="MS34" s="3">
        <v>66</v>
      </c>
      <c r="MT34" s="3">
        <v>1</v>
      </c>
      <c r="MU34" s="3">
        <v>65</v>
      </c>
      <c r="MV34" s="3">
        <v>96</v>
      </c>
      <c r="MW34" s="24">
        <v>1</v>
      </c>
      <c r="MX34" s="24">
        <v>0.96899999999999997</v>
      </c>
      <c r="MY34" s="24">
        <v>0.96899999999999997</v>
      </c>
      <c r="MZ34" s="24">
        <v>0.97899999999999998</v>
      </c>
      <c r="NA34" s="24">
        <v>0.97899999999999998</v>
      </c>
      <c r="NB34" s="3">
        <v>96</v>
      </c>
      <c r="NC34" s="3">
        <v>93</v>
      </c>
      <c r="ND34" s="3">
        <v>93</v>
      </c>
      <c r="NE34" s="3">
        <v>94</v>
      </c>
      <c r="NF34" s="3">
        <v>94</v>
      </c>
      <c r="NG34" s="3">
        <v>111</v>
      </c>
      <c r="NH34" s="24">
        <v>0.99099999999999999</v>
      </c>
      <c r="NI34" s="24">
        <v>0.96399999999999997</v>
      </c>
      <c r="NJ34" s="24">
        <v>0.99099999999999999</v>
      </c>
      <c r="NK34" s="24">
        <v>0.99099999999999999</v>
      </c>
      <c r="NL34" s="24">
        <v>0.99099999999999999</v>
      </c>
      <c r="NM34" s="24">
        <v>0.96399999999999997</v>
      </c>
      <c r="NN34" s="24">
        <v>0.99099999999999999</v>
      </c>
      <c r="NO34" s="24">
        <v>0.96399999999999997</v>
      </c>
      <c r="NP34" s="24">
        <v>0.99099999999999999</v>
      </c>
      <c r="NQ34" s="24">
        <v>0.98199999999999998</v>
      </c>
      <c r="NR34" s="3">
        <v>110</v>
      </c>
      <c r="NS34" s="3">
        <v>107</v>
      </c>
      <c r="NT34" s="3">
        <v>110</v>
      </c>
      <c r="NU34" s="3">
        <v>110</v>
      </c>
      <c r="NV34" s="3">
        <v>110</v>
      </c>
      <c r="NW34" s="3">
        <v>107</v>
      </c>
      <c r="NX34" s="3">
        <v>110</v>
      </c>
      <c r="NY34" s="3">
        <v>107</v>
      </c>
      <c r="NZ34" s="3">
        <v>110</v>
      </c>
      <c r="OA34" s="8">
        <v>109</v>
      </c>
    </row>
    <row r="35" spans="1:391" s="3" customFormat="1" ht="12.75" x14ac:dyDescent="0.2">
      <c r="A35" s="11" t="s">
        <v>61</v>
      </c>
      <c r="B35" s="8">
        <v>30</v>
      </c>
      <c r="C35" s="11" t="s">
        <v>227</v>
      </c>
      <c r="D35" s="11" t="s">
        <v>228</v>
      </c>
      <c r="E35" s="11" t="s">
        <v>287</v>
      </c>
      <c r="F35" s="11" t="s">
        <v>287</v>
      </c>
      <c r="G35" s="11" t="s">
        <v>229</v>
      </c>
      <c r="H35" s="11" t="s">
        <v>890</v>
      </c>
      <c r="I35" s="11" t="s">
        <v>84</v>
      </c>
      <c r="J35" s="11" t="s">
        <v>271</v>
      </c>
      <c r="K35" s="11" t="s">
        <v>386</v>
      </c>
      <c r="L35" s="11" t="s">
        <v>274</v>
      </c>
      <c r="M35" s="11" t="s">
        <v>354</v>
      </c>
      <c r="N35" s="3" t="s">
        <v>84</v>
      </c>
      <c r="O35" s="11">
        <v>516353</v>
      </c>
      <c r="P35" s="11">
        <v>130288</v>
      </c>
      <c r="Q35" s="128" t="s">
        <v>287</v>
      </c>
      <c r="R35" s="128" t="s">
        <v>287</v>
      </c>
      <c r="S35" s="128" t="s">
        <v>287</v>
      </c>
      <c r="T35" s="38">
        <v>13700</v>
      </c>
      <c r="U35" s="39">
        <v>14090</v>
      </c>
      <c r="V35" s="39">
        <v>14320</v>
      </c>
      <c r="W35" s="39">
        <v>14400</v>
      </c>
      <c r="X35" s="39">
        <v>14500</v>
      </c>
      <c r="Y35" s="39">
        <v>14600</v>
      </c>
      <c r="Z35" s="39">
        <v>14840</v>
      </c>
      <c r="AA35" s="39">
        <v>15055</v>
      </c>
      <c r="AB35" s="39">
        <v>15260</v>
      </c>
      <c r="AC35" s="44">
        <v>15603</v>
      </c>
      <c r="AD35" s="38">
        <v>775</v>
      </c>
      <c r="AE35" s="39">
        <v>800</v>
      </c>
      <c r="AF35" s="39">
        <v>865</v>
      </c>
      <c r="AG35" s="39">
        <v>865</v>
      </c>
      <c r="AH35" s="39">
        <v>900</v>
      </c>
      <c r="AI35" s="39">
        <v>900</v>
      </c>
      <c r="AJ35" s="39">
        <v>915</v>
      </c>
      <c r="AK35" s="39">
        <v>940</v>
      </c>
      <c r="AL35" s="39">
        <v>985</v>
      </c>
      <c r="AM35" s="44">
        <v>1009</v>
      </c>
      <c r="AN35" s="15">
        <v>893</v>
      </c>
      <c r="AO35" s="3">
        <v>750</v>
      </c>
      <c r="AP35" s="3">
        <v>39</v>
      </c>
      <c r="AQ35" s="3">
        <v>44</v>
      </c>
      <c r="AR35" s="3">
        <v>50</v>
      </c>
      <c r="AS35" s="3">
        <v>6</v>
      </c>
      <c r="AT35" s="3">
        <v>4</v>
      </c>
      <c r="AU35" s="11">
        <v>143</v>
      </c>
      <c r="AV35" s="18">
        <v>0.83986562150055988</v>
      </c>
      <c r="AW35" s="19">
        <v>4.3673012318029114E-2</v>
      </c>
      <c r="AX35" s="19">
        <v>4.9272116461366179E-2</v>
      </c>
      <c r="AY35" s="19">
        <v>5.5991041433370664E-2</v>
      </c>
      <c r="AZ35" s="19">
        <v>6.7189249720044789E-3</v>
      </c>
      <c r="BA35" s="19">
        <v>4.4792833146696529E-3</v>
      </c>
      <c r="BB35" s="20">
        <v>0.16013437849944012</v>
      </c>
      <c r="BC35" s="15">
        <v>2096</v>
      </c>
      <c r="BD35" s="3">
        <v>2025</v>
      </c>
      <c r="BE35" s="3">
        <v>71</v>
      </c>
      <c r="BF35" s="3">
        <v>56</v>
      </c>
      <c r="BG35" s="3">
        <v>15</v>
      </c>
      <c r="BH35" s="19">
        <v>0.78873239436619713</v>
      </c>
      <c r="BI35" s="20">
        <v>0.21126760563380281</v>
      </c>
      <c r="BJ35" s="15">
        <v>1709</v>
      </c>
      <c r="BK35" s="19">
        <v>0.66764189584552369</v>
      </c>
      <c r="BL35" s="19">
        <v>0.14921006436512579</v>
      </c>
      <c r="BM35" s="20">
        <v>0.18314803978935049</v>
      </c>
      <c r="BN35" s="38">
        <v>4294</v>
      </c>
      <c r="BO35" s="39">
        <v>291</v>
      </c>
      <c r="BP35" s="39">
        <v>299</v>
      </c>
      <c r="BQ35" s="39">
        <v>111</v>
      </c>
      <c r="BR35" s="39">
        <v>2953</v>
      </c>
      <c r="BS35" s="39">
        <v>1691</v>
      </c>
      <c r="BT35" s="20">
        <v>0.13601419278533411</v>
      </c>
      <c r="BU35" s="38">
        <v>1069</v>
      </c>
      <c r="BV35" s="39">
        <v>3</v>
      </c>
      <c r="BW35" s="39">
        <v>241</v>
      </c>
      <c r="BX35" s="39">
        <v>288</v>
      </c>
      <c r="BY35" s="39">
        <v>96</v>
      </c>
      <c r="BZ35" s="40">
        <v>1697</v>
      </c>
      <c r="CA35" s="39">
        <v>702</v>
      </c>
      <c r="CB35" s="39">
        <v>618</v>
      </c>
      <c r="CC35" s="39">
        <v>83</v>
      </c>
      <c r="CD35" s="39">
        <v>84</v>
      </c>
      <c r="CE35" s="19">
        <v>0.11823361823361823</v>
      </c>
      <c r="CF35" s="104">
        <v>0.11965811965811966</v>
      </c>
      <c r="CG35" s="39">
        <v>80</v>
      </c>
      <c r="CH35" s="39">
        <v>70</v>
      </c>
      <c r="CI35" s="39">
        <v>60</v>
      </c>
      <c r="CJ35" s="39">
        <v>65</v>
      </c>
      <c r="CK35" s="44">
        <v>55</v>
      </c>
      <c r="CL35" s="38">
        <v>286</v>
      </c>
      <c r="CM35" s="39">
        <v>85</v>
      </c>
      <c r="CN35" s="19">
        <v>0.29720279720279719</v>
      </c>
      <c r="CO35" s="40">
        <v>31</v>
      </c>
      <c r="CP35" s="39">
        <v>177</v>
      </c>
      <c r="CQ35" s="39">
        <v>164</v>
      </c>
      <c r="CR35" s="39">
        <v>195</v>
      </c>
      <c r="CS35" s="39">
        <v>156</v>
      </c>
      <c r="CT35" s="39">
        <v>196</v>
      </c>
      <c r="CU35" s="124" t="s">
        <v>474</v>
      </c>
      <c r="CV35" s="39">
        <v>4</v>
      </c>
      <c r="CW35" s="39">
        <v>3</v>
      </c>
      <c r="CX35" s="39">
        <v>3</v>
      </c>
      <c r="CY35" s="39">
        <v>1</v>
      </c>
      <c r="CZ35" s="39">
        <v>2</v>
      </c>
      <c r="DA35" s="120" t="s">
        <v>474</v>
      </c>
      <c r="DB35" s="15">
        <v>4</v>
      </c>
      <c r="DC35" s="15">
        <v>16</v>
      </c>
      <c r="DD35" s="19">
        <v>8.1632653061224483E-2</v>
      </c>
      <c r="DE35" s="19">
        <v>5.0870551452464711E-2</v>
      </c>
      <c r="DF35" s="20">
        <v>0.12847891402983311</v>
      </c>
      <c r="DG35" s="15">
        <v>17</v>
      </c>
      <c r="DH35" s="20">
        <v>1.9036954087346025E-2</v>
      </c>
      <c r="DI35" s="423">
        <v>9</v>
      </c>
      <c r="DJ35" s="428">
        <v>8</v>
      </c>
      <c r="DK35" s="3">
        <v>200</v>
      </c>
      <c r="DL35" s="20">
        <v>3.0211480362537766E-2</v>
      </c>
      <c r="DM35" s="15">
        <v>95</v>
      </c>
      <c r="DN35" s="3">
        <v>80</v>
      </c>
      <c r="DO35" s="3">
        <v>105</v>
      </c>
      <c r="DP35" s="3">
        <v>100</v>
      </c>
      <c r="DQ35" s="11">
        <v>95</v>
      </c>
      <c r="DR35" s="15">
        <v>75</v>
      </c>
      <c r="DS35" s="19">
        <v>9.6153846153846159E-2</v>
      </c>
      <c r="DT35" s="19">
        <v>7.7400480169143721E-2</v>
      </c>
      <c r="DU35" s="19">
        <v>0.11886555946105372</v>
      </c>
      <c r="DV35" s="3">
        <v>100</v>
      </c>
      <c r="DW35" s="19">
        <v>0.11976047904191617</v>
      </c>
      <c r="DX35" s="19">
        <v>9.9461101371022292E-2</v>
      </c>
      <c r="DY35" s="19">
        <v>0.14354245630633625</v>
      </c>
      <c r="DZ35" s="3">
        <v>80</v>
      </c>
      <c r="EA35" s="19">
        <v>9.6385542168674704E-2</v>
      </c>
      <c r="EB35" s="19">
        <v>7.8127794989517718E-2</v>
      </c>
      <c r="EC35" s="19">
        <v>0.1183621457390422</v>
      </c>
      <c r="ED35" s="3">
        <v>85</v>
      </c>
      <c r="EE35" s="19">
        <v>0.1</v>
      </c>
      <c r="EF35" s="19">
        <v>8.1596856102244236E-2</v>
      </c>
      <c r="EG35" s="19">
        <v>0.12200236834956429</v>
      </c>
      <c r="EH35" s="3">
        <v>95</v>
      </c>
      <c r="EI35" s="20">
        <v>0.10919540229885058</v>
      </c>
      <c r="EJ35" s="20">
        <v>9.0163366986237781E-2</v>
      </c>
      <c r="EK35" s="20">
        <v>0.13166343793818841</v>
      </c>
      <c r="EL35" s="438">
        <v>90</v>
      </c>
      <c r="EM35" s="20">
        <v>0.10909090909090909</v>
      </c>
      <c r="EN35" s="20">
        <v>8.9601669529293923E-2</v>
      </c>
      <c r="EO35" s="104">
        <v>0.13220366714181139</v>
      </c>
      <c r="EP35" s="38">
        <v>250</v>
      </c>
      <c r="EQ35" s="20">
        <v>0.10482180293501048</v>
      </c>
      <c r="ER35" s="44">
        <v>245</v>
      </c>
      <c r="ES35" s="20">
        <v>0.10040983606557377</v>
      </c>
      <c r="ET35" s="44">
        <v>235</v>
      </c>
      <c r="EU35" s="20">
        <v>9.7916666666666666E-2</v>
      </c>
      <c r="EV35" s="44">
        <v>235</v>
      </c>
      <c r="EW35" s="20">
        <v>9.494949494949495E-2</v>
      </c>
      <c r="EX35" s="44">
        <v>230</v>
      </c>
      <c r="EY35" s="20">
        <v>8.9668615984405453E-2</v>
      </c>
      <c r="EZ35" s="44">
        <v>220</v>
      </c>
      <c r="FA35" s="104">
        <v>8.3018867924528297E-2</v>
      </c>
      <c r="FB35" s="3">
        <v>154</v>
      </c>
      <c r="FC35" s="3">
        <v>3</v>
      </c>
      <c r="FD35" s="3">
        <v>151</v>
      </c>
      <c r="FE35" s="19">
        <v>0.98051948051948057</v>
      </c>
      <c r="FF35" s="3">
        <v>73</v>
      </c>
      <c r="FG35" s="3">
        <v>92</v>
      </c>
      <c r="FH35" s="19">
        <v>0.48344370860927155</v>
      </c>
      <c r="FI35" s="19">
        <v>0.60927152317880795</v>
      </c>
      <c r="FJ35" s="19">
        <v>0.40514083756405994</v>
      </c>
      <c r="FK35" s="19">
        <v>0.56256809853579959</v>
      </c>
      <c r="FL35" s="19">
        <v>0.52966070139484978</v>
      </c>
      <c r="FM35" s="104">
        <v>0.68346032034607762</v>
      </c>
      <c r="FN35" s="438">
        <v>142</v>
      </c>
      <c r="FO35" s="438">
        <v>73</v>
      </c>
      <c r="FP35" s="438">
        <v>20</v>
      </c>
      <c r="FQ35" s="438">
        <v>93</v>
      </c>
      <c r="FR35" s="497">
        <v>0.5140845070422535</v>
      </c>
      <c r="FS35" s="497">
        <v>0.65492957746478875</v>
      </c>
      <c r="FT35" s="497">
        <v>0.43259691690651036</v>
      </c>
      <c r="FU35" s="497">
        <v>0.59483012635227817</v>
      </c>
      <c r="FV35" s="497">
        <v>0.57358683538556365</v>
      </c>
      <c r="FW35" s="104">
        <v>0.72811064046110985</v>
      </c>
      <c r="FX35" s="438">
        <v>145</v>
      </c>
      <c r="FY35" s="438">
        <v>18</v>
      </c>
      <c r="FZ35" s="438">
        <v>127</v>
      </c>
      <c r="GA35" s="497">
        <v>0.87586206896551722</v>
      </c>
      <c r="GB35" s="438">
        <v>57</v>
      </c>
      <c r="GC35" s="438">
        <v>16</v>
      </c>
      <c r="GD35" s="438">
        <v>73</v>
      </c>
      <c r="GE35" s="497">
        <v>0.44881889763779526</v>
      </c>
      <c r="GF35" s="497">
        <v>0.57480314960629919</v>
      </c>
      <c r="GG35" s="497">
        <v>0.36508505294958643</v>
      </c>
      <c r="GH35" s="497">
        <v>0.5355580603482003</v>
      </c>
      <c r="GI35" s="497">
        <v>0.48786940574104443</v>
      </c>
      <c r="GJ35" s="104">
        <v>0.65734450559295943</v>
      </c>
      <c r="GK35" s="3">
        <v>149</v>
      </c>
      <c r="GL35" s="3">
        <v>5</v>
      </c>
      <c r="GM35" s="19">
        <v>3.3557046979865772E-2</v>
      </c>
      <c r="GN35" s="19">
        <v>1.4417106348108081E-2</v>
      </c>
      <c r="GO35" s="19">
        <v>7.6143785490357191E-2</v>
      </c>
      <c r="GP35" s="353" t="s">
        <v>726</v>
      </c>
      <c r="GQ35" s="3">
        <v>141</v>
      </c>
      <c r="GR35" s="3">
        <v>9</v>
      </c>
      <c r="GS35" s="19">
        <v>6.3829787234042548E-2</v>
      </c>
      <c r="GT35" s="19">
        <v>3.3941271284132213E-2</v>
      </c>
      <c r="GU35" s="19">
        <v>0.11685435725018591</v>
      </c>
      <c r="GV35" s="3" t="s">
        <v>725</v>
      </c>
      <c r="GW35" s="3">
        <v>80</v>
      </c>
      <c r="GX35" s="3">
        <v>8</v>
      </c>
      <c r="GY35" s="19">
        <v>0.1</v>
      </c>
      <c r="GZ35" s="19">
        <v>5.1547615567380821E-2</v>
      </c>
      <c r="HA35" s="19">
        <v>0.18510688806104081</v>
      </c>
      <c r="HB35" s="3" t="s">
        <v>725</v>
      </c>
      <c r="HC35" s="3">
        <v>133</v>
      </c>
      <c r="HD35" s="3">
        <v>7</v>
      </c>
      <c r="HE35" s="19">
        <v>5.2631578947368418E-2</v>
      </c>
      <c r="HF35" s="19">
        <v>2.5725728312537676E-2</v>
      </c>
      <c r="HG35" s="19">
        <v>0.10465477898731589</v>
      </c>
      <c r="HH35" s="3" t="s">
        <v>725</v>
      </c>
      <c r="HI35" s="3">
        <v>91</v>
      </c>
      <c r="HJ35" s="3">
        <v>2</v>
      </c>
      <c r="HK35" s="19">
        <v>2.197802197802198E-2</v>
      </c>
      <c r="HL35" s="19">
        <v>6.0480060829811409E-3</v>
      </c>
      <c r="HM35" s="19">
        <v>7.6631646024849356E-2</v>
      </c>
      <c r="HN35" s="11" t="s">
        <v>726</v>
      </c>
      <c r="HO35" s="11">
        <v>162</v>
      </c>
      <c r="HP35" s="11">
        <v>6</v>
      </c>
      <c r="HQ35" s="497">
        <v>3.7037037037037035E-2</v>
      </c>
      <c r="HR35" s="497">
        <v>1.7082991141909622E-2</v>
      </c>
      <c r="HS35" s="497">
        <v>7.8438713342261157E-2</v>
      </c>
      <c r="HT35" s="8" t="str">
        <f t="shared" si="0"/>
        <v>Sig better than Eng.</v>
      </c>
      <c r="HU35" s="3">
        <v>125</v>
      </c>
      <c r="HV35" s="3">
        <v>23</v>
      </c>
      <c r="HW35" s="19">
        <v>0.184</v>
      </c>
      <c r="HX35" s="19">
        <v>0.12585414090214395</v>
      </c>
      <c r="HY35" s="19">
        <v>0.26098918792151837</v>
      </c>
      <c r="HZ35" s="3" t="s">
        <v>725</v>
      </c>
      <c r="IA35" s="3">
        <v>158</v>
      </c>
      <c r="IB35" s="3">
        <v>24</v>
      </c>
      <c r="IC35" s="19">
        <v>0.15189873417721519</v>
      </c>
      <c r="ID35" s="19">
        <v>0.10425003468710974</v>
      </c>
      <c r="IE35" s="19">
        <v>0.21607245374355769</v>
      </c>
      <c r="IF35" s="3" t="s">
        <v>725</v>
      </c>
      <c r="IG35" s="3">
        <v>117</v>
      </c>
      <c r="IH35" s="3">
        <v>10</v>
      </c>
      <c r="II35" s="19">
        <v>8.5470085470085472E-2</v>
      </c>
      <c r="IJ35" s="19">
        <v>4.7087483244617576E-2</v>
      </c>
      <c r="IK35" s="19">
        <v>0.15020787427064</v>
      </c>
      <c r="IL35" s="3" t="s">
        <v>726</v>
      </c>
      <c r="IM35" s="3">
        <v>119</v>
      </c>
      <c r="IN35" s="3">
        <v>9</v>
      </c>
      <c r="IO35" s="19">
        <v>7.5630252100840331E-2</v>
      </c>
      <c r="IP35" s="19">
        <v>4.0297241660835648E-2</v>
      </c>
      <c r="IQ35" s="19">
        <v>0.13750477266215499</v>
      </c>
      <c r="IR35" s="3" t="s">
        <v>726</v>
      </c>
      <c r="IS35" s="3">
        <v>157</v>
      </c>
      <c r="IT35" s="3">
        <v>18</v>
      </c>
      <c r="IU35" s="19">
        <v>0.11464968152866242</v>
      </c>
      <c r="IV35" s="19">
        <v>7.3763243796413538E-2</v>
      </c>
      <c r="IW35" s="19">
        <v>0.17394315673499008</v>
      </c>
      <c r="IX35" s="580" t="s">
        <v>726</v>
      </c>
      <c r="IY35" s="580">
        <v>131</v>
      </c>
      <c r="IZ35" s="580">
        <v>23</v>
      </c>
      <c r="JA35" s="497">
        <v>0.17557251908396945</v>
      </c>
      <c r="JB35" s="497">
        <v>0.11993766480499095</v>
      </c>
      <c r="JC35" s="497">
        <v>0.24969241229889863</v>
      </c>
      <c r="JD35" s="371" t="str">
        <f t="shared" si="1"/>
        <v>Sig better than Eng.</v>
      </c>
      <c r="JE35" s="3">
        <v>162</v>
      </c>
      <c r="JF35" s="3">
        <v>96</v>
      </c>
      <c r="JG35" s="19">
        <v>0.59259259259259256</v>
      </c>
      <c r="JH35" s="19">
        <v>0.51563559092203559</v>
      </c>
      <c r="JI35" s="19">
        <v>0.66526006818113026</v>
      </c>
      <c r="JJ35" s="3">
        <v>162</v>
      </c>
      <c r="JK35" s="3">
        <v>34</v>
      </c>
      <c r="JL35" s="3">
        <v>32</v>
      </c>
      <c r="JM35" s="383">
        <v>24.46875</v>
      </c>
      <c r="JN35" s="19">
        <v>0.28033088235294118</v>
      </c>
      <c r="JO35" s="3">
        <v>185</v>
      </c>
      <c r="JP35" s="3">
        <v>101</v>
      </c>
      <c r="JQ35" s="19">
        <v>0.54594594594594592</v>
      </c>
      <c r="JR35" s="19">
        <v>0.47399376090072665</v>
      </c>
      <c r="JS35" s="19">
        <v>0.61602884380781664</v>
      </c>
      <c r="JT35" s="3">
        <v>185</v>
      </c>
      <c r="JU35" s="3">
        <v>34</v>
      </c>
      <c r="JV35" s="3">
        <v>37</v>
      </c>
      <c r="JW35" s="383">
        <v>24.783783783783782</v>
      </c>
      <c r="JX35" s="20">
        <v>0.27106518282988873</v>
      </c>
      <c r="JY35" s="44">
        <v>194</v>
      </c>
      <c r="JZ35" s="44">
        <v>139</v>
      </c>
      <c r="KA35" s="20">
        <v>0.71649484536082475</v>
      </c>
      <c r="KB35" s="20">
        <v>0.6493482383929976</v>
      </c>
      <c r="KC35" s="20">
        <v>0.77523415450236677</v>
      </c>
      <c r="KD35" s="438">
        <v>35</v>
      </c>
      <c r="KE35" s="438">
        <v>38</v>
      </c>
      <c r="KF35" s="384">
        <v>27.3</v>
      </c>
      <c r="KG35" s="104">
        <v>0.22</v>
      </c>
      <c r="KH35" s="19">
        <v>0.95912975912975917</v>
      </c>
      <c r="KI35" s="19">
        <v>4.0870240870240868E-2</v>
      </c>
      <c r="KJ35" s="19">
        <v>1.7224087727905863E-2</v>
      </c>
      <c r="KK35" s="19">
        <v>0.10763251528174392</v>
      </c>
      <c r="KL35" s="19">
        <v>0.96767676767676769</v>
      </c>
      <c r="KM35" s="19">
        <v>3.2323232323232323E-2</v>
      </c>
      <c r="KN35" s="19">
        <v>1.1274202463345791E-2</v>
      </c>
      <c r="KO35" s="19">
        <v>9.2494607847741314E-2</v>
      </c>
      <c r="KP35" s="19">
        <v>0.95912975912975895</v>
      </c>
      <c r="KQ35" s="19">
        <v>4.0870240870240875E-2</v>
      </c>
      <c r="KR35" s="19">
        <v>1.7224087727905863E-2</v>
      </c>
      <c r="KS35" s="19">
        <v>0.10763251528174392</v>
      </c>
      <c r="KT35" s="19">
        <v>0.83677356594023267</v>
      </c>
      <c r="KU35" s="19">
        <v>0.16322643405976739</v>
      </c>
      <c r="KV35" s="19">
        <v>9.607722097921384E-2</v>
      </c>
      <c r="KW35" s="104">
        <v>0.24688972487264566</v>
      </c>
      <c r="KX35" s="438">
        <v>5</v>
      </c>
      <c r="KY35" s="438">
        <v>78</v>
      </c>
      <c r="KZ35" s="497">
        <v>6.4102564102564097E-2</v>
      </c>
      <c r="LA35" s="497">
        <v>2.7689315373790935E-2</v>
      </c>
      <c r="LB35" s="497">
        <v>0.14143595463171177</v>
      </c>
      <c r="LC35" s="438">
        <v>4</v>
      </c>
      <c r="LD35" s="438">
        <v>78</v>
      </c>
      <c r="LE35" s="497">
        <v>5.128205128205128E-2</v>
      </c>
      <c r="LF35" s="497">
        <v>2.0121012473896145E-2</v>
      </c>
      <c r="LG35" s="497">
        <v>0.12456676547294485</v>
      </c>
      <c r="LH35" s="438">
        <v>5</v>
      </c>
      <c r="LI35" s="438">
        <v>76</v>
      </c>
      <c r="LJ35" s="497">
        <v>6.5789473684210523E-2</v>
      </c>
      <c r="LK35" s="497">
        <v>2.8426532219532126E-2</v>
      </c>
      <c r="LL35" s="497">
        <v>0.14493526533703446</v>
      </c>
      <c r="LM35" s="438">
        <v>9</v>
      </c>
      <c r="LN35" s="438">
        <v>78</v>
      </c>
      <c r="LO35" s="497">
        <v>0.11538461538461539</v>
      </c>
      <c r="LP35" s="497">
        <v>6.1905106255333193E-2</v>
      </c>
      <c r="LQ35" s="104">
        <v>0.2049701319848162</v>
      </c>
      <c r="LR35" s="3">
        <v>49</v>
      </c>
      <c r="LS35" s="3">
        <v>45</v>
      </c>
      <c r="LT35" s="3">
        <v>45</v>
      </c>
      <c r="LU35" s="3">
        <v>47</v>
      </c>
      <c r="LV35" s="3">
        <v>45</v>
      </c>
      <c r="LW35" s="3">
        <v>54</v>
      </c>
      <c r="LX35" s="3">
        <v>50</v>
      </c>
      <c r="LY35" s="3">
        <v>50</v>
      </c>
      <c r="LZ35" s="3">
        <v>50</v>
      </c>
      <c r="MA35" s="3">
        <v>50</v>
      </c>
      <c r="MB35" s="3">
        <v>49</v>
      </c>
      <c r="MC35" s="3">
        <v>50</v>
      </c>
      <c r="MD35" s="3">
        <v>50</v>
      </c>
      <c r="ME35" s="3">
        <v>48</v>
      </c>
      <c r="MF35" s="3">
        <v>45</v>
      </c>
      <c r="MG35" s="3">
        <v>45</v>
      </c>
      <c r="MH35" s="3">
        <v>43</v>
      </c>
      <c r="MI35" s="3">
        <v>45</v>
      </c>
      <c r="MJ35" s="3">
        <v>46</v>
      </c>
      <c r="MK35" s="3">
        <v>43</v>
      </c>
      <c r="ML35" s="3">
        <v>46</v>
      </c>
      <c r="MM35" s="3">
        <v>45</v>
      </c>
      <c r="MN35" s="8">
        <v>45</v>
      </c>
      <c r="MO35" s="3">
        <v>172</v>
      </c>
      <c r="MP35" s="24">
        <v>0.97699999999999998</v>
      </c>
      <c r="MQ35" s="24">
        <v>6.0000000000000001E-3</v>
      </c>
      <c r="MR35" s="24">
        <v>0.97099999999999997</v>
      </c>
      <c r="MS35" s="3">
        <v>168</v>
      </c>
      <c r="MT35" s="3">
        <v>1</v>
      </c>
      <c r="MU35" s="3">
        <v>167</v>
      </c>
      <c r="MV35" s="3">
        <v>161</v>
      </c>
      <c r="MW35" s="24">
        <v>0.99399999999999999</v>
      </c>
      <c r="MX35" s="24">
        <v>0.95699999999999996</v>
      </c>
      <c r="MY35" s="24">
        <v>0.96299999999999997</v>
      </c>
      <c r="MZ35" s="24">
        <v>0.97499999999999998</v>
      </c>
      <c r="NA35" s="24">
        <v>0.97499999999999998</v>
      </c>
      <c r="NB35" s="3">
        <v>160</v>
      </c>
      <c r="NC35" s="3">
        <v>154</v>
      </c>
      <c r="ND35" s="3">
        <v>155</v>
      </c>
      <c r="NE35" s="3">
        <v>157</v>
      </c>
      <c r="NF35" s="3">
        <v>157</v>
      </c>
      <c r="NG35" s="3">
        <v>197</v>
      </c>
      <c r="NH35" s="24">
        <v>0.98499999999999999</v>
      </c>
      <c r="NI35" s="24">
        <v>0.94899999999999995</v>
      </c>
      <c r="NJ35" s="24">
        <v>0.98499999999999999</v>
      </c>
      <c r="NK35" s="24">
        <v>0.98</v>
      </c>
      <c r="NL35" s="24">
        <v>0.97</v>
      </c>
      <c r="NM35" s="24">
        <v>0.84299999999999997</v>
      </c>
      <c r="NN35" s="24">
        <v>0.88800000000000001</v>
      </c>
      <c r="NO35" s="24">
        <v>0.94399999999999995</v>
      </c>
      <c r="NP35" s="24">
        <v>0.97</v>
      </c>
      <c r="NQ35" s="24">
        <v>0.93899999999999995</v>
      </c>
      <c r="NR35" s="3">
        <v>194</v>
      </c>
      <c r="NS35" s="3">
        <v>187</v>
      </c>
      <c r="NT35" s="3">
        <v>194</v>
      </c>
      <c r="NU35" s="3">
        <v>193</v>
      </c>
      <c r="NV35" s="3">
        <v>191</v>
      </c>
      <c r="NW35" s="3">
        <v>166</v>
      </c>
      <c r="NX35" s="3">
        <v>175</v>
      </c>
      <c r="NY35" s="3">
        <v>186</v>
      </c>
      <c r="NZ35" s="3">
        <v>191</v>
      </c>
      <c r="OA35" s="8">
        <v>185</v>
      </c>
    </row>
    <row r="36" spans="1:391" s="3" customFormat="1" ht="12.75" x14ac:dyDescent="0.2">
      <c r="A36" s="11" t="s">
        <v>62</v>
      </c>
      <c r="B36" s="8">
        <v>31</v>
      </c>
      <c r="C36" s="11" t="s">
        <v>230</v>
      </c>
      <c r="D36" s="11" t="s">
        <v>231</v>
      </c>
      <c r="E36" s="11" t="s">
        <v>287</v>
      </c>
      <c r="F36" s="11" t="s">
        <v>287</v>
      </c>
      <c r="G36" s="11" t="s">
        <v>232</v>
      </c>
      <c r="H36" s="11" t="s">
        <v>81</v>
      </c>
      <c r="I36" s="11" t="s">
        <v>81</v>
      </c>
      <c r="J36" s="11" t="s">
        <v>271</v>
      </c>
      <c r="K36" s="11" t="s">
        <v>388</v>
      </c>
      <c r="L36" s="11" t="s">
        <v>276</v>
      </c>
      <c r="M36" s="11" t="s">
        <v>355</v>
      </c>
      <c r="N36" s="3" t="s">
        <v>81</v>
      </c>
      <c r="O36" s="11">
        <v>539528</v>
      </c>
      <c r="P36" s="11">
        <v>139222</v>
      </c>
      <c r="Q36" s="128">
        <v>21023</v>
      </c>
      <c r="R36" s="128" t="s">
        <v>287</v>
      </c>
      <c r="S36" s="400" t="s">
        <v>817</v>
      </c>
      <c r="T36" s="38">
        <v>11570</v>
      </c>
      <c r="U36" s="39">
        <v>11630</v>
      </c>
      <c r="V36" s="39">
        <v>11770</v>
      </c>
      <c r="W36" s="39">
        <v>11975</v>
      </c>
      <c r="X36" s="39">
        <v>12235</v>
      </c>
      <c r="Y36" s="39">
        <v>12420</v>
      </c>
      <c r="Z36" s="39">
        <v>12625</v>
      </c>
      <c r="AA36" s="39">
        <v>12605</v>
      </c>
      <c r="AB36" s="39">
        <v>12705</v>
      </c>
      <c r="AC36" s="44">
        <v>12786</v>
      </c>
      <c r="AD36" s="38">
        <v>720</v>
      </c>
      <c r="AE36" s="39">
        <v>710</v>
      </c>
      <c r="AF36" s="39">
        <v>705</v>
      </c>
      <c r="AG36" s="39">
        <v>740</v>
      </c>
      <c r="AH36" s="39">
        <v>730</v>
      </c>
      <c r="AI36" s="39">
        <v>790</v>
      </c>
      <c r="AJ36" s="39">
        <v>795</v>
      </c>
      <c r="AK36" s="39">
        <v>865</v>
      </c>
      <c r="AL36" s="39">
        <v>845</v>
      </c>
      <c r="AM36" s="44">
        <v>851</v>
      </c>
      <c r="AN36" s="15">
        <v>799</v>
      </c>
      <c r="AO36" s="3">
        <v>681</v>
      </c>
      <c r="AP36" s="3">
        <v>32</v>
      </c>
      <c r="AQ36" s="3">
        <v>48</v>
      </c>
      <c r="AR36" s="3">
        <v>32</v>
      </c>
      <c r="AS36" s="3">
        <v>4</v>
      </c>
      <c r="AT36" s="3">
        <v>2</v>
      </c>
      <c r="AU36" s="11">
        <v>118</v>
      </c>
      <c r="AV36" s="18">
        <v>0.85231539424280356</v>
      </c>
      <c r="AW36" s="19">
        <v>4.005006257822278E-2</v>
      </c>
      <c r="AX36" s="19">
        <v>6.0075093867334166E-2</v>
      </c>
      <c r="AY36" s="19">
        <v>4.005006257822278E-2</v>
      </c>
      <c r="AZ36" s="19">
        <v>5.0062578222778474E-3</v>
      </c>
      <c r="BA36" s="19">
        <v>2.5031289111389237E-3</v>
      </c>
      <c r="BB36" s="20">
        <v>0.14768460575719644</v>
      </c>
      <c r="BC36" s="15">
        <v>1928</v>
      </c>
      <c r="BD36" s="3">
        <v>1895</v>
      </c>
      <c r="BE36" s="3">
        <v>33</v>
      </c>
      <c r="BF36" s="3">
        <v>30</v>
      </c>
      <c r="BG36" s="3">
        <v>3</v>
      </c>
      <c r="BH36" s="19">
        <v>0.90909090909090906</v>
      </c>
      <c r="BI36" s="20">
        <v>9.0909090909090912E-2</v>
      </c>
      <c r="BJ36" s="15">
        <v>1527</v>
      </c>
      <c r="BK36" s="19">
        <v>0.65094957432874923</v>
      </c>
      <c r="BL36" s="19">
        <v>0.18925998690242304</v>
      </c>
      <c r="BM36" s="20">
        <v>0.15979043876882776</v>
      </c>
      <c r="BN36" s="38">
        <v>3648</v>
      </c>
      <c r="BO36" s="39">
        <v>249</v>
      </c>
      <c r="BP36" s="39">
        <v>267</v>
      </c>
      <c r="BQ36" s="39">
        <v>115</v>
      </c>
      <c r="BR36" s="39">
        <v>2772</v>
      </c>
      <c r="BS36" s="39">
        <v>1596</v>
      </c>
      <c r="BT36" s="20">
        <v>0.12343358395989974</v>
      </c>
      <c r="BU36" s="38">
        <v>976</v>
      </c>
      <c r="BV36" s="39">
        <v>1</v>
      </c>
      <c r="BW36" s="39">
        <v>214</v>
      </c>
      <c r="BX36" s="39">
        <v>317</v>
      </c>
      <c r="BY36" s="39">
        <v>95</v>
      </c>
      <c r="BZ36" s="40">
        <v>1603</v>
      </c>
      <c r="CA36" s="39">
        <v>634</v>
      </c>
      <c r="CB36" s="39">
        <v>545</v>
      </c>
      <c r="CC36" s="39">
        <v>89</v>
      </c>
      <c r="CD36" s="39">
        <v>89</v>
      </c>
      <c r="CE36" s="19">
        <v>0.14037854889589904</v>
      </c>
      <c r="CF36" s="104">
        <v>0.14037854889589904</v>
      </c>
      <c r="CG36" s="39">
        <v>80</v>
      </c>
      <c r="CH36" s="39">
        <v>65</v>
      </c>
      <c r="CI36" s="39">
        <v>55</v>
      </c>
      <c r="CJ36" s="39">
        <v>55</v>
      </c>
      <c r="CK36" s="44">
        <v>45</v>
      </c>
      <c r="CL36" s="38">
        <v>316</v>
      </c>
      <c r="CM36" s="39">
        <v>85</v>
      </c>
      <c r="CN36" s="19">
        <v>0.26898734177215189</v>
      </c>
      <c r="CO36" s="40">
        <v>26</v>
      </c>
      <c r="CP36" s="39">
        <v>137</v>
      </c>
      <c r="CQ36" s="39">
        <v>147</v>
      </c>
      <c r="CR36" s="39">
        <v>157</v>
      </c>
      <c r="CS36" s="39">
        <v>170</v>
      </c>
      <c r="CT36" s="39">
        <v>131</v>
      </c>
      <c r="CU36" s="124" t="s">
        <v>474</v>
      </c>
      <c r="CV36" s="39">
        <v>6</v>
      </c>
      <c r="CW36" s="39">
        <v>7</v>
      </c>
      <c r="CX36" s="39">
        <v>6</v>
      </c>
      <c r="CY36" s="39">
        <v>5</v>
      </c>
      <c r="CZ36" s="39">
        <v>2</v>
      </c>
      <c r="DA36" s="120" t="s">
        <v>474</v>
      </c>
      <c r="DB36" s="15">
        <v>6</v>
      </c>
      <c r="DC36" s="15">
        <v>9</v>
      </c>
      <c r="DD36" s="19">
        <v>6.8702290076335881E-2</v>
      </c>
      <c r="DE36" s="19">
        <v>3.6562545650761696E-2</v>
      </c>
      <c r="DF36" s="20">
        <v>0.12541626273440917</v>
      </c>
      <c r="DG36" s="15">
        <v>15</v>
      </c>
      <c r="DH36" s="20">
        <v>1.8773466833541929E-2</v>
      </c>
      <c r="DI36" s="423">
        <v>8</v>
      </c>
      <c r="DJ36" s="428">
        <v>9</v>
      </c>
      <c r="DK36" s="3">
        <v>165</v>
      </c>
      <c r="DL36" s="20">
        <v>3.1488549618320608E-2</v>
      </c>
      <c r="DM36" s="15">
        <v>90</v>
      </c>
      <c r="DN36" s="3">
        <v>110</v>
      </c>
      <c r="DO36" s="3">
        <v>95</v>
      </c>
      <c r="DP36" s="3">
        <v>75</v>
      </c>
      <c r="DQ36" s="11">
        <v>85</v>
      </c>
      <c r="DR36" s="15">
        <v>70</v>
      </c>
      <c r="DS36" s="19">
        <v>0.10526315789473684</v>
      </c>
      <c r="DT36" s="19">
        <v>8.4162072650977582E-2</v>
      </c>
      <c r="DU36" s="19">
        <v>0.13089854735651474</v>
      </c>
      <c r="DV36" s="3">
        <v>85</v>
      </c>
      <c r="DW36" s="19">
        <v>0.125</v>
      </c>
      <c r="DX36" s="19">
        <v>0.10222988886419331</v>
      </c>
      <c r="DY36" s="19">
        <v>0.15198321357111258</v>
      </c>
      <c r="DZ36" s="3">
        <v>105</v>
      </c>
      <c r="EA36" s="19">
        <v>0.14000000000000001</v>
      </c>
      <c r="EB36" s="19">
        <v>0.11699693009430727</v>
      </c>
      <c r="EC36" s="19">
        <v>0.16667207791598002</v>
      </c>
      <c r="ED36" s="3">
        <v>100</v>
      </c>
      <c r="EE36" s="19">
        <v>0.13245033112582782</v>
      </c>
      <c r="EF36" s="19">
        <v>0.11012102580446763</v>
      </c>
      <c r="EG36" s="19">
        <v>0.15850090628854366</v>
      </c>
      <c r="EH36" s="3">
        <v>95</v>
      </c>
      <c r="EI36" s="20">
        <v>0.1130952380952381</v>
      </c>
      <c r="EJ36" s="20">
        <v>9.3415386153877691E-2</v>
      </c>
      <c r="EK36" s="20">
        <v>0.13629773921400382</v>
      </c>
      <c r="EL36" s="438">
        <v>70</v>
      </c>
      <c r="EM36" s="20">
        <v>9.7222222222222224E-2</v>
      </c>
      <c r="EN36" s="20">
        <v>7.7671794742528957E-2</v>
      </c>
      <c r="EO36" s="104">
        <v>0.12104776886888019</v>
      </c>
      <c r="EP36" s="38">
        <v>205</v>
      </c>
      <c r="EQ36" s="20">
        <v>9.1111111111111115E-2</v>
      </c>
      <c r="ER36" s="44">
        <v>250</v>
      </c>
      <c r="ES36" s="20">
        <v>0.1111111111111111</v>
      </c>
      <c r="ET36" s="44">
        <v>270</v>
      </c>
      <c r="EU36" s="20">
        <v>0.11739130434782609</v>
      </c>
      <c r="EV36" s="44">
        <v>250</v>
      </c>
      <c r="EW36" s="20">
        <v>0.10799136069114471</v>
      </c>
      <c r="EX36" s="44">
        <v>230</v>
      </c>
      <c r="EY36" s="20">
        <v>9.5634095634095639E-2</v>
      </c>
      <c r="EZ36" s="44">
        <v>205</v>
      </c>
      <c r="FA36" s="104">
        <v>8.7420042643923238E-2</v>
      </c>
      <c r="FB36" s="3">
        <v>152</v>
      </c>
      <c r="FC36" s="3">
        <v>6</v>
      </c>
      <c r="FD36" s="3">
        <v>146</v>
      </c>
      <c r="FE36" s="19">
        <v>0.96052631578947367</v>
      </c>
      <c r="FF36" s="3">
        <v>63</v>
      </c>
      <c r="FG36" s="3">
        <v>80</v>
      </c>
      <c r="FH36" s="19">
        <v>0.4315068493150685</v>
      </c>
      <c r="FI36" s="19">
        <v>0.54794520547945202</v>
      </c>
      <c r="FJ36" s="19">
        <v>0.35393919302495835</v>
      </c>
      <c r="FK36" s="19">
        <v>0.51258652479973121</v>
      </c>
      <c r="FL36" s="19">
        <v>0.46701649179589177</v>
      </c>
      <c r="FM36" s="104">
        <v>0.62641550572682558</v>
      </c>
      <c r="FN36" s="438">
        <v>142</v>
      </c>
      <c r="FO36" s="438">
        <v>62</v>
      </c>
      <c r="FP36" s="438">
        <v>22</v>
      </c>
      <c r="FQ36" s="438">
        <v>84</v>
      </c>
      <c r="FR36" s="497">
        <v>0.43661971830985913</v>
      </c>
      <c r="FS36" s="497">
        <v>0.59154929577464788</v>
      </c>
      <c r="FT36" s="497">
        <v>0.35777847716774974</v>
      </c>
      <c r="FU36" s="497">
        <v>0.51879982816770209</v>
      </c>
      <c r="FV36" s="497">
        <v>0.50932533827736404</v>
      </c>
      <c r="FW36" s="104">
        <v>0.66895044290476124</v>
      </c>
      <c r="FX36" s="438">
        <v>146</v>
      </c>
      <c r="FY36" s="438">
        <v>0</v>
      </c>
      <c r="FZ36" s="438">
        <v>146</v>
      </c>
      <c r="GA36" s="497">
        <v>1</v>
      </c>
      <c r="GB36" s="438">
        <v>62</v>
      </c>
      <c r="GC36" s="438">
        <v>28</v>
      </c>
      <c r="GD36" s="438">
        <v>90</v>
      </c>
      <c r="GE36" s="497">
        <v>0.42465753424657532</v>
      </c>
      <c r="GF36" s="497">
        <v>0.61643835616438358</v>
      </c>
      <c r="GG36" s="497">
        <v>0.34742210473143159</v>
      </c>
      <c r="GH36" s="497">
        <v>0.50575604654160145</v>
      </c>
      <c r="GI36" s="497">
        <v>0.53553960759423647</v>
      </c>
      <c r="GJ36" s="104">
        <v>0.6913668858928943</v>
      </c>
      <c r="GK36" s="3">
        <v>87</v>
      </c>
      <c r="GL36" s="3">
        <v>7</v>
      </c>
      <c r="GM36" s="19">
        <v>8.0459770114942528E-2</v>
      </c>
      <c r="GN36" s="19">
        <v>3.9520271089868816E-2</v>
      </c>
      <c r="GO36" s="19">
        <v>0.15688188990922067</v>
      </c>
      <c r="GP36" s="353" t="s">
        <v>725</v>
      </c>
      <c r="GQ36" s="3">
        <v>119</v>
      </c>
      <c r="GR36" s="3">
        <v>10</v>
      </c>
      <c r="GS36" s="19">
        <v>8.4033613445378158E-2</v>
      </c>
      <c r="GT36" s="19">
        <v>4.6284809194831765E-2</v>
      </c>
      <c r="GU36" s="19">
        <v>0.14779835335938682</v>
      </c>
      <c r="GV36" s="3" t="s">
        <v>725</v>
      </c>
      <c r="GW36" s="3">
        <v>104</v>
      </c>
      <c r="GX36" s="3">
        <v>5</v>
      </c>
      <c r="GY36" s="19">
        <v>4.807692307692308E-2</v>
      </c>
      <c r="GZ36" s="19">
        <v>2.070804232585223E-2</v>
      </c>
      <c r="HA36" s="19">
        <v>0.10764202797232544</v>
      </c>
      <c r="HB36" s="3" t="s">
        <v>725</v>
      </c>
      <c r="HC36" s="3">
        <v>145</v>
      </c>
      <c r="HD36" s="3">
        <v>13</v>
      </c>
      <c r="HE36" s="19">
        <v>8.9655172413793102E-2</v>
      </c>
      <c r="HF36" s="19">
        <v>5.3143530294794135E-2</v>
      </c>
      <c r="HG36" s="19">
        <v>0.14734804683119626</v>
      </c>
      <c r="HH36" s="3" t="s">
        <v>725</v>
      </c>
      <c r="HI36" s="3">
        <v>99</v>
      </c>
      <c r="HJ36" s="3">
        <v>5</v>
      </c>
      <c r="HK36" s="19">
        <v>5.0505050505050504E-2</v>
      </c>
      <c r="HL36" s="19">
        <v>2.1763234491416872E-2</v>
      </c>
      <c r="HM36" s="19">
        <v>0.11282702686248855</v>
      </c>
      <c r="HN36" s="11" t="s">
        <v>725</v>
      </c>
      <c r="HO36" s="11">
        <v>101</v>
      </c>
      <c r="HP36" s="11">
        <v>5</v>
      </c>
      <c r="HQ36" s="497">
        <v>4.9504950495049507E-2</v>
      </c>
      <c r="HR36" s="497">
        <v>2.1328509888006445E-2</v>
      </c>
      <c r="HS36" s="497">
        <v>0.11069425072968564</v>
      </c>
      <c r="HT36" s="8" t="str">
        <f t="shared" si="0"/>
        <v>No Sig diff</v>
      </c>
      <c r="HU36" s="3">
        <v>105</v>
      </c>
      <c r="HV36" s="3">
        <v>12</v>
      </c>
      <c r="HW36" s="19">
        <v>0.11428571428571428</v>
      </c>
      <c r="HX36" s="19">
        <v>6.6597020035790502E-2</v>
      </c>
      <c r="HY36" s="19">
        <v>0.1892012678809514</v>
      </c>
      <c r="HZ36" s="3" t="s">
        <v>725</v>
      </c>
      <c r="IA36" s="3">
        <v>116</v>
      </c>
      <c r="IB36" s="3">
        <v>10</v>
      </c>
      <c r="IC36" s="19">
        <v>8.6206896551724144E-2</v>
      </c>
      <c r="ID36" s="19">
        <v>4.7499354799614958E-2</v>
      </c>
      <c r="IE36" s="19">
        <v>0.15144230575181017</v>
      </c>
      <c r="IF36" s="3" t="s">
        <v>726</v>
      </c>
      <c r="IG36" s="3">
        <v>105</v>
      </c>
      <c r="IH36" s="3">
        <v>18</v>
      </c>
      <c r="II36" s="19">
        <v>0.17142857142857143</v>
      </c>
      <c r="IJ36" s="19">
        <v>0.11127785378367308</v>
      </c>
      <c r="IK36" s="19">
        <v>0.25477253962688479</v>
      </c>
      <c r="IL36" s="3" t="s">
        <v>725</v>
      </c>
      <c r="IM36" s="3">
        <v>125</v>
      </c>
      <c r="IN36" s="3">
        <v>18</v>
      </c>
      <c r="IO36" s="19">
        <v>0.14399999999999999</v>
      </c>
      <c r="IP36" s="19">
        <v>9.3068950253000618E-2</v>
      </c>
      <c r="IQ36" s="19">
        <v>0.21615961006732778</v>
      </c>
      <c r="IR36" s="3" t="s">
        <v>725</v>
      </c>
      <c r="IS36" s="3">
        <v>115</v>
      </c>
      <c r="IT36" s="3">
        <v>20</v>
      </c>
      <c r="IU36" s="19">
        <v>0.17391304347826086</v>
      </c>
      <c r="IV36" s="19">
        <v>0.11549677517283552</v>
      </c>
      <c r="IW36" s="19">
        <v>0.25341033229410775</v>
      </c>
      <c r="IX36" s="580" t="s">
        <v>725</v>
      </c>
      <c r="IY36" s="580">
        <v>120</v>
      </c>
      <c r="IZ36" s="580">
        <v>16</v>
      </c>
      <c r="JA36" s="497">
        <v>0.13333333333333333</v>
      </c>
      <c r="JB36" s="497">
        <v>8.3766089626873083E-2</v>
      </c>
      <c r="JC36" s="497">
        <v>0.20564796574684277</v>
      </c>
      <c r="JD36" s="371" t="str">
        <f t="shared" si="1"/>
        <v>Sig better than Eng.</v>
      </c>
      <c r="JE36" s="3">
        <v>159</v>
      </c>
      <c r="JF36" s="3">
        <v>102</v>
      </c>
      <c r="JG36" s="19">
        <v>0.64150943396226412</v>
      </c>
      <c r="JH36" s="19">
        <v>0.56443995549802972</v>
      </c>
      <c r="JI36" s="19">
        <v>0.71190244726532192</v>
      </c>
      <c r="JJ36" s="3">
        <v>159</v>
      </c>
      <c r="JK36" s="3">
        <v>34</v>
      </c>
      <c r="JL36" s="3">
        <v>31</v>
      </c>
      <c r="JM36" s="383">
        <v>26.903225806451605</v>
      </c>
      <c r="JN36" s="19">
        <v>0.20872865275142338</v>
      </c>
      <c r="JO36" s="3">
        <v>141</v>
      </c>
      <c r="JP36" s="3">
        <v>83</v>
      </c>
      <c r="JQ36" s="19">
        <v>0.58865248226950351</v>
      </c>
      <c r="JR36" s="19">
        <v>0.50612931176565457</v>
      </c>
      <c r="JS36" s="19">
        <v>0.66647320275989053</v>
      </c>
      <c r="JT36" s="3">
        <v>141</v>
      </c>
      <c r="JU36" s="3">
        <v>34</v>
      </c>
      <c r="JV36" s="3">
        <v>28</v>
      </c>
      <c r="JW36" s="383">
        <v>25.785714285714285</v>
      </c>
      <c r="JX36" s="20">
        <v>0.24159663865546221</v>
      </c>
      <c r="JY36" s="44">
        <v>149</v>
      </c>
      <c r="JZ36" s="44">
        <v>101</v>
      </c>
      <c r="KA36" s="20">
        <v>0.67785234899328861</v>
      </c>
      <c r="KB36" s="20">
        <v>0.59916386158433199</v>
      </c>
      <c r="KC36" s="20">
        <v>0.74760069044848332</v>
      </c>
      <c r="KD36" s="438">
        <v>34</v>
      </c>
      <c r="KE36" s="438">
        <v>29</v>
      </c>
      <c r="KF36" s="384">
        <v>25.4</v>
      </c>
      <c r="KG36" s="104">
        <v>0.252</v>
      </c>
      <c r="KH36" s="19">
        <v>0.87410399124684857</v>
      </c>
      <c r="KI36" s="19">
        <v>0.1258960087531516</v>
      </c>
      <c r="KJ36" s="19">
        <v>8.167987995453567E-2</v>
      </c>
      <c r="KK36" s="19">
        <v>0.20088987633992925</v>
      </c>
      <c r="KL36" s="19">
        <v>0.91388421102706829</v>
      </c>
      <c r="KM36" s="19">
        <v>8.6115788972931817E-2</v>
      </c>
      <c r="KN36" s="19">
        <v>3.8969900613698788E-2</v>
      </c>
      <c r="KO36" s="19">
        <v>0.13322597203376074</v>
      </c>
      <c r="KP36" s="19">
        <v>0.86807430664573537</v>
      </c>
      <c r="KQ36" s="19">
        <v>0.13192569335426479</v>
      </c>
      <c r="KR36" s="19">
        <v>8.2363400835368833E-2</v>
      </c>
      <c r="KS36" s="19">
        <v>0.20245179541134131</v>
      </c>
      <c r="KT36" s="19">
        <v>0.76172969887255593</v>
      </c>
      <c r="KU36" s="19">
        <v>0.23827030112744399</v>
      </c>
      <c r="KV36" s="19">
        <v>0.17652266116613055</v>
      </c>
      <c r="KW36" s="104">
        <v>0.32679486242234518</v>
      </c>
      <c r="KX36" s="438">
        <v>6</v>
      </c>
      <c r="KY36" s="438">
        <v>92</v>
      </c>
      <c r="KZ36" s="497">
        <v>6.5217391304347824E-2</v>
      </c>
      <c r="LA36" s="497">
        <v>3.0230203323134093E-2</v>
      </c>
      <c r="LB36" s="497">
        <v>0.13505796127305869</v>
      </c>
      <c r="LC36" s="438">
        <v>4</v>
      </c>
      <c r="LD36" s="438">
        <v>92</v>
      </c>
      <c r="LE36" s="497">
        <v>4.3478260869565216E-2</v>
      </c>
      <c r="LF36" s="497">
        <v>1.7035716273013698E-2</v>
      </c>
      <c r="LG36" s="497">
        <v>0.10651685655298872</v>
      </c>
      <c r="LH36" s="438">
        <v>6</v>
      </c>
      <c r="LI36" s="438">
        <v>92</v>
      </c>
      <c r="LJ36" s="497">
        <v>6.5217391304347824E-2</v>
      </c>
      <c r="LK36" s="497">
        <v>3.0230203323134093E-2</v>
      </c>
      <c r="LL36" s="497">
        <v>0.13505796127305869</v>
      </c>
      <c r="LM36" s="438">
        <v>12</v>
      </c>
      <c r="LN36" s="438">
        <v>91</v>
      </c>
      <c r="LO36" s="497">
        <v>0.13186813186813187</v>
      </c>
      <c r="LP36" s="497">
        <v>7.7071075145384665E-2</v>
      </c>
      <c r="LQ36" s="104">
        <v>0.21648681785719742</v>
      </c>
      <c r="LR36" s="3">
        <v>40</v>
      </c>
      <c r="LS36" s="3">
        <v>39</v>
      </c>
      <c r="LT36" s="3">
        <v>39</v>
      </c>
      <c r="LU36" s="3">
        <v>39</v>
      </c>
      <c r="LV36" s="3">
        <v>39</v>
      </c>
      <c r="LW36" s="3">
        <v>34</v>
      </c>
      <c r="LX36" s="3">
        <v>31</v>
      </c>
      <c r="LY36" s="3">
        <v>32</v>
      </c>
      <c r="LZ36" s="3">
        <v>31</v>
      </c>
      <c r="MA36" s="3">
        <v>32</v>
      </c>
      <c r="MB36" s="3">
        <v>32</v>
      </c>
      <c r="MC36" s="3">
        <v>31</v>
      </c>
      <c r="MD36" s="3">
        <v>32</v>
      </c>
      <c r="ME36" s="3">
        <v>41</v>
      </c>
      <c r="MF36" s="3">
        <v>33</v>
      </c>
      <c r="MG36" s="3">
        <v>36</v>
      </c>
      <c r="MH36" s="3">
        <v>34</v>
      </c>
      <c r="MI36" s="3">
        <v>36</v>
      </c>
      <c r="MJ36" s="3">
        <v>37</v>
      </c>
      <c r="MK36" s="3">
        <v>35</v>
      </c>
      <c r="ML36" s="3">
        <v>34</v>
      </c>
      <c r="MM36" s="3">
        <v>34</v>
      </c>
      <c r="MN36" s="8">
        <v>37</v>
      </c>
      <c r="MO36" s="3">
        <v>153</v>
      </c>
      <c r="MP36" s="24">
        <v>0.96699999999999997</v>
      </c>
      <c r="MQ36" s="24">
        <v>2.5999999999999999E-2</v>
      </c>
      <c r="MR36" s="24">
        <v>0.96699999999999997</v>
      </c>
      <c r="MS36" s="3">
        <v>148</v>
      </c>
      <c r="MT36" s="3">
        <v>4</v>
      </c>
      <c r="MU36" s="3">
        <v>148</v>
      </c>
      <c r="MV36" s="3">
        <v>159</v>
      </c>
      <c r="MW36" s="24">
        <v>0.91800000000000004</v>
      </c>
      <c r="MX36" s="24">
        <v>0.89300000000000002</v>
      </c>
      <c r="MY36" s="24">
        <v>0.91800000000000004</v>
      </c>
      <c r="MZ36" s="24">
        <v>0.89900000000000002</v>
      </c>
      <c r="NA36" s="24">
        <v>0.88700000000000001</v>
      </c>
      <c r="NB36" s="3">
        <v>146</v>
      </c>
      <c r="NC36" s="3">
        <v>142</v>
      </c>
      <c r="ND36" s="3">
        <v>146</v>
      </c>
      <c r="NE36" s="3">
        <v>143</v>
      </c>
      <c r="NF36" s="3">
        <v>141</v>
      </c>
      <c r="NG36" s="3">
        <v>166</v>
      </c>
      <c r="NH36" s="24">
        <v>0.91</v>
      </c>
      <c r="NI36" s="24">
        <v>0.91</v>
      </c>
      <c r="NJ36" s="24">
        <v>0.91</v>
      </c>
      <c r="NK36" s="24">
        <v>0.91</v>
      </c>
      <c r="NL36" s="24">
        <v>0.91600000000000004</v>
      </c>
      <c r="NM36" s="24">
        <v>0.88600000000000001</v>
      </c>
      <c r="NN36" s="24">
        <v>0.89200000000000002</v>
      </c>
      <c r="NO36" s="24">
        <v>0.91</v>
      </c>
      <c r="NP36" s="24">
        <v>0.91600000000000004</v>
      </c>
      <c r="NQ36" s="24">
        <v>0.86099999999999999</v>
      </c>
      <c r="NR36" s="3">
        <v>151</v>
      </c>
      <c r="NS36" s="3">
        <v>151</v>
      </c>
      <c r="NT36" s="3">
        <v>151</v>
      </c>
      <c r="NU36" s="3">
        <v>151</v>
      </c>
      <c r="NV36" s="3">
        <v>152</v>
      </c>
      <c r="NW36" s="3">
        <v>147</v>
      </c>
      <c r="NX36" s="3">
        <v>148</v>
      </c>
      <c r="NY36" s="3">
        <v>151</v>
      </c>
      <c r="NZ36" s="3">
        <v>152</v>
      </c>
      <c r="OA36" s="8">
        <v>143</v>
      </c>
    </row>
    <row r="37" spans="1:391" s="3" customFormat="1" ht="12.75" x14ac:dyDescent="0.2">
      <c r="A37" s="11" t="s">
        <v>63</v>
      </c>
      <c r="B37" s="8">
        <v>32</v>
      </c>
      <c r="C37" s="11" t="s">
        <v>233</v>
      </c>
      <c r="D37" s="11" t="s">
        <v>234</v>
      </c>
      <c r="E37" s="11" t="s">
        <v>287</v>
      </c>
      <c r="F37" s="11" t="s">
        <v>287</v>
      </c>
      <c r="G37" s="11" t="s">
        <v>235</v>
      </c>
      <c r="H37" s="11" t="s">
        <v>81</v>
      </c>
      <c r="I37" s="11" t="s">
        <v>81</v>
      </c>
      <c r="J37" s="11" t="s">
        <v>271</v>
      </c>
      <c r="K37" s="11" t="s">
        <v>388</v>
      </c>
      <c r="L37" s="11" t="s">
        <v>276</v>
      </c>
      <c r="M37" s="11" t="s">
        <v>356</v>
      </c>
      <c r="N37" s="3" t="s">
        <v>81</v>
      </c>
      <c r="O37" s="11">
        <v>539340</v>
      </c>
      <c r="P37" s="11">
        <v>137955</v>
      </c>
      <c r="Q37" s="128" t="s">
        <v>287</v>
      </c>
      <c r="R37" s="128" t="s">
        <v>287</v>
      </c>
      <c r="S37" s="128" t="s">
        <v>287</v>
      </c>
      <c r="T37" s="38">
        <v>13055</v>
      </c>
      <c r="U37" s="39">
        <v>13210</v>
      </c>
      <c r="V37" s="39">
        <v>13500</v>
      </c>
      <c r="W37" s="39">
        <v>13645</v>
      </c>
      <c r="X37" s="39">
        <v>13800</v>
      </c>
      <c r="Y37" s="39">
        <v>13935</v>
      </c>
      <c r="Z37" s="39">
        <v>13995</v>
      </c>
      <c r="AA37" s="39">
        <v>14095</v>
      </c>
      <c r="AB37" s="39">
        <v>14340</v>
      </c>
      <c r="AC37" s="44">
        <v>14345</v>
      </c>
      <c r="AD37" s="38">
        <v>630</v>
      </c>
      <c r="AE37" s="39">
        <v>660</v>
      </c>
      <c r="AF37" s="39">
        <v>705</v>
      </c>
      <c r="AG37" s="39">
        <v>720</v>
      </c>
      <c r="AH37" s="39">
        <v>735</v>
      </c>
      <c r="AI37" s="39">
        <v>760</v>
      </c>
      <c r="AJ37" s="39">
        <v>750</v>
      </c>
      <c r="AK37" s="39">
        <v>760</v>
      </c>
      <c r="AL37" s="39">
        <v>740</v>
      </c>
      <c r="AM37" s="44">
        <v>774</v>
      </c>
      <c r="AN37" s="15">
        <v>749</v>
      </c>
      <c r="AO37" s="3">
        <v>672</v>
      </c>
      <c r="AP37" s="3">
        <v>32</v>
      </c>
      <c r="AQ37" s="3">
        <v>20</v>
      </c>
      <c r="AR37" s="3">
        <v>18</v>
      </c>
      <c r="AS37" s="3">
        <v>6</v>
      </c>
      <c r="AT37" s="3">
        <v>1</v>
      </c>
      <c r="AU37" s="11">
        <v>77</v>
      </c>
      <c r="AV37" s="18">
        <v>0.89719626168224298</v>
      </c>
      <c r="AW37" s="19">
        <v>4.2723631508678236E-2</v>
      </c>
      <c r="AX37" s="19">
        <v>2.67022696929239E-2</v>
      </c>
      <c r="AY37" s="19">
        <v>2.4032042723631509E-2</v>
      </c>
      <c r="AZ37" s="19">
        <v>8.0106809078771702E-3</v>
      </c>
      <c r="BA37" s="19">
        <v>1.3351134846461949E-3</v>
      </c>
      <c r="BB37" s="20">
        <v>0.10280373831775702</v>
      </c>
      <c r="BC37" s="15">
        <v>2038</v>
      </c>
      <c r="BD37" s="3">
        <v>1990</v>
      </c>
      <c r="BE37" s="3">
        <v>48</v>
      </c>
      <c r="BF37" s="3">
        <v>42</v>
      </c>
      <c r="BG37" s="3">
        <v>6</v>
      </c>
      <c r="BH37" s="19">
        <v>0.875</v>
      </c>
      <c r="BI37" s="20">
        <v>0.125</v>
      </c>
      <c r="BJ37" s="15">
        <v>1465</v>
      </c>
      <c r="BK37" s="19">
        <v>0.72832764505119452</v>
      </c>
      <c r="BL37" s="19">
        <v>9.6928327645051188E-2</v>
      </c>
      <c r="BM37" s="20">
        <v>0.17474402730375427</v>
      </c>
      <c r="BN37" s="38">
        <v>4083</v>
      </c>
      <c r="BO37" s="39">
        <v>200</v>
      </c>
      <c r="BP37" s="39">
        <v>262</v>
      </c>
      <c r="BQ37" s="39">
        <v>111</v>
      </c>
      <c r="BR37" s="39">
        <v>2804</v>
      </c>
      <c r="BS37" s="39">
        <v>1580</v>
      </c>
      <c r="BT37" s="20">
        <v>0.14113924050632912</v>
      </c>
      <c r="BU37" s="38">
        <v>1043</v>
      </c>
      <c r="BV37" s="39">
        <v>1</v>
      </c>
      <c r="BW37" s="39">
        <v>170</v>
      </c>
      <c r="BX37" s="39">
        <v>276</v>
      </c>
      <c r="BY37" s="39">
        <v>92</v>
      </c>
      <c r="BZ37" s="40">
        <v>1582</v>
      </c>
      <c r="CA37" s="39">
        <v>574</v>
      </c>
      <c r="CB37" s="39">
        <v>520</v>
      </c>
      <c r="CC37" s="39">
        <v>52</v>
      </c>
      <c r="CD37" s="39">
        <v>54</v>
      </c>
      <c r="CE37" s="19">
        <v>9.0592334494773524E-2</v>
      </c>
      <c r="CF37" s="104">
        <v>9.4076655052264813E-2</v>
      </c>
      <c r="CG37" s="39">
        <v>40</v>
      </c>
      <c r="CH37" s="39">
        <v>60</v>
      </c>
      <c r="CI37" s="39">
        <v>20</v>
      </c>
      <c r="CJ37" s="39">
        <v>35</v>
      </c>
      <c r="CK37" s="44">
        <v>40</v>
      </c>
      <c r="CL37" s="38">
        <v>275</v>
      </c>
      <c r="CM37" s="39">
        <v>50</v>
      </c>
      <c r="CN37" s="19">
        <v>0.18181818181818182</v>
      </c>
      <c r="CO37" s="40">
        <v>20</v>
      </c>
      <c r="CP37" s="39">
        <v>121</v>
      </c>
      <c r="CQ37" s="39">
        <v>138</v>
      </c>
      <c r="CR37" s="39">
        <v>133</v>
      </c>
      <c r="CS37" s="39">
        <v>121</v>
      </c>
      <c r="CT37" s="39">
        <v>135</v>
      </c>
      <c r="CU37" s="124" t="s">
        <v>474</v>
      </c>
      <c r="CV37" s="39">
        <v>2</v>
      </c>
      <c r="CW37" s="39">
        <v>4</v>
      </c>
      <c r="CX37" s="39">
        <v>5</v>
      </c>
      <c r="CY37" s="39">
        <v>1</v>
      </c>
      <c r="CZ37" s="39">
        <v>1</v>
      </c>
      <c r="DA37" s="120" t="s">
        <v>474</v>
      </c>
      <c r="DB37" s="15">
        <v>5</v>
      </c>
      <c r="DC37" s="15">
        <v>9</v>
      </c>
      <c r="DD37" s="19">
        <v>6.6666666666666666E-2</v>
      </c>
      <c r="DE37" s="19">
        <v>3.5466897784925636E-2</v>
      </c>
      <c r="DF37" s="20">
        <v>0.12184532729692925</v>
      </c>
      <c r="DG37" s="15">
        <v>13</v>
      </c>
      <c r="DH37" s="20">
        <v>1.7356475300400534E-2</v>
      </c>
      <c r="DI37" s="423">
        <v>10</v>
      </c>
      <c r="DJ37" s="428">
        <v>10</v>
      </c>
      <c r="DK37" s="3">
        <v>148</v>
      </c>
      <c r="DL37" s="20">
        <v>2.4983119513841998E-2</v>
      </c>
      <c r="DM37" s="15">
        <v>65</v>
      </c>
      <c r="DN37" s="3">
        <v>60</v>
      </c>
      <c r="DO37" s="3">
        <v>50</v>
      </c>
      <c r="DP37" s="3">
        <v>55</v>
      </c>
      <c r="DQ37" s="11">
        <v>55</v>
      </c>
      <c r="DR37" s="15">
        <v>50</v>
      </c>
      <c r="DS37" s="19">
        <v>7.8125E-2</v>
      </c>
      <c r="DT37" s="19">
        <v>5.9760302122918663E-2</v>
      </c>
      <c r="DU37" s="19">
        <v>0.10152390441279828</v>
      </c>
      <c r="DV37" s="3">
        <v>60</v>
      </c>
      <c r="DW37" s="19">
        <v>8.8888888888888892E-2</v>
      </c>
      <c r="DX37" s="19">
        <v>6.9681403930439256E-2</v>
      </c>
      <c r="DY37" s="19">
        <v>0.11274920223176482</v>
      </c>
      <c r="DZ37" s="3">
        <v>40</v>
      </c>
      <c r="EA37" s="19">
        <v>5.7553956834532377E-2</v>
      </c>
      <c r="EB37" s="19">
        <v>4.2548293433772588E-2</v>
      </c>
      <c r="EC37" s="19">
        <v>7.7423780006429285E-2</v>
      </c>
      <c r="ED37" s="3">
        <v>50</v>
      </c>
      <c r="EE37" s="19">
        <v>7.2463768115942032E-2</v>
      </c>
      <c r="EF37" s="19">
        <v>5.5395625700800082E-2</v>
      </c>
      <c r="EG37" s="19">
        <v>9.4266026108232787E-2</v>
      </c>
      <c r="EH37" s="3">
        <v>50</v>
      </c>
      <c r="EI37" s="20">
        <v>7.2463768115942032E-2</v>
      </c>
      <c r="EJ37" s="20">
        <v>5.5395625700800082E-2</v>
      </c>
      <c r="EK37" s="20">
        <v>9.4266026108232787E-2</v>
      </c>
      <c r="EL37" s="438">
        <v>45</v>
      </c>
      <c r="EM37" s="20">
        <v>7.6271186440677971E-2</v>
      </c>
      <c r="EN37" s="20">
        <v>5.7488567708338663E-2</v>
      </c>
      <c r="EO37" s="104">
        <v>0.10053586360545554</v>
      </c>
      <c r="EP37" s="38">
        <v>155</v>
      </c>
      <c r="EQ37" s="20">
        <v>6.9977426636568849E-2</v>
      </c>
      <c r="ER37" s="44">
        <v>170</v>
      </c>
      <c r="ES37" s="20">
        <v>7.5892857142857137E-2</v>
      </c>
      <c r="ET37" s="44">
        <v>155</v>
      </c>
      <c r="EU37" s="20">
        <v>6.8584070796460173E-2</v>
      </c>
      <c r="EV37" s="44">
        <v>160</v>
      </c>
      <c r="EW37" s="20">
        <v>7.2562358276643993E-2</v>
      </c>
      <c r="EX37" s="44">
        <v>135</v>
      </c>
      <c r="EY37" s="20">
        <v>6.0402684563758392E-2</v>
      </c>
      <c r="EZ37" s="44">
        <v>145</v>
      </c>
      <c r="FA37" s="104">
        <v>6.4444444444444443E-2</v>
      </c>
      <c r="FB37" s="3">
        <v>131</v>
      </c>
      <c r="FC37" s="3">
        <v>4</v>
      </c>
      <c r="FD37" s="3">
        <v>127</v>
      </c>
      <c r="FE37" s="19">
        <v>0.96946564885496178</v>
      </c>
      <c r="FF37" s="3">
        <v>65</v>
      </c>
      <c r="FG37" s="3">
        <v>82</v>
      </c>
      <c r="FH37" s="19">
        <v>0.51181102362204722</v>
      </c>
      <c r="FI37" s="19">
        <v>0.64566929133858264</v>
      </c>
      <c r="FJ37" s="19">
        <v>0.42581263792217539</v>
      </c>
      <c r="FK37" s="19">
        <v>0.5971158496536414</v>
      </c>
      <c r="FL37" s="19">
        <v>0.55932258310542216</v>
      </c>
      <c r="FM37" s="104">
        <v>0.72346209699631914</v>
      </c>
      <c r="FN37" s="438">
        <v>129</v>
      </c>
      <c r="FO37" s="438">
        <v>60</v>
      </c>
      <c r="FP37" s="438">
        <v>20</v>
      </c>
      <c r="FQ37" s="438">
        <v>80</v>
      </c>
      <c r="FR37" s="497">
        <v>0.46511627906976744</v>
      </c>
      <c r="FS37" s="497">
        <v>0.62015503875968991</v>
      </c>
      <c r="FT37" s="497">
        <v>0.38130031118129837</v>
      </c>
      <c r="FU37" s="497">
        <v>0.55094975532732104</v>
      </c>
      <c r="FV37" s="497">
        <v>0.53407301161469178</v>
      </c>
      <c r="FW37" s="104">
        <v>0.69928787041117468</v>
      </c>
      <c r="FX37" s="438">
        <v>168</v>
      </c>
      <c r="FY37" s="438">
        <v>10</v>
      </c>
      <c r="FZ37" s="438">
        <v>158</v>
      </c>
      <c r="GA37" s="497">
        <v>0.94047619047619047</v>
      </c>
      <c r="GB37" s="438">
        <v>72</v>
      </c>
      <c r="GC37" s="438">
        <v>19</v>
      </c>
      <c r="GD37" s="438">
        <v>91</v>
      </c>
      <c r="GE37" s="497">
        <v>0.45569620253164556</v>
      </c>
      <c r="GF37" s="497">
        <v>0.57594936708860756</v>
      </c>
      <c r="GG37" s="497">
        <v>0.38001122715896307</v>
      </c>
      <c r="GH37" s="497">
        <v>0.53348436227766727</v>
      </c>
      <c r="GI37" s="497">
        <v>0.49798681781436865</v>
      </c>
      <c r="GJ37" s="104">
        <v>0.65030645743712212</v>
      </c>
      <c r="GK37" s="3">
        <v>93</v>
      </c>
      <c r="GL37" s="3">
        <v>7</v>
      </c>
      <c r="GM37" s="19">
        <v>7.5268817204301078E-2</v>
      </c>
      <c r="GN37" s="19">
        <v>3.6936683981680471E-2</v>
      </c>
      <c r="GO37" s="19">
        <v>0.14729700103258914</v>
      </c>
      <c r="GP37" s="353" t="s">
        <v>725</v>
      </c>
      <c r="GQ37" s="3">
        <v>117</v>
      </c>
      <c r="GR37" s="3">
        <v>6</v>
      </c>
      <c r="GS37" s="19">
        <v>5.128205128205128E-2</v>
      </c>
      <c r="GT37" s="19">
        <v>2.3712378528816573E-2</v>
      </c>
      <c r="GU37" s="19">
        <v>0.10738053424543133</v>
      </c>
      <c r="GV37" s="3" t="s">
        <v>725</v>
      </c>
      <c r="GW37" s="3">
        <v>99</v>
      </c>
      <c r="GX37" s="3">
        <v>4</v>
      </c>
      <c r="GY37" s="19">
        <v>4.0404040404040407E-2</v>
      </c>
      <c r="GZ37" s="19">
        <v>1.5822638994147552E-2</v>
      </c>
      <c r="HA37" s="19">
        <v>9.9320212502542235E-2</v>
      </c>
      <c r="HB37" s="3" t="s">
        <v>725</v>
      </c>
      <c r="HC37" s="3">
        <v>127</v>
      </c>
      <c r="HD37" s="3">
        <v>9</v>
      </c>
      <c r="HE37" s="19">
        <v>7.0866141732283464E-2</v>
      </c>
      <c r="HF37" s="19">
        <v>3.7728059261201326E-2</v>
      </c>
      <c r="HG37" s="19">
        <v>0.12920265992793412</v>
      </c>
      <c r="HH37" s="3" t="s">
        <v>725</v>
      </c>
      <c r="HI37" s="3">
        <v>86</v>
      </c>
      <c r="HJ37" s="3">
        <v>6</v>
      </c>
      <c r="HK37" s="19">
        <v>6.9767441860465115E-2</v>
      </c>
      <c r="HL37" s="19">
        <v>3.2365414509921343E-2</v>
      </c>
      <c r="HM37" s="19">
        <v>0.14396140641036845</v>
      </c>
      <c r="HN37" s="11" t="s">
        <v>725</v>
      </c>
      <c r="HO37" s="11">
        <v>106</v>
      </c>
      <c r="HP37" s="11">
        <v>7</v>
      </c>
      <c r="HQ37" s="497">
        <v>6.6037735849056603E-2</v>
      </c>
      <c r="HR37" s="497">
        <v>3.2354147112036276E-2</v>
      </c>
      <c r="HS37" s="497">
        <v>0.13007503957437352</v>
      </c>
      <c r="HT37" s="8" t="str">
        <f t="shared" si="0"/>
        <v>No Sig diff</v>
      </c>
      <c r="HU37" s="3">
        <v>89</v>
      </c>
      <c r="HV37" s="3">
        <v>18</v>
      </c>
      <c r="HW37" s="19">
        <v>0.20224719101123595</v>
      </c>
      <c r="HX37" s="19">
        <v>0.13193782732624648</v>
      </c>
      <c r="HY37" s="19">
        <v>0.29719651983691514</v>
      </c>
      <c r="HZ37" s="3" t="s">
        <v>725</v>
      </c>
      <c r="IA37" s="3">
        <v>88</v>
      </c>
      <c r="IB37" s="3">
        <v>11</v>
      </c>
      <c r="IC37" s="19">
        <v>0.125</v>
      </c>
      <c r="ID37" s="19">
        <v>7.1252741521922444E-2</v>
      </c>
      <c r="IE37" s="19">
        <v>0.21011755847674671</v>
      </c>
      <c r="IF37" s="3" t="s">
        <v>725</v>
      </c>
      <c r="IG37" s="3">
        <v>114</v>
      </c>
      <c r="IH37" s="3">
        <v>10</v>
      </c>
      <c r="II37" s="19">
        <v>8.771929824561403E-2</v>
      </c>
      <c r="IJ37" s="19">
        <v>4.8345105411009899E-2</v>
      </c>
      <c r="IK37" s="19">
        <v>0.15397298415856123</v>
      </c>
      <c r="IL37" s="3" t="s">
        <v>726</v>
      </c>
      <c r="IM37" s="3">
        <v>99</v>
      </c>
      <c r="IN37" s="3">
        <v>7</v>
      </c>
      <c r="IO37" s="19">
        <v>7.0707070707070704E-2</v>
      </c>
      <c r="IP37" s="19">
        <v>3.4670230283234689E-2</v>
      </c>
      <c r="IQ37" s="19">
        <v>0.13881485078510192</v>
      </c>
      <c r="IR37" s="3" t="s">
        <v>726</v>
      </c>
      <c r="IS37" s="3">
        <v>102</v>
      </c>
      <c r="IT37" s="3">
        <v>7</v>
      </c>
      <c r="IU37" s="19">
        <v>6.8627450980392163E-2</v>
      </c>
      <c r="IV37" s="19">
        <v>3.3638220876867124E-2</v>
      </c>
      <c r="IW37" s="19">
        <v>0.13492955038674814</v>
      </c>
      <c r="IX37" s="580" t="s">
        <v>726</v>
      </c>
      <c r="IY37" s="580">
        <v>114</v>
      </c>
      <c r="IZ37" s="580">
        <v>16</v>
      </c>
      <c r="JA37" s="497">
        <v>0.14035087719298245</v>
      </c>
      <c r="JB37" s="497">
        <v>8.8274065827453604E-2</v>
      </c>
      <c r="JC37" s="497">
        <v>0.21587575698855524</v>
      </c>
      <c r="JD37" s="371" t="str">
        <f t="shared" si="1"/>
        <v>Sig better than Eng.</v>
      </c>
      <c r="JE37" s="3">
        <v>147</v>
      </c>
      <c r="JF37" s="3">
        <v>81</v>
      </c>
      <c r="JG37" s="19">
        <v>0.55102040816326525</v>
      </c>
      <c r="JH37" s="19">
        <v>0.47033523732756821</v>
      </c>
      <c r="JI37" s="19">
        <v>0.62910691947250996</v>
      </c>
      <c r="JJ37" s="3">
        <v>147</v>
      </c>
      <c r="JK37" s="3">
        <v>34</v>
      </c>
      <c r="JL37" s="3">
        <v>29</v>
      </c>
      <c r="JM37" s="383">
        <v>25.344827586206897</v>
      </c>
      <c r="JN37" s="19">
        <v>0.25456389452332656</v>
      </c>
      <c r="JO37" s="3">
        <v>126</v>
      </c>
      <c r="JP37" s="3">
        <v>91</v>
      </c>
      <c r="JQ37" s="19">
        <v>0.72222222222222221</v>
      </c>
      <c r="JR37" s="19">
        <v>0.63832593390940506</v>
      </c>
      <c r="JS37" s="19">
        <v>0.79296928187628457</v>
      </c>
      <c r="JT37" s="3">
        <v>126</v>
      </c>
      <c r="JU37" s="3">
        <v>34</v>
      </c>
      <c r="JV37" s="3">
        <v>25</v>
      </c>
      <c r="JW37" s="383">
        <v>26.839999999999996</v>
      </c>
      <c r="JX37" s="20">
        <v>0.21058823529411774</v>
      </c>
      <c r="JY37" s="44">
        <v>141</v>
      </c>
      <c r="JZ37" s="44">
        <v>99</v>
      </c>
      <c r="KA37" s="20">
        <v>0.7021276595744681</v>
      </c>
      <c r="KB37" s="20">
        <v>0.62209673816041289</v>
      </c>
      <c r="KC37" s="20">
        <v>0.77143699495782991</v>
      </c>
      <c r="KD37" s="438">
        <v>34</v>
      </c>
      <c r="KE37" s="438">
        <v>28</v>
      </c>
      <c r="KF37" s="384">
        <v>25.7</v>
      </c>
      <c r="KG37" s="104">
        <v>0.245</v>
      </c>
      <c r="KH37" s="19">
        <v>0.91865338728083834</v>
      </c>
      <c r="KI37" s="19">
        <v>8.1346612719161743E-2</v>
      </c>
      <c r="KJ37" s="19">
        <v>7.2097514909401916E-2</v>
      </c>
      <c r="KK37" s="19">
        <v>0.22281995332477456</v>
      </c>
      <c r="KL37" s="19">
        <v>0.92518933499325662</v>
      </c>
      <c r="KM37" s="19">
        <v>7.4810665006743438E-2</v>
      </c>
      <c r="KN37" s="19">
        <v>6.2724910645863163E-2</v>
      </c>
      <c r="KO37" s="19">
        <v>0.20745281963161774</v>
      </c>
      <c r="KP37" s="19">
        <v>0.90939412802157904</v>
      </c>
      <c r="KQ37" s="19">
        <v>9.0605871978421001E-2</v>
      </c>
      <c r="KR37" s="19">
        <v>8.1682478239274645E-2</v>
      </c>
      <c r="KS37" s="19">
        <v>0.23797472795159738</v>
      </c>
      <c r="KT37" s="19">
        <v>0.8110488639900405</v>
      </c>
      <c r="KU37" s="19">
        <v>0.18895113600995952</v>
      </c>
      <c r="KV37" s="19">
        <v>0.13214965937388246</v>
      </c>
      <c r="KW37" s="104">
        <v>0.31120623660046737</v>
      </c>
      <c r="KX37" s="438">
        <v>5</v>
      </c>
      <c r="KY37" s="438">
        <v>67</v>
      </c>
      <c r="KZ37" s="497">
        <v>7.4626865671641784E-2</v>
      </c>
      <c r="LA37" s="497">
        <v>3.2296049166322678E-2</v>
      </c>
      <c r="LB37" s="497">
        <v>0.16309036792776985</v>
      </c>
      <c r="LC37" s="438">
        <v>4</v>
      </c>
      <c r="LD37" s="438">
        <v>67</v>
      </c>
      <c r="LE37" s="497">
        <v>5.9701492537313432E-2</v>
      </c>
      <c r="LF37" s="497">
        <v>2.3459351139819038E-2</v>
      </c>
      <c r="LG37" s="497">
        <v>0.14369501041371532</v>
      </c>
      <c r="LH37" s="438">
        <v>6</v>
      </c>
      <c r="LI37" s="438">
        <v>66</v>
      </c>
      <c r="LJ37" s="497">
        <v>9.0909090909090912E-2</v>
      </c>
      <c r="LK37" s="497">
        <v>4.2332975070511356E-2</v>
      </c>
      <c r="LL37" s="497">
        <v>0.18448729884965875</v>
      </c>
      <c r="LM37" s="438">
        <v>10</v>
      </c>
      <c r="LN37" s="438">
        <v>66</v>
      </c>
      <c r="LO37" s="497">
        <v>0.15151515151515152</v>
      </c>
      <c r="LP37" s="497">
        <v>8.4436369826712737E-2</v>
      </c>
      <c r="LQ37" s="104">
        <v>0.25692904869787658</v>
      </c>
      <c r="LR37" s="3">
        <v>38</v>
      </c>
      <c r="LS37" s="3">
        <v>36</v>
      </c>
      <c r="LT37" s="3">
        <v>36</v>
      </c>
      <c r="LU37" s="3">
        <v>36</v>
      </c>
      <c r="LV37" s="3">
        <v>36</v>
      </c>
      <c r="LW37" s="3">
        <v>36</v>
      </c>
      <c r="LX37" s="3">
        <v>34</v>
      </c>
      <c r="LY37" s="3">
        <v>34</v>
      </c>
      <c r="LZ37" s="3">
        <v>34</v>
      </c>
      <c r="MA37" s="3">
        <v>34</v>
      </c>
      <c r="MB37" s="3">
        <v>34</v>
      </c>
      <c r="MC37" s="3">
        <v>34</v>
      </c>
      <c r="MD37" s="3">
        <v>34</v>
      </c>
      <c r="ME37" s="3">
        <v>46</v>
      </c>
      <c r="MF37" s="3">
        <v>42</v>
      </c>
      <c r="MG37" s="3">
        <v>42</v>
      </c>
      <c r="MH37" s="3">
        <v>40</v>
      </c>
      <c r="MI37" s="3">
        <v>40</v>
      </c>
      <c r="MJ37" s="3">
        <v>43</v>
      </c>
      <c r="MK37" s="3">
        <v>40</v>
      </c>
      <c r="ML37" s="3">
        <v>42</v>
      </c>
      <c r="MM37" s="3">
        <v>41</v>
      </c>
      <c r="MN37" s="8">
        <v>42</v>
      </c>
      <c r="MO37" s="3">
        <v>186</v>
      </c>
      <c r="MP37" s="24">
        <v>0.93</v>
      </c>
      <c r="MQ37" s="24">
        <v>1.6E-2</v>
      </c>
      <c r="MR37" s="24">
        <v>0.93500000000000005</v>
      </c>
      <c r="MS37" s="3">
        <v>173</v>
      </c>
      <c r="MT37" s="3">
        <v>3</v>
      </c>
      <c r="MU37" s="3">
        <v>174</v>
      </c>
      <c r="MV37" s="3">
        <v>167</v>
      </c>
      <c r="MW37" s="24">
        <v>0.91600000000000004</v>
      </c>
      <c r="MX37" s="24">
        <v>0.84399999999999997</v>
      </c>
      <c r="MY37" s="24">
        <v>0.91600000000000004</v>
      </c>
      <c r="MZ37" s="24">
        <v>0.85</v>
      </c>
      <c r="NA37" s="24">
        <v>0.85599999999999998</v>
      </c>
      <c r="NB37" s="3">
        <v>153</v>
      </c>
      <c r="NC37" s="3">
        <v>141</v>
      </c>
      <c r="ND37" s="3">
        <v>153</v>
      </c>
      <c r="NE37" s="3">
        <v>142</v>
      </c>
      <c r="NF37" s="3">
        <v>143</v>
      </c>
      <c r="NG37" s="3">
        <v>196</v>
      </c>
      <c r="NH37" s="24">
        <v>0.92300000000000004</v>
      </c>
      <c r="NI37" s="24">
        <v>0.84699999999999998</v>
      </c>
      <c r="NJ37" s="24">
        <v>0.92300000000000004</v>
      </c>
      <c r="NK37" s="24">
        <v>0.92300000000000004</v>
      </c>
      <c r="NL37" s="24">
        <v>0.92300000000000004</v>
      </c>
      <c r="NM37" s="24">
        <v>0.84199999999999997</v>
      </c>
      <c r="NN37" s="24">
        <v>0.90800000000000003</v>
      </c>
      <c r="NO37" s="24">
        <v>0.85199999999999998</v>
      </c>
      <c r="NP37" s="24">
        <v>0.93400000000000005</v>
      </c>
      <c r="NQ37" s="24">
        <v>0.872</v>
      </c>
      <c r="NR37" s="3">
        <v>181</v>
      </c>
      <c r="NS37" s="3">
        <v>166</v>
      </c>
      <c r="NT37" s="3">
        <v>181</v>
      </c>
      <c r="NU37" s="3">
        <v>181</v>
      </c>
      <c r="NV37" s="3">
        <v>181</v>
      </c>
      <c r="NW37" s="3">
        <v>165</v>
      </c>
      <c r="NX37" s="3">
        <v>178</v>
      </c>
      <c r="NY37" s="3">
        <v>167</v>
      </c>
      <c r="NZ37" s="3">
        <v>183</v>
      </c>
      <c r="OA37" s="8">
        <v>171</v>
      </c>
    </row>
    <row r="38" spans="1:391" s="3" customFormat="1" ht="12.75" x14ac:dyDescent="0.2">
      <c r="A38" s="11" t="s">
        <v>278</v>
      </c>
      <c r="B38" s="8">
        <v>33</v>
      </c>
      <c r="C38" s="11" t="s">
        <v>236</v>
      </c>
      <c r="D38" s="11" t="s">
        <v>237</v>
      </c>
      <c r="E38" s="11" t="s">
        <v>287</v>
      </c>
      <c r="F38" s="11" t="s">
        <v>287</v>
      </c>
      <c r="G38" s="11" t="s">
        <v>238</v>
      </c>
      <c r="H38" s="11" t="s">
        <v>81</v>
      </c>
      <c r="I38" s="11" t="s">
        <v>81</v>
      </c>
      <c r="J38" s="11" t="s">
        <v>271</v>
      </c>
      <c r="K38" s="11" t="s">
        <v>389</v>
      </c>
      <c r="L38" s="11" t="s">
        <v>276</v>
      </c>
      <c r="M38" s="11" t="s">
        <v>357</v>
      </c>
      <c r="N38" s="3" t="s">
        <v>81</v>
      </c>
      <c r="O38" s="11">
        <v>534239</v>
      </c>
      <c r="P38" s="11">
        <v>124484</v>
      </c>
      <c r="Q38" s="128">
        <v>21421</v>
      </c>
      <c r="R38" s="128" t="s">
        <v>287</v>
      </c>
      <c r="S38" s="400" t="s">
        <v>817</v>
      </c>
      <c r="T38" s="38">
        <v>17050</v>
      </c>
      <c r="U38" s="39">
        <v>17235</v>
      </c>
      <c r="V38" s="39">
        <v>17490</v>
      </c>
      <c r="W38" s="39">
        <v>17540</v>
      </c>
      <c r="X38" s="39">
        <v>17695</v>
      </c>
      <c r="Y38" s="39">
        <v>17985</v>
      </c>
      <c r="Z38" s="39">
        <v>18150</v>
      </c>
      <c r="AA38" s="39">
        <v>18425</v>
      </c>
      <c r="AB38" s="39">
        <v>18995</v>
      </c>
      <c r="AC38" s="44">
        <v>19494</v>
      </c>
      <c r="AD38" s="38">
        <v>1100</v>
      </c>
      <c r="AE38" s="39">
        <v>1120</v>
      </c>
      <c r="AF38" s="39">
        <v>1200</v>
      </c>
      <c r="AG38" s="39">
        <v>1220</v>
      </c>
      <c r="AH38" s="39">
        <v>1205</v>
      </c>
      <c r="AI38" s="39">
        <v>1225</v>
      </c>
      <c r="AJ38" s="39">
        <v>1230</v>
      </c>
      <c r="AK38" s="39">
        <v>1245</v>
      </c>
      <c r="AL38" s="39">
        <v>1320</v>
      </c>
      <c r="AM38" s="44">
        <v>1393</v>
      </c>
      <c r="AN38" s="15">
        <v>1219</v>
      </c>
      <c r="AO38" s="3">
        <v>981</v>
      </c>
      <c r="AP38" s="3">
        <v>52</v>
      </c>
      <c r="AQ38" s="3">
        <v>62</v>
      </c>
      <c r="AR38" s="3">
        <v>117</v>
      </c>
      <c r="AS38" s="3">
        <v>7</v>
      </c>
      <c r="AT38" s="3">
        <v>0</v>
      </c>
      <c r="AU38" s="11">
        <v>238</v>
      </c>
      <c r="AV38" s="18">
        <v>0.80475799835931094</v>
      </c>
      <c r="AW38" s="19">
        <v>4.2657916324856437E-2</v>
      </c>
      <c r="AX38" s="19">
        <v>5.0861361771944218E-2</v>
      </c>
      <c r="AY38" s="19">
        <v>9.5980311730926984E-2</v>
      </c>
      <c r="AZ38" s="19">
        <v>5.742411812961444E-3</v>
      </c>
      <c r="BA38" s="19">
        <v>0</v>
      </c>
      <c r="BB38" s="20">
        <v>0.19524200164068906</v>
      </c>
      <c r="BC38" s="15">
        <v>2747</v>
      </c>
      <c r="BD38" s="3">
        <v>2657</v>
      </c>
      <c r="BE38" s="3">
        <v>90</v>
      </c>
      <c r="BF38" s="3">
        <v>75</v>
      </c>
      <c r="BG38" s="3">
        <v>15</v>
      </c>
      <c r="BH38" s="19">
        <v>0.83333333333333337</v>
      </c>
      <c r="BI38" s="20">
        <v>0.16666666666666666</v>
      </c>
      <c r="BJ38" s="15">
        <v>2248</v>
      </c>
      <c r="BK38" s="19">
        <v>0.604982206405694</v>
      </c>
      <c r="BL38" s="19">
        <v>0.20862989323843417</v>
      </c>
      <c r="BM38" s="20">
        <v>0.18638790035587188</v>
      </c>
      <c r="BN38" s="38">
        <v>5124</v>
      </c>
      <c r="BO38" s="39">
        <v>382</v>
      </c>
      <c r="BP38" s="39">
        <v>376</v>
      </c>
      <c r="BQ38" s="39">
        <v>179</v>
      </c>
      <c r="BR38" s="39">
        <v>3909</v>
      </c>
      <c r="BS38" s="39">
        <v>2212</v>
      </c>
      <c r="BT38" s="20">
        <v>0.14647377938517178</v>
      </c>
      <c r="BU38" s="38">
        <v>1431</v>
      </c>
      <c r="BV38" s="39">
        <v>0</v>
      </c>
      <c r="BW38" s="39">
        <v>274</v>
      </c>
      <c r="BX38" s="39">
        <v>384</v>
      </c>
      <c r="BY38" s="39">
        <v>137</v>
      </c>
      <c r="BZ38" s="40">
        <v>2226</v>
      </c>
      <c r="CA38" s="39">
        <v>940</v>
      </c>
      <c r="CB38" s="39">
        <v>841</v>
      </c>
      <c r="CC38" s="39">
        <v>99</v>
      </c>
      <c r="CD38" s="39">
        <v>99</v>
      </c>
      <c r="CE38" s="19">
        <v>0.10531914893617021</v>
      </c>
      <c r="CF38" s="104">
        <v>0.10531914893617021</v>
      </c>
      <c r="CG38" s="39">
        <v>100</v>
      </c>
      <c r="CH38" s="39">
        <v>95</v>
      </c>
      <c r="CI38" s="39">
        <v>95</v>
      </c>
      <c r="CJ38" s="39">
        <v>90</v>
      </c>
      <c r="CK38" s="44">
        <v>80</v>
      </c>
      <c r="CL38" s="38">
        <v>384</v>
      </c>
      <c r="CM38" s="39">
        <v>122</v>
      </c>
      <c r="CN38" s="19">
        <v>0.31770833333333331</v>
      </c>
      <c r="CO38" s="40">
        <v>26</v>
      </c>
      <c r="CP38" s="39">
        <v>241</v>
      </c>
      <c r="CQ38" s="39">
        <v>243</v>
      </c>
      <c r="CR38" s="39">
        <v>259</v>
      </c>
      <c r="CS38" s="39">
        <v>236</v>
      </c>
      <c r="CT38" s="39">
        <v>254</v>
      </c>
      <c r="CU38" s="124" t="s">
        <v>474</v>
      </c>
      <c r="CV38" s="39">
        <v>11</v>
      </c>
      <c r="CW38" s="39">
        <v>9</v>
      </c>
      <c r="CX38" s="39">
        <v>6</v>
      </c>
      <c r="CY38" s="39">
        <v>9</v>
      </c>
      <c r="CZ38" s="39">
        <v>11</v>
      </c>
      <c r="DA38" s="120" t="s">
        <v>474</v>
      </c>
      <c r="DB38" s="15">
        <v>21</v>
      </c>
      <c r="DC38" s="15">
        <v>13</v>
      </c>
      <c r="DD38" s="19">
        <v>5.1181102362204724E-2</v>
      </c>
      <c r="DE38" s="19">
        <v>3.0151261764165438E-2</v>
      </c>
      <c r="DF38" s="20">
        <v>8.5584426969453661E-2</v>
      </c>
      <c r="DG38" s="15">
        <v>26</v>
      </c>
      <c r="DH38" s="20">
        <v>2.1346469622331693E-2</v>
      </c>
      <c r="DI38" s="423">
        <v>7</v>
      </c>
      <c r="DJ38" s="428">
        <v>7</v>
      </c>
      <c r="DK38" s="3">
        <v>248</v>
      </c>
      <c r="DL38" s="20">
        <v>3.1746031746031744E-2</v>
      </c>
      <c r="DM38" s="15">
        <v>165</v>
      </c>
      <c r="DN38" s="3">
        <v>130</v>
      </c>
      <c r="DO38" s="3">
        <v>155</v>
      </c>
      <c r="DP38" s="3">
        <v>145</v>
      </c>
      <c r="DQ38" s="11">
        <v>140</v>
      </c>
      <c r="DR38" s="15">
        <v>150</v>
      </c>
      <c r="DS38" s="19">
        <v>0.13574660633484162</v>
      </c>
      <c r="DT38" s="19">
        <v>0.11680870105054958</v>
      </c>
      <c r="DU38" s="19">
        <v>0.15720834295846869</v>
      </c>
      <c r="DV38" s="3">
        <v>165</v>
      </c>
      <c r="DW38" s="19">
        <v>0.14601769911504425</v>
      </c>
      <c r="DX38" s="19">
        <v>0.12662790339373267</v>
      </c>
      <c r="DY38" s="19">
        <v>0.16780608137863742</v>
      </c>
      <c r="DZ38" s="3">
        <v>150</v>
      </c>
      <c r="EA38" s="19">
        <v>0.12987012987012986</v>
      </c>
      <c r="EB38" s="19">
        <v>0.11170369147972666</v>
      </c>
      <c r="EC38" s="19">
        <v>0.1504904650271533</v>
      </c>
      <c r="ED38" s="3">
        <v>135</v>
      </c>
      <c r="EE38" s="19">
        <v>0.11637931034482758</v>
      </c>
      <c r="EF38" s="19">
        <v>9.9178561465025336E-2</v>
      </c>
      <c r="EG38" s="19">
        <v>0.13611247130001661</v>
      </c>
      <c r="EH38" s="3">
        <v>140</v>
      </c>
      <c r="EI38" s="20">
        <v>0.12173913043478261</v>
      </c>
      <c r="EJ38" s="20">
        <v>0.10408952536247225</v>
      </c>
      <c r="EK38" s="20">
        <v>0.14190740658240669</v>
      </c>
      <c r="EL38" s="438">
        <v>125</v>
      </c>
      <c r="EM38" s="20">
        <v>0.11574074074074074</v>
      </c>
      <c r="EN38" s="20">
        <v>9.8008285081654142E-2</v>
      </c>
      <c r="EO38" s="104">
        <v>0.13619705625756154</v>
      </c>
      <c r="EP38" s="38">
        <v>420</v>
      </c>
      <c r="EQ38" s="20">
        <v>0.13125000000000001</v>
      </c>
      <c r="ER38" s="44">
        <v>455</v>
      </c>
      <c r="ES38" s="20">
        <v>0.13957055214723926</v>
      </c>
      <c r="ET38" s="44">
        <v>410</v>
      </c>
      <c r="EU38" s="20">
        <v>0.12424242424242424</v>
      </c>
      <c r="EV38" s="44">
        <v>405</v>
      </c>
      <c r="EW38" s="20">
        <v>0.12017804154302671</v>
      </c>
      <c r="EX38" s="44">
        <v>370</v>
      </c>
      <c r="EY38" s="20">
        <v>0.10914454277286136</v>
      </c>
      <c r="EZ38" s="44">
        <v>355</v>
      </c>
      <c r="FA38" s="104">
        <v>0.10245310245310245</v>
      </c>
      <c r="FB38" s="3">
        <v>237</v>
      </c>
      <c r="FC38" s="3">
        <v>2</v>
      </c>
      <c r="FD38" s="3">
        <v>235</v>
      </c>
      <c r="FE38" s="19">
        <v>0.99156118143459915</v>
      </c>
      <c r="FF38" s="3">
        <v>107</v>
      </c>
      <c r="FG38" s="3">
        <v>138</v>
      </c>
      <c r="FH38" s="19">
        <v>0.4553191489361702</v>
      </c>
      <c r="FI38" s="19">
        <v>0.58723404255319145</v>
      </c>
      <c r="FJ38" s="19">
        <v>0.39287546928976086</v>
      </c>
      <c r="FK38" s="19">
        <v>0.51920014902798606</v>
      </c>
      <c r="FL38" s="19">
        <v>0.52337579384151411</v>
      </c>
      <c r="FM38" s="104">
        <v>0.64828609420478922</v>
      </c>
      <c r="FN38" s="438">
        <v>266</v>
      </c>
      <c r="FO38" s="438">
        <v>119</v>
      </c>
      <c r="FP38" s="438">
        <v>64</v>
      </c>
      <c r="FQ38" s="438">
        <v>183</v>
      </c>
      <c r="FR38" s="497">
        <v>0.44736842105263158</v>
      </c>
      <c r="FS38" s="497">
        <v>0.68796992481203012</v>
      </c>
      <c r="FT38" s="497">
        <v>0.38878706183305556</v>
      </c>
      <c r="FU38" s="497">
        <v>0.50744830495464921</v>
      </c>
      <c r="FV38" s="497">
        <v>0.62994815610124077</v>
      </c>
      <c r="FW38" s="104">
        <v>0.74063981965695658</v>
      </c>
      <c r="FX38" s="438">
        <v>251</v>
      </c>
      <c r="FY38" s="438">
        <v>6</v>
      </c>
      <c r="FZ38" s="438">
        <v>245</v>
      </c>
      <c r="GA38" s="497">
        <v>0.9760956175298805</v>
      </c>
      <c r="GB38" s="438">
        <v>123</v>
      </c>
      <c r="GC38" s="438">
        <v>59</v>
      </c>
      <c r="GD38" s="438">
        <v>182</v>
      </c>
      <c r="GE38" s="497">
        <v>0.50204081632653064</v>
      </c>
      <c r="GF38" s="497">
        <v>0.74285714285714288</v>
      </c>
      <c r="GG38" s="497">
        <v>0.43988620505576825</v>
      </c>
      <c r="GH38" s="497">
        <v>0.56413241790496826</v>
      </c>
      <c r="GI38" s="497">
        <v>0.68467545482786651</v>
      </c>
      <c r="GJ38" s="104">
        <v>0.79354067749977331</v>
      </c>
      <c r="GK38" s="3">
        <v>177</v>
      </c>
      <c r="GL38" s="3">
        <v>8</v>
      </c>
      <c r="GM38" s="19">
        <v>4.519774011299435E-2</v>
      </c>
      <c r="GN38" s="19">
        <v>2.3077636816594912E-2</v>
      </c>
      <c r="GO38" s="19">
        <v>8.663978611332683E-2</v>
      </c>
      <c r="GP38" s="353" t="s">
        <v>726</v>
      </c>
      <c r="GQ38" s="3">
        <v>178</v>
      </c>
      <c r="GR38" s="3">
        <v>12</v>
      </c>
      <c r="GS38" s="19">
        <v>6.741573033707865E-2</v>
      </c>
      <c r="GT38" s="19">
        <v>3.898189964215943E-2</v>
      </c>
      <c r="GU38" s="19">
        <v>0.11412652239347418</v>
      </c>
      <c r="GV38" s="3" t="s">
        <v>725</v>
      </c>
      <c r="GW38" s="3">
        <v>204</v>
      </c>
      <c r="GX38" s="3">
        <v>11</v>
      </c>
      <c r="GY38" s="19">
        <v>5.3921568627450983E-2</v>
      </c>
      <c r="GZ38" s="19">
        <v>3.0372420984158512E-2</v>
      </c>
      <c r="HA38" s="19">
        <v>9.3960130217705773E-2</v>
      </c>
      <c r="HB38" s="3" t="s">
        <v>726</v>
      </c>
      <c r="HC38" s="3">
        <v>197</v>
      </c>
      <c r="HD38" s="3">
        <v>17</v>
      </c>
      <c r="HE38" s="19">
        <v>8.6294416243654817E-2</v>
      </c>
      <c r="HF38" s="19">
        <v>5.4574988236147239E-2</v>
      </c>
      <c r="HG38" s="19">
        <v>0.13383959032194798</v>
      </c>
      <c r="HH38" s="3" t="s">
        <v>725</v>
      </c>
      <c r="HI38" s="3">
        <v>135</v>
      </c>
      <c r="HJ38" s="3">
        <v>12</v>
      </c>
      <c r="HK38" s="19">
        <v>8.8888888888888892E-2</v>
      </c>
      <c r="HL38" s="19">
        <v>5.1579365474074726E-2</v>
      </c>
      <c r="HM38" s="19">
        <v>0.14894761729589015</v>
      </c>
      <c r="HN38" s="11" t="s">
        <v>725</v>
      </c>
      <c r="HO38" s="11">
        <v>204</v>
      </c>
      <c r="HP38" s="11">
        <v>14</v>
      </c>
      <c r="HQ38" s="497">
        <v>6.8627450980392163E-2</v>
      </c>
      <c r="HR38" s="497">
        <v>4.1316711494961592E-2</v>
      </c>
      <c r="HS38" s="497">
        <v>0.1118839973595885</v>
      </c>
      <c r="HT38" s="8" t="str">
        <f t="shared" si="0"/>
        <v>No Sig diff</v>
      </c>
      <c r="HU38" s="3">
        <v>147</v>
      </c>
      <c r="HV38" s="3">
        <v>25</v>
      </c>
      <c r="HW38" s="19">
        <v>0.17006802721088435</v>
      </c>
      <c r="HX38" s="19">
        <v>0.11793015070055879</v>
      </c>
      <c r="HY38" s="19">
        <v>0.23901056865893572</v>
      </c>
      <c r="HZ38" s="3" t="s">
        <v>725</v>
      </c>
      <c r="IA38" s="3">
        <v>165</v>
      </c>
      <c r="IB38" s="3">
        <v>29</v>
      </c>
      <c r="IC38" s="19">
        <v>0.17575757575757575</v>
      </c>
      <c r="ID38" s="19">
        <v>0.12525193987760452</v>
      </c>
      <c r="IE38" s="19">
        <v>0.24101745421930615</v>
      </c>
      <c r="IF38" s="3" t="s">
        <v>725</v>
      </c>
      <c r="IG38" s="3">
        <v>149</v>
      </c>
      <c r="IH38" s="3">
        <v>32</v>
      </c>
      <c r="II38" s="19">
        <v>0.21476510067114093</v>
      </c>
      <c r="IJ38" s="19">
        <v>0.15643634438513321</v>
      </c>
      <c r="IK38" s="19">
        <v>0.28743182688299307</v>
      </c>
      <c r="IL38" s="3" t="s">
        <v>725</v>
      </c>
      <c r="IM38" s="3">
        <v>143</v>
      </c>
      <c r="IN38" s="3">
        <v>20</v>
      </c>
      <c r="IO38" s="19">
        <v>0.13986013986013987</v>
      </c>
      <c r="IP38" s="19">
        <v>9.2396955251221199E-2</v>
      </c>
      <c r="IQ38" s="19">
        <v>0.2061662650599326</v>
      </c>
      <c r="IR38" s="3" t="s">
        <v>725</v>
      </c>
      <c r="IS38" s="3">
        <v>158</v>
      </c>
      <c r="IT38" s="3">
        <v>17</v>
      </c>
      <c r="IU38" s="19">
        <v>0.10759493670886076</v>
      </c>
      <c r="IV38" s="19">
        <v>6.8269177614385793E-2</v>
      </c>
      <c r="IW38" s="19">
        <v>0.16554890025291197</v>
      </c>
      <c r="IX38" s="580" t="s">
        <v>726</v>
      </c>
      <c r="IY38" s="580">
        <v>170</v>
      </c>
      <c r="IZ38" s="580">
        <v>24</v>
      </c>
      <c r="JA38" s="497">
        <v>0.14117647058823529</v>
      </c>
      <c r="JB38" s="497">
        <v>9.6740551579802103E-2</v>
      </c>
      <c r="JC38" s="497">
        <v>0.20147058385576239</v>
      </c>
      <c r="JD38" s="371" t="str">
        <f t="shared" si="1"/>
        <v>Sig better than Eng.</v>
      </c>
      <c r="JE38" s="3">
        <v>228</v>
      </c>
      <c r="JF38" s="3">
        <v>130</v>
      </c>
      <c r="JG38" s="19">
        <v>0.57017543859649122</v>
      </c>
      <c r="JH38" s="19">
        <v>0.50527816193920483</v>
      </c>
      <c r="JI38" s="19">
        <v>0.63274719453833861</v>
      </c>
      <c r="JJ38" s="3">
        <v>228</v>
      </c>
      <c r="JK38" s="3">
        <v>34</v>
      </c>
      <c r="JL38" s="3">
        <v>45</v>
      </c>
      <c r="JM38" s="383">
        <v>23.866666666666671</v>
      </c>
      <c r="JN38" s="19">
        <v>0.29803921568627439</v>
      </c>
      <c r="JO38" s="3">
        <v>247</v>
      </c>
      <c r="JP38" s="3">
        <v>141</v>
      </c>
      <c r="JQ38" s="19">
        <v>0.57085020242914974</v>
      </c>
      <c r="JR38" s="19">
        <v>0.50850446183921483</v>
      </c>
      <c r="JS38" s="19">
        <v>0.63102590193936048</v>
      </c>
      <c r="JT38" s="3">
        <v>247</v>
      </c>
      <c r="JU38" s="3">
        <v>34</v>
      </c>
      <c r="JV38" s="3">
        <v>49</v>
      </c>
      <c r="JW38" s="383">
        <v>24.959183673469393</v>
      </c>
      <c r="JX38" s="20">
        <v>0.26590636254501782</v>
      </c>
      <c r="JY38" s="44">
        <v>240</v>
      </c>
      <c r="JZ38" s="44">
        <v>142</v>
      </c>
      <c r="KA38" s="20">
        <v>0.59166666666666667</v>
      </c>
      <c r="KB38" s="20">
        <v>0.52851203352999931</v>
      </c>
      <c r="KC38" s="20">
        <v>0.65193308114738158</v>
      </c>
      <c r="KD38" s="438">
        <v>34</v>
      </c>
      <c r="KE38" s="438">
        <v>48</v>
      </c>
      <c r="KF38" s="384">
        <v>23.9</v>
      </c>
      <c r="KG38" s="104">
        <v>0.29699999999999999</v>
      </c>
      <c r="KH38" s="19">
        <v>0.90808540874330357</v>
      </c>
      <c r="KI38" s="19">
        <v>9.1914591256696501E-2</v>
      </c>
      <c r="KJ38" s="19">
        <v>6.7227027172261908E-2</v>
      </c>
      <c r="KK38" s="19">
        <v>0.1593496190820943</v>
      </c>
      <c r="KL38" s="19">
        <v>0.95988835725677835</v>
      </c>
      <c r="KM38" s="19">
        <v>4.0111642743221688E-2</v>
      </c>
      <c r="KN38" s="19">
        <v>2.3753540562369307E-2</v>
      </c>
      <c r="KO38" s="19">
        <v>8.9084377199980441E-2</v>
      </c>
      <c r="KP38" s="19">
        <v>0.91131967447756923</v>
      </c>
      <c r="KQ38" s="19">
        <v>8.8680325522430783E-2</v>
      </c>
      <c r="KR38" s="19">
        <v>5.8070662732992634E-2</v>
      </c>
      <c r="KS38" s="19">
        <v>0.14575823782296227</v>
      </c>
      <c r="KT38" s="19">
        <v>0.83214431767063357</v>
      </c>
      <c r="KU38" s="19">
        <v>0.16785568232936654</v>
      </c>
      <c r="KV38" s="19">
        <v>0.12997636711378782</v>
      </c>
      <c r="KW38" s="104">
        <v>0.24446062618017678</v>
      </c>
      <c r="KX38" s="438">
        <v>16</v>
      </c>
      <c r="KY38" s="438">
        <v>170</v>
      </c>
      <c r="KZ38" s="497">
        <v>9.4117647058823528E-2</v>
      </c>
      <c r="LA38" s="497">
        <v>5.8764358872737593E-2</v>
      </c>
      <c r="LB38" s="497">
        <v>0.14740889268552387</v>
      </c>
      <c r="LC38" s="438">
        <v>12</v>
      </c>
      <c r="LD38" s="438">
        <v>170</v>
      </c>
      <c r="LE38" s="497">
        <v>7.0588235294117646E-2</v>
      </c>
      <c r="LF38" s="497">
        <v>4.0837418953078485E-2</v>
      </c>
      <c r="LG38" s="497">
        <v>0.11931689066653146</v>
      </c>
      <c r="LH38" s="438">
        <v>13</v>
      </c>
      <c r="LI38" s="438">
        <v>170</v>
      </c>
      <c r="LJ38" s="497">
        <v>7.6470588235294124E-2</v>
      </c>
      <c r="LK38" s="497">
        <v>4.5231780539752423E-2</v>
      </c>
      <c r="LL38" s="497">
        <v>0.12642726456452041</v>
      </c>
      <c r="LM38" s="438">
        <v>29</v>
      </c>
      <c r="LN38" s="438">
        <v>170</v>
      </c>
      <c r="LO38" s="497">
        <v>0.17058823529411765</v>
      </c>
      <c r="LP38" s="497">
        <v>0.1214802387930996</v>
      </c>
      <c r="LQ38" s="104">
        <v>0.23425457406577926</v>
      </c>
      <c r="LR38" s="3">
        <v>65</v>
      </c>
      <c r="LS38" s="3">
        <v>63</v>
      </c>
      <c r="LT38" s="3">
        <v>63</v>
      </c>
      <c r="LU38" s="3">
        <v>64</v>
      </c>
      <c r="LV38" s="3">
        <v>63</v>
      </c>
      <c r="LW38" s="3">
        <v>74</v>
      </c>
      <c r="LX38" s="3">
        <v>65</v>
      </c>
      <c r="LY38" s="3">
        <v>66</v>
      </c>
      <c r="LZ38" s="3">
        <v>64</v>
      </c>
      <c r="MA38" s="3">
        <v>66</v>
      </c>
      <c r="MB38" s="3">
        <v>71</v>
      </c>
      <c r="MC38" s="3">
        <v>66</v>
      </c>
      <c r="MD38" s="3">
        <v>67</v>
      </c>
      <c r="ME38" s="3">
        <v>72</v>
      </c>
      <c r="MF38" s="3">
        <v>68</v>
      </c>
      <c r="MG38" s="3">
        <v>67</v>
      </c>
      <c r="MH38" s="3">
        <v>63</v>
      </c>
      <c r="MI38" s="3">
        <v>66</v>
      </c>
      <c r="MJ38" s="3">
        <v>66</v>
      </c>
      <c r="MK38" s="3">
        <v>63</v>
      </c>
      <c r="ML38" s="3">
        <v>69</v>
      </c>
      <c r="MM38" s="3">
        <v>69</v>
      </c>
      <c r="MN38" s="8">
        <v>68</v>
      </c>
      <c r="MO38" s="3">
        <v>280</v>
      </c>
      <c r="MP38" s="24">
        <v>0.95</v>
      </c>
      <c r="MQ38" s="24">
        <v>4.0000000000000001E-3</v>
      </c>
      <c r="MR38" s="24">
        <v>0.94299999999999995</v>
      </c>
      <c r="MS38" s="3">
        <v>266</v>
      </c>
      <c r="MT38" s="3">
        <v>1</v>
      </c>
      <c r="MU38" s="3">
        <v>264</v>
      </c>
      <c r="MV38" s="3">
        <v>259</v>
      </c>
      <c r="MW38" s="24">
        <v>0.94199999999999995</v>
      </c>
      <c r="MX38" s="24">
        <v>0.89600000000000002</v>
      </c>
      <c r="MY38" s="24">
        <v>0.95399999999999996</v>
      </c>
      <c r="MZ38" s="24">
        <v>0.89600000000000002</v>
      </c>
      <c r="NA38" s="24">
        <v>0.88</v>
      </c>
      <c r="NB38" s="3">
        <v>244</v>
      </c>
      <c r="NC38" s="3">
        <v>232</v>
      </c>
      <c r="ND38" s="3">
        <v>247</v>
      </c>
      <c r="NE38" s="3">
        <v>232</v>
      </c>
      <c r="NF38" s="3">
        <v>228</v>
      </c>
      <c r="NG38" s="3">
        <v>240</v>
      </c>
      <c r="NH38" s="24">
        <v>0.92500000000000004</v>
      </c>
      <c r="NI38" s="24">
        <v>0.73799999999999999</v>
      </c>
      <c r="NJ38" s="24">
        <v>0.92500000000000004</v>
      </c>
      <c r="NK38" s="24">
        <v>0.92500000000000004</v>
      </c>
      <c r="NL38" s="24">
        <v>0.91700000000000004</v>
      </c>
      <c r="NM38" s="24">
        <v>0.871</v>
      </c>
      <c r="NN38" s="24">
        <v>0.90400000000000003</v>
      </c>
      <c r="NO38" s="24">
        <v>0.879</v>
      </c>
      <c r="NP38" s="24">
        <v>0.91700000000000004</v>
      </c>
      <c r="NQ38" s="24">
        <v>0.84599999999999997</v>
      </c>
      <c r="NR38" s="3">
        <v>222</v>
      </c>
      <c r="NS38" s="3">
        <v>177</v>
      </c>
      <c r="NT38" s="3">
        <v>222</v>
      </c>
      <c r="NU38" s="3">
        <v>222</v>
      </c>
      <c r="NV38" s="3">
        <v>220</v>
      </c>
      <c r="NW38" s="3">
        <v>209</v>
      </c>
      <c r="NX38" s="3">
        <v>217</v>
      </c>
      <c r="NY38" s="3">
        <v>211</v>
      </c>
      <c r="NZ38" s="3">
        <v>220</v>
      </c>
      <c r="OA38" s="8">
        <v>203</v>
      </c>
    </row>
    <row r="39" spans="1:391" s="3" customFormat="1" ht="12.75" x14ac:dyDescent="0.2">
      <c r="A39" s="11" t="s">
        <v>64</v>
      </c>
      <c r="B39" s="8">
        <v>34</v>
      </c>
      <c r="C39" s="11" t="s">
        <v>239</v>
      </c>
      <c r="D39" s="11" t="s">
        <v>240</v>
      </c>
      <c r="E39" s="11" t="s">
        <v>287</v>
      </c>
      <c r="F39" s="11" t="s">
        <v>287</v>
      </c>
      <c r="G39" s="11" t="s">
        <v>241</v>
      </c>
      <c r="H39" s="11" t="s">
        <v>81</v>
      </c>
      <c r="I39" s="11" t="s">
        <v>81</v>
      </c>
      <c r="J39" s="11" t="s">
        <v>271</v>
      </c>
      <c r="K39" s="11" t="s">
        <v>390</v>
      </c>
      <c r="L39" s="11" t="s">
        <v>276</v>
      </c>
      <c r="M39" s="11" t="s">
        <v>358</v>
      </c>
      <c r="N39" s="3" t="s">
        <v>81</v>
      </c>
      <c r="O39" s="11">
        <v>526677</v>
      </c>
      <c r="P39" s="11">
        <v>123233</v>
      </c>
      <c r="Q39" s="128">
        <v>22580</v>
      </c>
      <c r="R39" s="128" t="s">
        <v>287</v>
      </c>
      <c r="S39" s="400" t="s">
        <v>817</v>
      </c>
      <c r="T39" s="38">
        <v>23530</v>
      </c>
      <c r="U39" s="39">
        <v>23810</v>
      </c>
      <c r="V39" s="39">
        <v>24125</v>
      </c>
      <c r="W39" s="39">
        <v>24555</v>
      </c>
      <c r="X39" s="39">
        <v>24770</v>
      </c>
      <c r="Y39" s="39">
        <v>25010</v>
      </c>
      <c r="Z39" s="39">
        <v>25180</v>
      </c>
      <c r="AA39" s="39">
        <v>25165</v>
      </c>
      <c r="AB39" s="39">
        <v>25335</v>
      </c>
      <c r="AC39" s="44">
        <v>25572</v>
      </c>
      <c r="AD39" s="38">
        <v>1180</v>
      </c>
      <c r="AE39" s="39">
        <v>1200</v>
      </c>
      <c r="AF39" s="39">
        <v>1260</v>
      </c>
      <c r="AG39" s="39">
        <v>1290</v>
      </c>
      <c r="AH39" s="39">
        <v>1300</v>
      </c>
      <c r="AI39" s="39">
        <v>1280</v>
      </c>
      <c r="AJ39" s="39">
        <v>1265</v>
      </c>
      <c r="AK39" s="39">
        <v>1230</v>
      </c>
      <c r="AL39" s="39">
        <v>1220</v>
      </c>
      <c r="AM39" s="44">
        <v>1269</v>
      </c>
      <c r="AN39" s="15">
        <v>1279</v>
      </c>
      <c r="AO39" s="3">
        <v>1156</v>
      </c>
      <c r="AP39" s="3">
        <v>64</v>
      </c>
      <c r="AQ39" s="3">
        <v>44</v>
      </c>
      <c r="AR39" s="3">
        <v>12</v>
      </c>
      <c r="AS39" s="3">
        <v>3</v>
      </c>
      <c r="AT39" s="3">
        <v>0</v>
      </c>
      <c r="AU39" s="11">
        <v>123</v>
      </c>
      <c r="AV39" s="18">
        <v>0.90383111806098515</v>
      </c>
      <c r="AW39" s="19">
        <v>5.0039093041438623E-2</v>
      </c>
      <c r="AX39" s="19">
        <v>3.4401876465989051E-2</v>
      </c>
      <c r="AY39" s="19">
        <v>9.3823299452697427E-3</v>
      </c>
      <c r="AZ39" s="19">
        <v>2.3455824863174357E-3</v>
      </c>
      <c r="BA39" s="19">
        <v>0</v>
      </c>
      <c r="BB39" s="20">
        <v>9.616888193901485E-2</v>
      </c>
      <c r="BC39" s="15">
        <v>4108</v>
      </c>
      <c r="BD39" s="3">
        <v>4023</v>
      </c>
      <c r="BE39" s="3">
        <v>85</v>
      </c>
      <c r="BF39" s="3">
        <v>80</v>
      </c>
      <c r="BG39" s="3">
        <v>5</v>
      </c>
      <c r="BH39" s="19">
        <v>0.94117647058823528</v>
      </c>
      <c r="BI39" s="20">
        <v>5.8823529411764705E-2</v>
      </c>
      <c r="BJ39" s="15">
        <v>2738</v>
      </c>
      <c r="BK39" s="19">
        <v>0.72023374726077427</v>
      </c>
      <c r="BL39" s="19">
        <v>8.8020452885317749E-2</v>
      </c>
      <c r="BM39" s="20">
        <v>0.19174579985390797</v>
      </c>
      <c r="BN39" s="38">
        <v>7297</v>
      </c>
      <c r="BO39" s="39">
        <v>356</v>
      </c>
      <c r="BP39" s="39">
        <v>433</v>
      </c>
      <c r="BQ39" s="39">
        <v>209</v>
      </c>
      <c r="BR39" s="39">
        <v>5302</v>
      </c>
      <c r="BS39" s="39">
        <v>2911</v>
      </c>
      <c r="BT39" s="20">
        <v>0.15905187220886294</v>
      </c>
      <c r="BU39" s="38">
        <v>2011</v>
      </c>
      <c r="BV39" s="39">
        <v>2</v>
      </c>
      <c r="BW39" s="39">
        <v>291</v>
      </c>
      <c r="BX39" s="39">
        <v>382</v>
      </c>
      <c r="BY39" s="39">
        <v>235</v>
      </c>
      <c r="BZ39" s="40">
        <v>2921</v>
      </c>
      <c r="CA39" s="39">
        <v>1002</v>
      </c>
      <c r="CB39" s="39">
        <v>902</v>
      </c>
      <c r="CC39" s="39">
        <v>98</v>
      </c>
      <c r="CD39" s="39">
        <v>100</v>
      </c>
      <c r="CE39" s="19">
        <v>9.7804391217564873E-2</v>
      </c>
      <c r="CF39" s="104">
        <v>9.9800399201596807E-2</v>
      </c>
      <c r="CG39" s="39">
        <v>85</v>
      </c>
      <c r="CH39" s="39">
        <v>70</v>
      </c>
      <c r="CI39" s="39">
        <v>70</v>
      </c>
      <c r="CJ39" s="39">
        <v>55</v>
      </c>
      <c r="CK39" s="44">
        <v>50</v>
      </c>
      <c r="CL39" s="38">
        <v>379</v>
      </c>
      <c r="CM39" s="39">
        <v>91</v>
      </c>
      <c r="CN39" s="19">
        <v>0.24010554089709762</v>
      </c>
      <c r="CO39" s="40">
        <v>49</v>
      </c>
      <c r="CP39" s="39">
        <v>212</v>
      </c>
      <c r="CQ39" s="39">
        <v>224</v>
      </c>
      <c r="CR39" s="39">
        <v>200</v>
      </c>
      <c r="CS39" s="39">
        <v>208</v>
      </c>
      <c r="CT39" s="39">
        <v>187</v>
      </c>
      <c r="CU39" s="124" t="s">
        <v>474</v>
      </c>
      <c r="CV39" s="39">
        <v>5</v>
      </c>
      <c r="CW39" s="39">
        <v>6</v>
      </c>
      <c r="CX39" s="39">
        <v>7</v>
      </c>
      <c r="CY39" s="39">
        <v>5</v>
      </c>
      <c r="CZ39" s="39">
        <v>3</v>
      </c>
      <c r="DA39" s="120" t="s">
        <v>474</v>
      </c>
      <c r="DB39" s="15">
        <v>8</v>
      </c>
      <c r="DC39" s="15">
        <v>12</v>
      </c>
      <c r="DD39" s="19">
        <v>6.4171122994652413E-2</v>
      </c>
      <c r="DE39" s="19">
        <v>3.7086220493424561E-2</v>
      </c>
      <c r="DF39" s="20">
        <v>0.10880167510714658</v>
      </c>
      <c r="DG39" s="15">
        <v>33</v>
      </c>
      <c r="DH39" s="20">
        <v>2.5923016496465043E-2</v>
      </c>
      <c r="DI39" s="423">
        <v>10</v>
      </c>
      <c r="DJ39" s="428">
        <v>9</v>
      </c>
      <c r="DK39" s="3">
        <v>165</v>
      </c>
      <c r="DL39" s="20">
        <v>1.7013817281913798E-2</v>
      </c>
      <c r="DM39" s="15">
        <v>85</v>
      </c>
      <c r="DN39" s="3">
        <v>80</v>
      </c>
      <c r="DO39" s="3">
        <v>100</v>
      </c>
      <c r="DP39" s="3">
        <v>95</v>
      </c>
      <c r="DQ39" s="11">
        <v>80</v>
      </c>
      <c r="DR39" s="15">
        <v>70</v>
      </c>
      <c r="DS39" s="19">
        <v>5.9574468085106386E-2</v>
      </c>
      <c r="DT39" s="19">
        <v>4.7421878387910295E-2</v>
      </c>
      <c r="DU39" s="19">
        <v>7.4597463351726415E-2</v>
      </c>
      <c r="DV39" s="3">
        <v>100</v>
      </c>
      <c r="DW39" s="19">
        <v>8.4745762711864403E-2</v>
      </c>
      <c r="DX39" s="19">
        <v>7.0171429561680224E-2</v>
      </c>
      <c r="DY39" s="19">
        <v>0.10201502099881514</v>
      </c>
      <c r="DZ39" s="3">
        <v>80</v>
      </c>
      <c r="EA39" s="19">
        <v>6.7796610169491525E-2</v>
      </c>
      <c r="EB39" s="19">
        <v>5.4809980002718722E-2</v>
      </c>
      <c r="EC39" s="19">
        <v>8.3588162417388687E-2</v>
      </c>
      <c r="ED39" s="3">
        <v>90</v>
      </c>
      <c r="EE39" s="19">
        <v>7.8260869565217397E-2</v>
      </c>
      <c r="EF39" s="19">
        <v>6.4104345798656454E-2</v>
      </c>
      <c r="EG39" s="19">
        <v>9.5225566829541919E-2</v>
      </c>
      <c r="EH39" s="3">
        <v>90</v>
      </c>
      <c r="EI39" s="20">
        <v>8.1447963800904979E-2</v>
      </c>
      <c r="EJ39" s="20">
        <v>6.6733582950996073E-2</v>
      </c>
      <c r="EK39" s="20">
        <v>9.906239929539136E-2</v>
      </c>
      <c r="EL39" s="438">
        <v>80</v>
      </c>
      <c r="EM39" s="20">
        <v>9.1428571428571428E-2</v>
      </c>
      <c r="EN39" s="20">
        <v>7.4075759928512064E-2</v>
      </c>
      <c r="EO39" s="104">
        <v>0.11235315415634556</v>
      </c>
      <c r="EP39" s="38">
        <v>215</v>
      </c>
      <c r="EQ39" s="20">
        <v>5.0058207217694994E-2</v>
      </c>
      <c r="ER39" s="44">
        <v>270</v>
      </c>
      <c r="ES39" s="20">
        <v>6.2937062937062943E-2</v>
      </c>
      <c r="ET39" s="44">
        <v>270</v>
      </c>
      <c r="EU39" s="20">
        <v>6.323185011709602E-2</v>
      </c>
      <c r="EV39" s="44">
        <v>250</v>
      </c>
      <c r="EW39" s="20">
        <v>5.9031877213695398E-2</v>
      </c>
      <c r="EX39" s="44">
        <v>245</v>
      </c>
      <c r="EY39" s="20">
        <v>5.9178743961352656E-2</v>
      </c>
      <c r="EZ39" s="44">
        <v>220</v>
      </c>
      <c r="FA39" s="104">
        <v>5.4388133498145856E-2</v>
      </c>
      <c r="FB39" s="3">
        <v>187</v>
      </c>
      <c r="FC39" s="3">
        <v>5</v>
      </c>
      <c r="FD39" s="3">
        <v>182</v>
      </c>
      <c r="FE39" s="19">
        <v>0.9732620320855615</v>
      </c>
      <c r="FF39" s="3">
        <v>95</v>
      </c>
      <c r="FG39" s="3">
        <v>118</v>
      </c>
      <c r="FH39" s="19">
        <v>0.52197802197802201</v>
      </c>
      <c r="FI39" s="19">
        <v>0.64835164835164838</v>
      </c>
      <c r="FJ39" s="19">
        <v>0.44970404802433445</v>
      </c>
      <c r="FK39" s="19">
        <v>0.59334336439570501</v>
      </c>
      <c r="FL39" s="19">
        <v>0.57656597835294798</v>
      </c>
      <c r="FM39" s="104">
        <v>0.71400405548231827</v>
      </c>
      <c r="FN39" s="438">
        <v>193</v>
      </c>
      <c r="FO39" s="438">
        <v>89</v>
      </c>
      <c r="FP39" s="438">
        <v>38</v>
      </c>
      <c r="FQ39" s="438">
        <v>127</v>
      </c>
      <c r="FR39" s="497">
        <v>0.46113989637305697</v>
      </c>
      <c r="FS39" s="497">
        <v>0.65803108808290156</v>
      </c>
      <c r="FT39" s="497">
        <v>0.39225648155038884</v>
      </c>
      <c r="FU39" s="497">
        <v>0.53154005963627382</v>
      </c>
      <c r="FV39" s="497">
        <v>0.58860693227501248</v>
      </c>
      <c r="FW39" s="104">
        <v>0.72128713356589258</v>
      </c>
      <c r="FX39" s="438">
        <v>146</v>
      </c>
      <c r="FY39" s="438">
        <v>11</v>
      </c>
      <c r="FZ39" s="438">
        <v>135</v>
      </c>
      <c r="GA39" s="497">
        <v>0.92465753424657537</v>
      </c>
      <c r="GB39" s="438">
        <v>72</v>
      </c>
      <c r="GC39" s="438">
        <v>24</v>
      </c>
      <c r="GD39" s="438">
        <v>96</v>
      </c>
      <c r="GE39" s="497">
        <v>0.53333333333333333</v>
      </c>
      <c r="GF39" s="497">
        <v>0.71111111111111114</v>
      </c>
      <c r="GG39" s="497">
        <v>0.44942253647808705</v>
      </c>
      <c r="GH39" s="497">
        <v>0.6153996000540779</v>
      </c>
      <c r="GI39" s="497">
        <v>0.62965262171487812</v>
      </c>
      <c r="GJ39" s="104">
        <v>0.78088757632216699</v>
      </c>
      <c r="GK39" s="3">
        <v>181</v>
      </c>
      <c r="GL39" s="3">
        <v>12</v>
      </c>
      <c r="GM39" s="19">
        <v>6.6000000000000003E-2</v>
      </c>
      <c r="GN39" s="19">
        <v>3.7999999999999999E-2</v>
      </c>
      <c r="GO39" s="19">
        <v>0.112</v>
      </c>
      <c r="GP39" s="353" t="s">
        <v>725</v>
      </c>
      <c r="GQ39" s="3">
        <v>207</v>
      </c>
      <c r="GR39" s="3">
        <v>18</v>
      </c>
      <c r="GS39" s="19">
        <v>8.6999999999999994E-2</v>
      </c>
      <c r="GT39" s="19">
        <v>5.6000000000000001E-2</v>
      </c>
      <c r="GU39" s="19">
        <v>0.13300000000000001</v>
      </c>
      <c r="GV39" s="3" t="s">
        <v>725</v>
      </c>
      <c r="GW39" s="3">
        <v>189</v>
      </c>
      <c r="GX39" s="3">
        <v>9</v>
      </c>
      <c r="GY39" s="19">
        <v>4.7619047619047616E-2</v>
      </c>
      <c r="GZ39" s="19">
        <v>2.5251906693033909E-2</v>
      </c>
      <c r="HA39" s="19">
        <v>8.8009312934030443E-2</v>
      </c>
      <c r="HB39" s="3" t="s">
        <v>726</v>
      </c>
      <c r="HC39" s="3">
        <v>190</v>
      </c>
      <c r="HD39" s="3">
        <v>15</v>
      </c>
      <c r="HE39" s="19">
        <v>7.8947368421052627E-2</v>
      </c>
      <c r="HF39" s="19">
        <v>4.8424492181179869E-2</v>
      </c>
      <c r="HG39" s="19">
        <v>0.12615869052174186</v>
      </c>
      <c r="HH39" s="3" t="s">
        <v>725</v>
      </c>
      <c r="HI39" s="3">
        <v>121</v>
      </c>
      <c r="HJ39" s="3">
        <v>6</v>
      </c>
      <c r="HK39" s="19">
        <v>4.9586776859504134E-2</v>
      </c>
      <c r="HL39" s="19">
        <v>2.2921674071323391E-2</v>
      </c>
      <c r="HM39" s="19">
        <v>0.10397093812929752</v>
      </c>
      <c r="HN39" s="11" t="s">
        <v>725</v>
      </c>
      <c r="HO39" s="11">
        <v>198</v>
      </c>
      <c r="HP39" s="11">
        <v>10</v>
      </c>
      <c r="HQ39" s="497">
        <v>5.0505050505050504E-2</v>
      </c>
      <c r="HR39" s="497">
        <v>2.7661556517076861E-2</v>
      </c>
      <c r="HS39" s="497">
        <v>9.0458174483647236E-2</v>
      </c>
      <c r="HT39" s="8" t="str">
        <f t="shared" si="0"/>
        <v>No Sig diff</v>
      </c>
      <c r="HU39" s="3">
        <v>175</v>
      </c>
      <c r="HV39" s="3">
        <v>23</v>
      </c>
      <c r="HW39" s="19">
        <v>0.13100000000000001</v>
      </c>
      <c r="HX39" s="19">
        <v>8.8999999999999996E-2</v>
      </c>
      <c r="HY39" s="19">
        <v>0.189</v>
      </c>
      <c r="HZ39" s="3" t="s">
        <v>725</v>
      </c>
      <c r="IA39" s="3">
        <v>189</v>
      </c>
      <c r="IB39" s="3">
        <v>21</v>
      </c>
      <c r="IC39" s="19">
        <v>0.111</v>
      </c>
      <c r="ID39" s="19">
        <v>7.3999999999999996E-2</v>
      </c>
      <c r="IE39" s="19">
        <v>0.16400000000000001</v>
      </c>
      <c r="IF39" s="3" t="s">
        <v>726</v>
      </c>
      <c r="IG39" s="3">
        <v>183</v>
      </c>
      <c r="IH39" s="3">
        <v>28</v>
      </c>
      <c r="II39" s="19">
        <v>0.15300546448087432</v>
      </c>
      <c r="IJ39" s="19">
        <v>0.10803050767038307</v>
      </c>
      <c r="IK39" s="19">
        <v>0.21224883075055107</v>
      </c>
      <c r="IL39" s="3" t="s">
        <v>725</v>
      </c>
      <c r="IM39" s="3">
        <v>174</v>
      </c>
      <c r="IN39" s="3">
        <v>14</v>
      </c>
      <c r="IO39" s="19">
        <v>8.0459770114942528E-2</v>
      </c>
      <c r="IP39" s="19">
        <v>4.8531099813854901E-2</v>
      </c>
      <c r="IQ39" s="19">
        <v>0.13051297141589011</v>
      </c>
      <c r="IR39" s="3" t="s">
        <v>726</v>
      </c>
      <c r="IS39" s="3">
        <v>197</v>
      </c>
      <c r="IT39" s="3">
        <v>25</v>
      </c>
      <c r="IU39" s="19">
        <v>0.12690355329949238</v>
      </c>
      <c r="IV39" s="19">
        <v>8.7454746190626445E-2</v>
      </c>
      <c r="IW39" s="19">
        <v>0.18062465901207292</v>
      </c>
      <c r="IX39" s="580" t="s">
        <v>726</v>
      </c>
      <c r="IY39" s="580">
        <v>189</v>
      </c>
      <c r="IZ39" s="580">
        <v>16</v>
      </c>
      <c r="JA39" s="497">
        <v>8.4656084656084651E-2</v>
      </c>
      <c r="JB39" s="497">
        <v>5.2779295230983916E-2</v>
      </c>
      <c r="JC39" s="497">
        <v>0.13308042103480028</v>
      </c>
      <c r="JD39" s="371" t="str">
        <f t="shared" si="1"/>
        <v>Sig better than Eng.</v>
      </c>
      <c r="JE39" s="3">
        <v>238</v>
      </c>
      <c r="JF39" s="3">
        <v>133</v>
      </c>
      <c r="JG39" s="19">
        <v>0.55882352941176472</v>
      </c>
      <c r="JH39" s="19">
        <v>0.49530353405154642</v>
      </c>
      <c r="JI39" s="19">
        <v>0.62047479500972391</v>
      </c>
      <c r="JJ39" s="3">
        <v>238</v>
      </c>
      <c r="JK39" s="3">
        <v>34</v>
      </c>
      <c r="JL39" s="3">
        <v>47</v>
      </c>
      <c r="JM39" s="383">
        <v>25.106382978723406</v>
      </c>
      <c r="JN39" s="19">
        <v>0.26157697121401746</v>
      </c>
      <c r="JO39" s="3">
        <v>203</v>
      </c>
      <c r="JP39" s="3">
        <v>114</v>
      </c>
      <c r="JQ39" s="19">
        <v>0.56157635467980294</v>
      </c>
      <c r="JR39" s="19">
        <v>0.49280222994584766</v>
      </c>
      <c r="JS39" s="19">
        <v>0.62806328774358189</v>
      </c>
      <c r="JT39" s="3">
        <v>203</v>
      </c>
      <c r="JU39" s="3">
        <v>34</v>
      </c>
      <c r="JV39" s="3">
        <v>40</v>
      </c>
      <c r="JW39" s="383">
        <v>23.924999999999997</v>
      </c>
      <c r="JX39" s="20">
        <v>0.29632352941176476</v>
      </c>
      <c r="JY39" s="44">
        <v>267</v>
      </c>
      <c r="JZ39" s="44">
        <v>179</v>
      </c>
      <c r="KA39" s="20">
        <v>0.67041198501872656</v>
      </c>
      <c r="KB39" s="20">
        <v>0.61196097409092154</v>
      </c>
      <c r="KC39" s="20">
        <v>0.72402894560687836</v>
      </c>
      <c r="KD39" s="438">
        <v>34</v>
      </c>
      <c r="KE39" s="438">
        <v>53</v>
      </c>
      <c r="KF39" s="384">
        <v>26</v>
      </c>
      <c r="KG39" s="104">
        <v>0.23599999999999999</v>
      </c>
      <c r="KH39" s="19">
        <v>0.89808802308802316</v>
      </c>
      <c r="KI39" s="19">
        <v>0.10191197691197691</v>
      </c>
      <c r="KJ39" s="19">
        <v>5.4673224147554787E-2</v>
      </c>
      <c r="KK39" s="19">
        <v>0.15135598293107455</v>
      </c>
      <c r="KL39" s="19">
        <v>0.93512506012506003</v>
      </c>
      <c r="KM39" s="19">
        <v>6.4874939874939877E-2</v>
      </c>
      <c r="KN39" s="19">
        <v>3.3940885823589673E-2</v>
      </c>
      <c r="KO39" s="19">
        <v>0.11685557044311824</v>
      </c>
      <c r="KP39" s="19">
        <v>0.92475468975468966</v>
      </c>
      <c r="KQ39" s="19">
        <v>7.5245310245310254E-2</v>
      </c>
      <c r="KR39" s="19">
        <v>4.411767148383796E-2</v>
      </c>
      <c r="KS39" s="19">
        <v>0.13429516018883067</v>
      </c>
      <c r="KT39" s="19">
        <v>0.84827894327894338</v>
      </c>
      <c r="KU39" s="19">
        <v>0.15172105672105671</v>
      </c>
      <c r="KV39" s="19">
        <v>0.12307779859865452</v>
      </c>
      <c r="KW39" s="104">
        <v>0.24864966091573915</v>
      </c>
      <c r="KX39" s="438">
        <v>6</v>
      </c>
      <c r="KY39" s="438">
        <v>94</v>
      </c>
      <c r="KZ39" s="497">
        <v>6.3829787234042548E-2</v>
      </c>
      <c r="LA39" s="497">
        <v>2.9579735297574038E-2</v>
      </c>
      <c r="LB39" s="497">
        <v>0.13232973550994367</v>
      </c>
      <c r="LC39" s="438">
        <v>5</v>
      </c>
      <c r="LD39" s="438">
        <v>94</v>
      </c>
      <c r="LE39" s="497">
        <v>5.3191489361702128E-2</v>
      </c>
      <c r="LF39" s="497">
        <v>2.2931748685590017E-2</v>
      </c>
      <c r="LG39" s="497">
        <v>0.11853648970259888</v>
      </c>
      <c r="LH39" s="438">
        <v>5</v>
      </c>
      <c r="LI39" s="438">
        <v>90</v>
      </c>
      <c r="LJ39" s="497">
        <v>5.5555555555555552E-2</v>
      </c>
      <c r="LK39" s="497">
        <v>2.3960971616961969E-2</v>
      </c>
      <c r="LL39" s="497">
        <v>0.12353736221799515</v>
      </c>
      <c r="LM39" s="438">
        <v>10</v>
      </c>
      <c r="LN39" s="438">
        <v>90</v>
      </c>
      <c r="LO39" s="497">
        <v>0.1111111111111111</v>
      </c>
      <c r="LP39" s="497">
        <v>6.1483191892977122E-2</v>
      </c>
      <c r="LQ39" s="104">
        <v>0.19257785021261034</v>
      </c>
      <c r="LR39" s="3">
        <v>41</v>
      </c>
      <c r="LS39" s="3">
        <v>37</v>
      </c>
      <c r="LT39" s="3">
        <v>37</v>
      </c>
      <c r="LU39" s="3">
        <v>37</v>
      </c>
      <c r="LV39" s="3">
        <v>37</v>
      </c>
      <c r="LW39" s="3">
        <v>58</v>
      </c>
      <c r="LX39" s="3">
        <v>54</v>
      </c>
      <c r="LY39" s="3">
        <v>56</v>
      </c>
      <c r="LZ39" s="3">
        <v>55</v>
      </c>
      <c r="MA39" s="3">
        <v>56</v>
      </c>
      <c r="MB39" s="3">
        <v>56</v>
      </c>
      <c r="MC39" s="3">
        <v>55</v>
      </c>
      <c r="MD39" s="3">
        <v>56</v>
      </c>
      <c r="ME39" s="3">
        <v>61</v>
      </c>
      <c r="MF39" s="3">
        <v>57</v>
      </c>
      <c r="MG39" s="3">
        <v>57</v>
      </c>
      <c r="MH39" s="3">
        <v>56</v>
      </c>
      <c r="MI39" s="3">
        <v>58</v>
      </c>
      <c r="MJ39" s="3">
        <v>58</v>
      </c>
      <c r="MK39" s="3">
        <v>54</v>
      </c>
      <c r="ML39" s="3">
        <v>57</v>
      </c>
      <c r="MM39" s="3">
        <v>57</v>
      </c>
      <c r="MN39" s="8">
        <v>58</v>
      </c>
      <c r="MO39" s="3">
        <v>136</v>
      </c>
      <c r="MP39" s="24">
        <v>0.96299999999999997</v>
      </c>
      <c r="MQ39" s="24">
        <v>1.4999999999999999E-2</v>
      </c>
      <c r="MR39" s="24">
        <v>0.95599999999999996</v>
      </c>
      <c r="MS39" s="3">
        <v>131</v>
      </c>
      <c r="MT39" s="3">
        <v>2</v>
      </c>
      <c r="MU39" s="3">
        <v>130</v>
      </c>
      <c r="MV39" s="3">
        <v>141</v>
      </c>
      <c r="MW39" s="24">
        <v>0.98599999999999999</v>
      </c>
      <c r="MX39" s="24">
        <v>0.95699999999999996</v>
      </c>
      <c r="MY39" s="24">
        <v>0.94299999999999995</v>
      </c>
      <c r="MZ39" s="24">
        <v>0.95699999999999996</v>
      </c>
      <c r="NA39" s="24">
        <v>0.96499999999999997</v>
      </c>
      <c r="NB39" s="3">
        <v>139</v>
      </c>
      <c r="NC39" s="3">
        <v>135</v>
      </c>
      <c r="ND39" s="3">
        <v>133</v>
      </c>
      <c r="NE39" s="3">
        <v>135</v>
      </c>
      <c r="NF39" s="3">
        <v>136</v>
      </c>
      <c r="NG39" s="3">
        <v>165</v>
      </c>
      <c r="NH39" s="24">
        <v>0.97</v>
      </c>
      <c r="NI39" s="24">
        <v>0.92700000000000005</v>
      </c>
      <c r="NJ39" s="24">
        <v>0.97</v>
      </c>
      <c r="NK39" s="24">
        <v>0.97</v>
      </c>
      <c r="NL39" s="24">
        <v>0.96399999999999997</v>
      </c>
      <c r="NM39" s="24">
        <v>0.89700000000000002</v>
      </c>
      <c r="NN39" s="24">
        <v>0.96399999999999997</v>
      </c>
      <c r="NO39" s="24">
        <v>0.92700000000000005</v>
      </c>
      <c r="NP39" s="24">
        <v>0.95799999999999996</v>
      </c>
      <c r="NQ39" s="24">
        <v>0.95199999999999996</v>
      </c>
      <c r="NR39" s="3">
        <v>160</v>
      </c>
      <c r="NS39" s="3">
        <v>153</v>
      </c>
      <c r="NT39" s="3">
        <v>160</v>
      </c>
      <c r="NU39" s="3">
        <v>160</v>
      </c>
      <c r="NV39" s="3">
        <v>159</v>
      </c>
      <c r="NW39" s="3">
        <v>148</v>
      </c>
      <c r="NX39" s="3">
        <v>159</v>
      </c>
      <c r="NY39" s="3">
        <v>153</v>
      </c>
      <c r="NZ39" s="3">
        <v>158</v>
      </c>
      <c r="OA39" s="8">
        <v>157</v>
      </c>
    </row>
    <row r="40" spans="1:391" s="3" customFormat="1" ht="12.75" x14ac:dyDescent="0.2">
      <c r="A40" s="11" t="s">
        <v>65</v>
      </c>
      <c r="B40" s="8">
        <v>35</v>
      </c>
      <c r="C40" s="11" t="s">
        <v>239</v>
      </c>
      <c r="D40" s="11" t="s">
        <v>240</v>
      </c>
      <c r="E40" s="11" t="s">
        <v>287</v>
      </c>
      <c r="F40" s="11" t="s">
        <v>287</v>
      </c>
      <c r="G40" s="11" t="s">
        <v>241</v>
      </c>
      <c r="H40" s="11" t="s">
        <v>81</v>
      </c>
      <c r="I40" s="11" t="s">
        <v>81</v>
      </c>
      <c r="J40" s="11" t="s">
        <v>271</v>
      </c>
      <c r="K40" s="11" t="s">
        <v>389</v>
      </c>
      <c r="L40" s="11" t="s">
        <v>276</v>
      </c>
      <c r="M40" s="11" t="s">
        <v>359</v>
      </c>
      <c r="N40" s="3" t="s">
        <v>81</v>
      </c>
      <c r="O40" s="11">
        <v>526677</v>
      </c>
      <c r="P40" s="11">
        <v>123233</v>
      </c>
      <c r="Q40" s="128">
        <v>22585</v>
      </c>
      <c r="R40" s="128" t="s">
        <v>287</v>
      </c>
      <c r="S40" s="400" t="s">
        <v>817</v>
      </c>
      <c r="T40" s="38">
        <v>18585</v>
      </c>
      <c r="U40" s="39">
        <v>19055</v>
      </c>
      <c r="V40" s="39">
        <v>19605</v>
      </c>
      <c r="W40" s="39">
        <v>19925</v>
      </c>
      <c r="X40" s="39">
        <v>20205</v>
      </c>
      <c r="Y40" s="39">
        <v>20375</v>
      </c>
      <c r="Z40" s="39">
        <v>20565</v>
      </c>
      <c r="AA40" s="39">
        <v>20850</v>
      </c>
      <c r="AB40" s="39">
        <v>21065</v>
      </c>
      <c r="AC40" s="44">
        <v>21321</v>
      </c>
      <c r="AD40" s="38">
        <v>1105</v>
      </c>
      <c r="AE40" s="39">
        <v>1200</v>
      </c>
      <c r="AF40" s="39">
        <v>1320</v>
      </c>
      <c r="AG40" s="39">
        <v>1365</v>
      </c>
      <c r="AH40" s="39">
        <v>1365</v>
      </c>
      <c r="AI40" s="39">
        <v>1320</v>
      </c>
      <c r="AJ40" s="39">
        <v>1305</v>
      </c>
      <c r="AK40" s="39">
        <v>1385</v>
      </c>
      <c r="AL40" s="39">
        <v>1420</v>
      </c>
      <c r="AM40" s="44">
        <v>1410</v>
      </c>
      <c r="AN40" s="15">
        <v>1323</v>
      </c>
      <c r="AO40" s="3">
        <v>1181</v>
      </c>
      <c r="AP40" s="3">
        <v>55</v>
      </c>
      <c r="AQ40" s="3">
        <v>44</v>
      </c>
      <c r="AR40" s="3">
        <v>34</v>
      </c>
      <c r="AS40" s="3">
        <v>9</v>
      </c>
      <c r="AT40" s="3">
        <v>0</v>
      </c>
      <c r="AU40" s="11">
        <v>142</v>
      </c>
      <c r="AV40" s="18">
        <v>0.89266817838246415</v>
      </c>
      <c r="AW40" s="19">
        <v>4.1572184429327287E-2</v>
      </c>
      <c r="AX40" s="19">
        <v>3.3257747543461828E-2</v>
      </c>
      <c r="AY40" s="19">
        <v>2.5699168556311415E-2</v>
      </c>
      <c r="AZ40" s="19">
        <v>6.8027210884353739E-3</v>
      </c>
      <c r="BA40" s="19">
        <v>0</v>
      </c>
      <c r="BB40" s="20">
        <v>0.10733182161753585</v>
      </c>
      <c r="BC40" s="15">
        <v>3289</v>
      </c>
      <c r="BD40" s="3">
        <v>3245</v>
      </c>
      <c r="BE40" s="3">
        <v>44</v>
      </c>
      <c r="BF40" s="3">
        <v>36</v>
      </c>
      <c r="BG40" s="3">
        <v>8</v>
      </c>
      <c r="BH40" s="19">
        <v>0.81818181818181823</v>
      </c>
      <c r="BI40" s="20">
        <v>0.18181818181818182</v>
      </c>
      <c r="BJ40" s="15">
        <v>2612</v>
      </c>
      <c r="BK40" s="19">
        <v>0.78024502297090348</v>
      </c>
      <c r="BL40" s="19">
        <v>7.2358346094946402E-2</v>
      </c>
      <c r="BM40" s="20">
        <v>0.14739663093415006</v>
      </c>
      <c r="BN40" s="38">
        <v>6027</v>
      </c>
      <c r="BO40" s="39">
        <v>347</v>
      </c>
      <c r="BP40" s="39">
        <v>472</v>
      </c>
      <c r="BQ40" s="39">
        <v>203</v>
      </c>
      <c r="BR40" s="39">
        <v>4544</v>
      </c>
      <c r="BS40" s="39">
        <v>2468</v>
      </c>
      <c r="BT40" s="20">
        <v>0.15802269043760131</v>
      </c>
      <c r="BU40" s="38">
        <v>1817</v>
      </c>
      <c r="BV40" s="39">
        <v>1</v>
      </c>
      <c r="BW40" s="39">
        <v>249</v>
      </c>
      <c r="BX40" s="39">
        <v>304</v>
      </c>
      <c r="BY40" s="39">
        <v>108</v>
      </c>
      <c r="BZ40" s="40">
        <v>2479</v>
      </c>
      <c r="CA40" s="39">
        <v>1023</v>
      </c>
      <c r="CB40" s="39">
        <v>950</v>
      </c>
      <c r="CC40" s="39">
        <v>71</v>
      </c>
      <c r="CD40" s="39">
        <v>73</v>
      </c>
      <c r="CE40" s="19">
        <v>6.9403714565004881E-2</v>
      </c>
      <c r="CF40" s="104">
        <v>7.1358748778103623E-2</v>
      </c>
      <c r="CG40" s="39">
        <v>55</v>
      </c>
      <c r="CH40" s="39">
        <v>45</v>
      </c>
      <c r="CI40" s="39">
        <v>45</v>
      </c>
      <c r="CJ40" s="39">
        <v>45</v>
      </c>
      <c r="CK40" s="44">
        <v>25</v>
      </c>
      <c r="CL40" s="38">
        <v>304</v>
      </c>
      <c r="CM40" s="39">
        <v>73</v>
      </c>
      <c r="CN40" s="19">
        <v>0.24013157894736842</v>
      </c>
      <c r="CO40" s="40">
        <v>32</v>
      </c>
      <c r="CP40" s="39">
        <v>228</v>
      </c>
      <c r="CQ40" s="39">
        <v>212</v>
      </c>
      <c r="CR40" s="39">
        <v>237</v>
      </c>
      <c r="CS40" s="39">
        <v>258</v>
      </c>
      <c r="CT40" s="39">
        <v>230</v>
      </c>
      <c r="CU40" s="124" t="s">
        <v>474</v>
      </c>
      <c r="CV40" s="39">
        <v>3</v>
      </c>
      <c r="CW40" s="39">
        <v>5</v>
      </c>
      <c r="CX40" s="39">
        <v>3</v>
      </c>
      <c r="CY40" s="39">
        <v>3</v>
      </c>
      <c r="CZ40" s="39">
        <v>3</v>
      </c>
      <c r="DA40" s="120" t="s">
        <v>474</v>
      </c>
      <c r="DB40" s="15">
        <v>5</v>
      </c>
      <c r="DC40" s="15">
        <v>8</v>
      </c>
      <c r="DD40" s="19">
        <v>3.4782608695652174E-2</v>
      </c>
      <c r="DE40" s="19">
        <v>1.7728315594474731E-2</v>
      </c>
      <c r="DF40" s="20">
        <v>6.7121731615965546E-2</v>
      </c>
      <c r="DG40" s="15">
        <v>20</v>
      </c>
      <c r="DH40" s="20">
        <v>1.5117157974300832E-2</v>
      </c>
      <c r="DI40" s="423">
        <v>10</v>
      </c>
      <c r="DJ40" s="428">
        <v>10</v>
      </c>
      <c r="DK40" s="3">
        <v>153</v>
      </c>
      <c r="DL40" s="20">
        <v>1.7888460189407224E-2</v>
      </c>
      <c r="DM40" s="15">
        <v>50</v>
      </c>
      <c r="DN40" s="3">
        <v>75</v>
      </c>
      <c r="DO40" s="3">
        <v>80</v>
      </c>
      <c r="DP40" s="3">
        <v>65</v>
      </c>
      <c r="DQ40" s="11">
        <v>70</v>
      </c>
      <c r="DR40" s="15">
        <v>55</v>
      </c>
      <c r="DS40" s="19">
        <v>4.3999999999999997E-2</v>
      </c>
      <c r="DT40" s="19">
        <v>3.3959175157897425E-2</v>
      </c>
      <c r="DU40" s="19">
        <v>5.6834966334096466E-2</v>
      </c>
      <c r="DV40" s="3">
        <v>55</v>
      </c>
      <c r="DW40" s="19">
        <v>4.3999999999999997E-2</v>
      </c>
      <c r="DX40" s="19">
        <v>3.3959175157897425E-2</v>
      </c>
      <c r="DY40" s="19">
        <v>5.6834966334096466E-2</v>
      </c>
      <c r="DZ40" s="3">
        <v>60</v>
      </c>
      <c r="EA40" s="19">
        <v>4.9792531120331947E-2</v>
      </c>
      <c r="EB40" s="19">
        <v>3.8878205957901521E-2</v>
      </c>
      <c r="EC40" s="19">
        <v>6.3568196684103975E-2</v>
      </c>
      <c r="ED40" s="3">
        <v>55</v>
      </c>
      <c r="EE40" s="19">
        <v>4.6025104602510462E-2</v>
      </c>
      <c r="EF40" s="19">
        <v>3.552959099171818E-2</v>
      </c>
      <c r="EG40" s="19">
        <v>5.9429970160496649E-2</v>
      </c>
      <c r="EH40" s="3">
        <v>70</v>
      </c>
      <c r="EI40" s="20">
        <v>5.5776892430278883E-2</v>
      </c>
      <c r="EJ40" s="20">
        <v>4.4382897763407557E-2</v>
      </c>
      <c r="EK40" s="20">
        <v>6.9882054199206914E-2</v>
      </c>
      <c r="EL40" s="438">
        <v>65</v>
      </c>
      <c r="EM40" s="20">
        <v>6.5000000000000002E-2</v>
      </c>
      <c r="EN40" s="20">
        <v>5.1323770569062052E-2</v>
      </c>
      <c r="EO40" s="104">
        <v>8.2005509313370917E-2</v>
      </c>
      <c r="EP40" s="38">
        <v>160</v>
      </c>
      <c r="EQ40" s="20">
        <v>4.3478260869565216E-2</v>
      </c>
      <c r="ER40" s="44">
        <v>200</v>
      </c>
      <c r="ES40" s="20">
        <v>5.3835800807537013E-2</v>
      </c>
      <c r="ET40" s="44">
        <v>195</v>
      </c>
      <c r="EU40" s="20">
        <v>5.1655629139072845E-2</v>
      </c>
      <c r="EV40" s="44">
        <v>200</v>
      </c>
      <c r="EW40" s="20">
        <v>5.2287581699346407E-2</v>
      </c>
      <c r="EX40" s="44">
        <v>205</v>
      </c>
      <c r="EY40" s="20">
        <v>5.2295918367346941E-2</v>
      </c>
      <c r="EZ40" s="44">
        <v>190</v>
      </c>
      <c r="FA40" s="104">
        <v>4.7798742138364783E-2</v>
      </c>
      <c r="FB40" s="3">
        <v>247</v>
      </c>
      <c r="FC40" s="3">
        <v>8</v>
      </c>
      <c r="FD40" s="3">
        <v>239</v>
      </c>
      <c r="FE40" s="19">
        <v>0.96761133603238869</v>
      </c>
      <c r="FF40" s="3">
        <v>130</v>
      </c>
      <c r="FG40" s="3">
        <v>168</v>
      </c>
      <c r="FH40" s="19">
        <v>0.54393305439330542</v>
      </c>
      <c r="FI40" s="19">
        <v>0.70292887029288698</v>
      </c>
      <c r="FJ40" s="19">
        <v>0.48058990740273499</v>
      </c>
      <c r="FK40" s="19">
        <v>0.60588621530441222</v>
      </c>
      <c r="FL40" s="19">
        <v>0.64215388951563079</v>
      </c>
      <c r="FM40" s="104">
        <v>0.75728343917928798</v>
      </c>
      <c r="FN40" s="438">
        <v>221</v>
      </c>
      <c r="FO40" s="438">
        <v>119</v>
      </c>
      <c r="FP40" s="438">
        <v>47</v>
      </c>
      <c r="FQ40" s="438">
        <v>166</v>
      </c>
      <c r="FR40" s="497">
        <v>0.53846153846153844</v>
      </c>
      <c r="FS40" s="497">
        <v>0.75113122171945701</v>
      </c>
      <c r="FT40" s="497">
        <v>0.47263958546277096</v>
      </c>
      <c r="FU40" s="497">
        <v>0.60296924615202974</v>
      </c>
      <c r="FV40" s="497">
        <v>0.69016435041144941</v>
      </c>
      <c r="FW40" s="104">
        <v>0.80351684424989611</v>
      </c>
      <c r="FX40" s="438">
        <v>325</v>
      </c>
      <c r="FY40" s="438">
        <v>16</v>
      </c>
      <c r="FZ40" s="438">
        <v>309</v>
      </c>
      <c r="GA40" s="497">
        <v>0.95076923076923081</v>
      </c>
      <c r="GB40" s="438">
        <v>150</v>
      </c>
      <c r="GC40" s="438">
        <v>67</v>
      </c>
      <c r="GD40" s="438">
        <v>217</v>
      </c>
      <c r="GE40" s="497">
        <v>0.4854368932038835</v>
      </c>
      <c r="GF40" s="497">
        <v>0.70226537216828477</v>
      </c>
      <c r="GG40" s="497">
        <v>0.43023304383854732</v>
      </c>
      <c r="GH40" s="497">
        <v>0.54099839065889133</v>
      </c>
      <c r="GI40" s="497">
        <v>0.64905083179104517</v>
      </c>
      <c r="GJ40" s="104">
        <v>0.75051257796675186</v>
      </c>
      <c r="GK40" s="3">
        <v>194</v>
      </c>
      <c r="GL40" s="3">
        <v>7</v>
      </c>
      <c r="GM40" s="19">
        <v>3.608247422680412E-2</v>
      </c>
      <c r="GN40" s="19">
        <v>1.758630667851303E-2</v>
      </c>
      <c r="GO40" s="19">
        <v>7.2594279974277642E-2</v>
      </c>
      <c r="GP40" s="353" t="s">
        <v>726</v>
      </c>
      <c r="GQ40" s="3">
        <v>208</v>
      </c>
      <c r="GR40" s="3">
        <v>7</v>
      </c>
      <c r="GS40" s="19">
        <v>3.3653846153846152E-2</v>
      </c>
      <c r="GT40" s="19">
        <v>1.6395766201128759E-2</v>
      </c>
      <c r="GU40" s="19">
        <v>6.782504175599266E-2</v>
      </c>
      <c r="GV40" s="3" t="s">
        <v>726</v>
      </c>
      <c r="GW40" s="3">
        <v>226</v>
      </c>
      <c r="GX40" s="3">
        <v>10</v>
      </c>
      <c r="GY40" s="19">
        <v>4.4247787610619468E-2</v>
      </c>
      <c r="GZ40" s="19">
        <v>2.4209353106802618E-2</v>
      </c>
      <c r="HA40" s="19">
        <v>7.9520665589665557E-2</v>
      </c>
      <c r="HB40" s="3" t="s">
        <v>726</v>
      </c>
      <c r="HC40" s="3">
        <v>234</v>
      </c>
      <c r="HD40" s="3">
        <v>9</v>
      </c>
      <c r="HE40" s="19">
        <v>3.8461538461538464E-2</v>
      </c>
      <c r="HF40" s="19">
        <v>2.0364448140159225E-2</v>
      </c>
      <c r="HG40" s="19">
        <v>7.1467560160631355E-2</v>
      </c>
      <c r="HH40" s="3" t="s">
        <v>726</v>
      </c>
      <c r="HI40" s="3">
        <v>165</v>
      </c>
      <c r="HJ40" s="3">
        <v>3</v>
      </c>
      <c r="HK40" s="19">
        <v>1.8181818181818181E-2</v>
      </c>
      <c r="HL40" s="19">
        <v>6.2024105495363524E-3</v>
      </c>
      <c r="HM40" s="19">
        <v>5.2085754510358885E-2</v>
      </c>
      <c r="HN40" s="11" t="s">
        <v>726</v>
      </c>
      <c r="HO40" s="11">
        <v>229</v>
      </c>
      <c r="HP40" s="11">
        <v>12</v>
      </c>
      <c r="HQ40" s="497">
        <v>5.2401746724890827E-2</v>
      </c>
      <c r="HR40" s="497">
        <v>3.0226839932339215E-2</v>
      </c>
      <c r="HS40" s="497">
        <v>8.9345760933961793E-2</v>
      </c>
      <c r="HT40" s="8" t="str">
        <f t="shared" si="0"/>
        <v>Sig better than Eng.</v>
      </c>
      <c r="HU40" s="3">
        <v>165</v>
      </c>
      <c r="HV40" s="3">
        <v>20</v>
      </c>
      <c r="HW40" s="19">
        <v>0.12121212121212122</v>
      </c>
      <c r="HX40" s="19">
        <v>7.9852303583502038E-2</v>
      </c>
      <c r="HY40" s="19">
        <v>0.17980820353905713</v>
      </c>
      <c r="HZ40" s="3" t="s">
        <v>726</v>
      </c>
      <c r="IA40" s="3">
        <v>144</v>
      </c>
      <c r="IB40" s="3">
        <v>14</v>
      </c>
      <c r="IC40" s="19">
        <v>9.7222222222222224E-2</v>
      </c>
      <c r="ID40" s="19">
        <v>5.8799052664080885E-2</v>
      </c>
      <c r="IE40" s="19">
        <v>0.15657665503447649</v>
      </c>
      <c r="IF40" s="3" t="s">
        <v>726</v>
      </c>
      <c r="IG40" s="3">
        <v>168</v>
      </c>
      <c r="IH40" s="3">
        <v>17</v>
      </c>
      <c r="II40" s="19">
        <v>0.10119047619047619</v>
      </c>
      <c r="IJ40" s="19">
        <v>6.4142045214917287E-2</v>
      </c>
      <c r="IK40" s="19">
        <v>0.15606941644509648</v>
      </c>
      <c r="IL40" s="3" t="s">
        <v>726</v>
      </c>
      <c r="IM40" s="3">
        <v>157</v>
      </c>
      <c r="IN40" s="3">
        <v>14</v>
      </c>
      <c r="IO40" s="19">
        <v>8.9171974522292988E-2</v>
      </c>
      <c r="IP40" s="19">
        <v>5.3860798787169005E-2</v>
      </c>
      <c r="IQ40" s="19">
        <v>0.14410718194465799</v>
      </c>
      <c r="IR40" s="3" t="s">
        <v>726</v>
      </c>
      <c r="IS40" s="3">
        <v>185</v>
      </c>
      <c r="IT40" s="3">
        <v>13</v>
      </c>
      <c r="IU40" s="19">
        <v>7.0270270270270274E-2</v>
      </c>
      <c r="IV40" s="19">
        <v>4.1522959008071361E-2</v>
      </c>
      <c r="IW40" s="19">
        <v>0.11650091460025916</v>
      </c>
      <c r="IX40" s="580" t="s">
        <v>726</v>
      </c>
      <c r="IY40" s="580">
        <v>200</v>
      </c>
      <c r="IZ40" s="580">
        <v>15</v>
      </c>
      <c r="JA40" s="497">
        <v>7.4999999999999997E-2</v>
      </c>
      <c r="JB40" s="497">
        <v>4.5974917184382014E-2</v>
      </c>
      <c r="JC40" s="497">
        <v>0.12004361023629456</v>
      </c>
      <c r="JD40" s="371" t="str">
        <f t="shared" si="1"/>
        <v>Sig better than Eng.</v>
      </c>
      <c r="JE40" s="3">
        <v>272</v>
      </c>
      <c r="JF40" s="3">
        <v>163</v>
      </c>
      <c r="JG40" s="19">
        <v>0.59926470588235292</v>
      </c>
      <c r="JH40" s="19">
        <v>0.54003535664635594</v>
      </c>
      <c r="JI40" s="19">
        <v>0.6557292692763258</v>
      </c>
      <c r="JJ40" s="3">
        <v>272</v>
      </c>
      <c r="JK40" s="3">
        <v>34</v>
      </c>
      <c r="JL40" s="3">
        <v>54</v>
      </c>
      <c r="JM40" s="383">
        <v>27.407407407407408</v>
      </c>
      <c r="JN40" s="19">
        <v>0.19389978213507622</v>
      </c>
      <c r="JO40" s="3">
        <v>291</v>
      </c>
      <c r="JP40" s="3">
        <v>187</v>
      </c>
      <c r="JQ40" s="19">
        <v>0.6426116838487973</v>
      </c>
      <c r="JR40" s="19">
        <v>0.58602068090959913</v>
      </c>
      <c r="JS40" s="19">
        <v>0.69548654108008678</v>
      </c>
      <c r="JT40" s="3">
        <v>291</v>
      </c>
      <c r="JU40" s="3">
        <v>34</v>
      </c>
      <c r="JV40" s="3">
        <v>58</v>
      </c>
      <c r="JW40" s="383">
        <v>28.379310344827584</v>
      </c>
      <c r="JX40" s="20">
        <v>0.16531440162271813</v>
      </c>
      <c r="JY40" s="44">
        <v>290</v>
      </c>
      <c r="JZ40" s="44">
        <v>186</v>
      </c>
      <c r="KA40" s="20">
        <v>0.64137931034482754</v>
      </c>
      <c r="KB40" s="20">
        <v>0.58466376766075345</v>
      </c>
      <c r="KC40" s="20">
        <v>0.69439828276977289</v>
      </c>
      <c r="KD40" s="438">
        <v>34</v>
      </c>
      <c r="KE40" s="438">
        <v>58</v>
      </c>
      <c r="KF40" s="384">
        <v>26.4</v>
      </c>
      <c r="KG40" s="104">
        <v>0.222</v>
      </c>
      <c r="KH40" s="19">
        <v>0.88936076994900526</v>
      </c>
      <c r="KI40" s="19">
        <v>3.9210658622423331E-2</v>
      </c>
      <c r="KJ40" s="19">
        <v>2.1261640780226743E-2</v>
      </c>
      <c r="KK40" s="19">
        <v>8.0052890963794948E-2</v>
      </c>
      <c r="KL40" s="19">
        <v>0.91070530776413128</v>
      </c>
      <c r="KM40" s="19">
        <v>1.7866120807297277E-2</v>
      </c>
      <c r="KN40" s="19">
        <v>8.1306524115839253E-3</v>
      </c>
      <c r="KO40" s="19">
        <v>5.2334539866256941E-2</v>
      </c>
      <c r="KP40" s="19">
        <v>0.89753070458952811</v>
      </c>
      <c r="KQ40" s="19">
        <v>3.1040723981900449E-2</v>
      </c>
      <c r="KR40" s="19">
        <v>1.4399085841634563E-2</v>
      </c>
      <c r="KS40" s="19">
        <v>6.6490776169296717E-2</v>
      </c>
      <c r="KT40" s="19">
        <v>0.82585191769015309</v>
      </c>
      <c r="KU40" s="19">
        <v>0.10271951088127559</v>
      </c>
      <c r="KV40" s="19">
        <v>7.6896904231561619E-2</v>
      </c>
      <c r="KW40" s="104">
        <v>0.16739031564409299</v>
      </c>
      <c r="KX40" s="438">
        <v>4</v>
      </c>
      <c r="KY40" s="438">
        <v>139</v>
      </c>
      <c r="KZ40" s="497">
        <v>2.8776978417266189E-2</v>
      </c>
      <c r="LA40" s="497">
        <v>1.1246508362848887E-2</v>
      </c>
      <c r="LB40" s="497">
        <v>7.1652804752949356E-2</v>
      </c>
      <c r="LC40" s="438">
        <v>3</v>
      </c>
      <c r="LD40" s="438">
        <v>139</v>
      </c>
      <c r="LE40" s="497">
        <v>2.1582733812949641E-2</v>
      </c>
      <c r="LF40" s="497">
        <v>7.3668144437849456E-3</v>
      </c>
      <c r="LG40" s="497">
        <v>6.1530961467674339E-2</v>
      </c>
      <c r="LH40" s="438">
        <v>4</v>
      </c>
      <c r="LI40" s="438">
        <v>139</v>
      </c>
      <c r="LJ40" s="497">
        <v>2.8776978417266189E-2</v>
      </c>
      <c r="LK40" s="497">
        <v>1.1246508362848887E-2</v>
      </c>
      <c r="LL40" s="497">
        <v>7.1652804752949356E-2</v>
      </c>
      <c r="LM40" s="438">
        <v>10</v>
      </c>
      <c r="LN40" s="438">
        <v>139</v>
      </c>
      <c r="LO40" s="497">
        <v>7.1942446043165464E-2</v>
      </c>
      <c r="LP40" s="497">
        <v>3.954423854532229E-2</v>
      </c>
      <c r="LQ40" s="104">
        <v>0.12736429779650968</v>
      </c>
      <c r="LR40" s="3">
        <v>72</v>
      </c>
      <c r="LS40" s="3">
        <v>69</v>
      </c>
      <c r="LT40" s="3">
        <v>70</v>
      </c>
      <c r="LU40" s="3">
        <v>70</v>
      </c>
      <c r="LV40" s="3">
        <v>70</v>
      </c>
      <c r="LW40" s="3">
        <v>69</v>
      </c>
      <c r="LX40" s="3">
        <v>66</v>
      </c>
      <c r="LY40" s="3">
        <v>65</v>
      </c>
      <c r="LZ40" s="3">
        <v>64</v>
      </c>
      <c r="MA40" s="3">
        <v>66</v>
      </c>
      <c r="MB40" s="3">
        <v>66</v>
      </c>
      <c r="MC40" s="3">
        <v>63</v>
      </c>
      <c r="MD40" s="3">
        <v>68</v>
      </c>
      <c r="ME40" s="3">
        <v>86</v>
      </c>
      <c r="MF40" s="3">
        <v>81</v>
      </c>
      <c r="MG40" s="3">
        <v>77</v>
      </c>
      <c r="MH40" s="3">
        <v>73</v>
      </c>
      <c r="MI40" s="3">
        <v>77</v>
      </c>
      <c r="MJ40" s="3">
        <v>76</v>
      </c>
      <c r="MK40" s="3">
        <v>75</v>
      </c>
      <c r="ML40" s="3">
        <v>83</v>
      </c>
      <c r="MM40" s="3">
        <v>80</v>
      </c>
      <c r="MN40" s="8">
        <v>79</v>
      </c>
      <c r="MO40" s="3">
        <v>345</v>
      </c>
      <c r="MP40" s="24">
        <v>0.97699999999999998</v>
      </c>
      <c r="MQ40" s="24">
        <v>0.02</v>
      </c>
      <c r="MR40" s="24">
        <v>0.98299999999999998</v>
      </c>
      <c r="MS40" s="3">
        <v>337</v>
      </c>
      <c r="MT40" s="3">
        <v>7</v>
      </c>
      <c r="MU40" s="3">
        <v>339</v>
      </c>
      <c r="MV40" s="3">
        <v>369</v>
      </c>
      <c r="MW40" s="24">
        <v>0.97599999999999998</v>
      </c>
      <c r="MX40" s="24">
        <v>0.93</v>
      </c>
      <c r="MY40" s="24">
        <v>0.94</v>
      </c>
      <c r="MZ40" s="24">
        <v>0.94</v>
      </c>
      <c r="NA40" s="24">
        <v>0.94299999999999995</v>
      </c>
      <c r="NB40" s="3">
        <v>360</v>
      </c>
      <c r="NC40" s="3">
        <v>343</v>
      </c>
      <c r="ND40" s="3">
        <v>347</v>
      </c>
      <c r="NE40" s="3">
        <v>347</v>
      </c>
      <c r="NF40" s="3">
        <v>348</v>
      </c>
      <c r="NG40" s="3">
        <v>406</v>
      </c>
      <c r="NH40" s="24">
        <v>0.96799999999999997</v>
      </c>
      <c r="NI40" s="24">
        <v>0.92100000000000004</v>
      </c>
      <c r="NJ40" s="24">
        <v>0.96799999999999997</v>
      </c>
      <c r="NK40" s="24">
        <v>0.96799999999999997</v>
      </c>
      <c r="NL40" s="24">
        <v>0.97299999999999998</v>
      </c>
      <c r="NM40" s="24">
        <v>0.90900000000000003</v>
      </c>
      <c r="NN40" s="24">
        <v>0.94799999999999995</v>
      </c>
      <c r="NO40" s="24">
        <v>0.91600000000000004</v>
      </c>
      <c r="NP40" s="24">
        <v>0.97799999999999998</v>
      </c>
      <c r="NQ40" s="24">
        <v>0.93799999999999994</v>
      </c>
      <c r="NR40" s="3">
        <v>393</v>
      </c>
      <c r="NS40" s="3">
        <v>374</v>
      </c>
      <c r="NT40" s="3">
        <v>393</v>
      </c>
      <c r="NU40" s="3">
        <v>393</v>
      </c>
      <c r="NV40" s="3">
        <v>395</v>
      </c>
      <c r="NW40" s="3">
        <v>369</v>
      </c>
      <c r="NX40" s="3">
        <v>385</v>
      </c>
      <c r="NY40" s="3">
        <v>372</v>
      </c>
      <c r="NZ40" s="3">
        <v>397</v>
      </c>
      <c r="OA40" s="8">
        <v>381</v>
      </c>
    </row>
    <row r="41" spans="1:391" s="3" customFormat="1" ht="12.75" x14ac:dyDescent="0.2">
      <c r="A41" s="11" t="s">
        <v>66</v>
      </c>
      <c r="B41" s="8">
        <v>36</v>
      </c>
      <c r="C41" s="11" t="s">
        <v>242</v>
      </c>
      <c r="D41" s="11" t="s">
        <v>243</v>
      </c>
      <c r="E41" s="11" t="s">
        <v>287</v>
      </c>
      <c r="F41" s="11" t="s">
        <v>287</v>
      </c>
      <c r="G41" s="11" t="s">
        <v>244</v>
      </c>
      <c r="H41" s="11" t="s">
        <v>81</v>
      </c>
      <c r="I41" s="11" t="s">
        <v>81</v>
      </c>
      <c r="J41" s="11" t="s">
        <v>271</v>
      </c>
      <c r="K41" s="11" t="s">
        <v>391</v>
      </c>
      <c r="L41" s="11" t="s">
        <v>276</v>
      </c>
      <c r="M41" s="11" t="s">
        <v>360</v>
      </c>
      <c r="N41" s="3" t="s">
        <v>81</v>
      </c>
      <c r="O41" s="11">
        <v>530911</v>
      </c>
      <c r="P41" s="11">
        <v>119696</v>
      </c>
      <c r="Q41" s="128">
        <v>22721</v>
      </c>
      <c r="R41" s="128" t="s">
        <v>287</v>
      </c>
      <c r="S41" s="400" t="s">
        <v>817</v>
      </c>
      <c r="T41" s="38">
        <v>18330</v>
      </c>
      <c r="U41" s="39">
        <v>18385</v>
      </c>
      <c r="V41" s="39">
        <v>18520</v>
      </c>
      <c r="W41" s="39">
        <v>18660</v>
      </c>
      <c r="X41" s="39">
        <v>18865</v>
      </c>
      <c r="Y41" s="39">
        <v>18970</v>
      </c>
      <c r="Z41" s="39">
        <v>19140</v>
      </c>
      <c r="AA41" s="39">
        <v>19245</v>
      </c>
      <c r="AB41" s="39">
        <v>19340</v>
      </c>
      <c r="AC41" s="44">
        <v>19572</v>
      </c>
      <c r="AD41" s="38">
        <v>945</v>
      </c>
      <c r="AE41" s="39">
        <v>975</v>
      </c>
      <c r="AF41" s="39">
        <v>985</v>
      </c>
      <c r="AG41" s="39">
        <v>970</v>
      </c>
      <c r="AH41" s="39">
        <v>975</v>
      </c>
      <c r="AI41" s="39">
        <v>980</v>
      </c>
      <c r="AJ41" s="39">
        <v>1035</v>
      </c>
      <c r="AK41" s="39">
        <v>1055</v>
      </c>
      <c r="AL41" s="39">
        <v>1050</v>
      </c>
      <c r="AM41" s="44">
        <v>1051</v>
      </c>
      <c r="AN41" s="15">
        <v>1041</v>
      </c>
      <c r="AO41" s="3">
        <v>869</v>
      </c>
      <c r="AP41" s="3">
        <v>40</v>
      </c>
      <c r="AQ41" s="3">
        <v>44</v>
      </c>
      <c r="AR41" s="3">
        <v>73</v>
      </c>
      <c r="AS41" s="3">
        <v>12</v>
      </c>
      <c r="AT41" s="3">
        <v>3</v>
      </c>
      <c r="AU41" s="11">
        <v>172</v>
      </c>
      <c r="AV41" s="18">
        <v>0.83477425552353501</v>
      </c>
      <c r="AW41" s="19">
        <v>3.8424591738712779E-2</v>
      </c>
      <c r="AX41" s="19">
        <v>4.226705091258405E-2</v>
      </c>
      <c r="AY41" s="19">
        <v>7.0124879923150821E-2</v>
      </c>
      <c r="AZ41" s="19">
        <v>1.1527377521613832E-2</v>
      </c>
      <c r="BA41" s="19">
        <v>2.881844380403458E-3</v>
      </c>
      <c r="BB41" s="20">
        <v>0.16522574447646499</v>
      </c>
      <c r="BC41" s="15">
        <v>2703</v>
      </c>
      <c r="BD41" s="3">
        <v>2643</v>
      </c>
      <c r="BE41" s="3">
        <v>60</v>
      </c>
      <c r="BF41" s="3">
        <v>50</v>
      </c>
      <c r="BG41" s="3">
        <v>10</v>
      </c>
      <c r="BH41" s="19">
        <v>0.83333333333333337</v>
      </c>
      <c r="BI41" s="20">
        <v>0.16666666666666666</v>
      </c>
      <c r="BJ41" s="15">
        <v>2002</v>
      </c>
      <c r="BK41" s="19">
        <v>0.72177822177822182</v>
      </c>
      <c r="BL41" s="19">
        <v>0.12387612387612387</v>
      </c>
      <c r="BM41" s="20">
        <v>0.15434565434565434</v>
      </c>
      <c r="BN41" s="38">
        <v>5648</v>
      </c>
      <c r="BO41" s="39">
        <v>335</v>
      </c>
      <c r="BP41" s="39">
        <v>330</v>
      </c>
      <c r="BQ41" s="39">
        <v>155</v>
      </c>
      <c r="BR41" s="39">
        <v>3896</v>
      </c>
      <c r="BS41" s="39">
        <v>2200</v>
      </c>
      <c r="BT41" s="20">
        <v>0.14727272727272728</v>
      </c>
      <c r="BU41" s="38">
        <v>1469</v>
      </c>
      <c r="BV41" s="39">
        <v>1</v>
      </c>
      <c r="BW41" s="39">
        <v>274</v>
      </c>
      <c r="BX41" s="39">
        <v>334</v>
      </c>
      <c r="BY41" s="39">
        <v>127</v>
      </c>
      <c r="BZ41" s="40">
        <v>2205</v>
      </c>
      <c r="CA41" s="39">
        <v>825</v>
      </c>
      <c r="CB41" s="39">
        <v>733</v>
      </c>
      <c r="CC41" s="39">
        <v>90</v>
      </c>
      <c r="CD41" s="39">
        <v>92</v>
      </c>
      <c r="CE41" s="19">
        <v>0.10909090909090909</v>
      </c>
      <c r="CF41" s="104">
        <v>0.11151515151515151</v>
      </c>
      <c r="CG41" s="39">
        <v>90</v>
      </c>
      <c r="CH41" s="39">
        <v>75</v>
      </c>
      <c r="CI41" s="39">
        <v>65</v>
      </c>
      <c r="CJ41" s="39">
        <v>60</v>
      </c>
      <c r="CK41" s="44">
        <v>75</v>
      </c>
      <c r="CL41" s="38">
        <v>332</v>
      </c>
      <c r="CM41" s="39">
        <v>85</v>
      </c>
      <c r="CN41" s="19">
        <v>0.25602409638554219</v>
      </c>
      <c r="CO41" s="40">
        <v>24</v>
      </c>
      <c r="CP41" s="39">
        <v>191</v>
      </c>
      <c r="CQ41" s="39">
        <v>214</v>
      </c>
      <c r="CR41" s="39">
        <v>186</v>
      </c>
      <c r="CS41" s="39">
        <v>194</v>
      </c>
      <c r="CT41" s="39">
        <v>193</v>
      </c>
      <c r="CU41" s="124" t="s">
        <v>474</v>
      </c>
      <c r="CV41" s="39">
        <v>8</v>
      </c>
      <c r="CW41" s="39">
        <v>9</v>
      </c>
      <c r="CX41" s="39">
        <v>5</v>
      </c>
      <c r="CY41" s="39">
        <v>3</v>
      </c>
      <c r="CZ41" s="39">
        <v>7</v>
      </c>
      <c r="DA41" s="120" t="s">
        <v>474</v>
      </c>
      <c r="DB41" s="15">
        <v>11</v>
      </c>
      <c r="DC41" s="15">
        <v>9</v>
      </c>
      <c r="DD41" s="19">
        <v>4.6632124352331605E-2</v>
      </c>
      <c r="DE41" s="19">
        <v>2.4724444791412101E-2</v>
      </c>
      <c r="DF41" s="20">
        <v>8.6235202386319071E-2</v>
      </c>
      <c r="DG41" s="15">
        <v>12</v>
      </c>
      <c r="DH41" s="20">
        <v>1.1527377521613832E-2</v>
      </c>
      <c r="DI41" s="423">
        <v>8</v>
      </c>
      <c r="DJ41" s="428">
        <v>8</v>
      </c>
      <c r="DK41" s="3">
        <v>227</v>
      </c>
      <c r="DL41" s="20">
        <v>2.8865717192268565E-2</v>
      </c>
      <c r="DM41" s="15">
        <v>120</v>
      </c>
      <c r="DN41" s="3">
        <v>120</v>
      </c>
      <c r="DO41" s="3">
        <v>130</v>
      </c>
      <c r="DP41" s="3">
        <v>110</v>
      </c>
      <c r="DQ41" s="11">
        <v>90</v>
      </c>
      <c r="DR41" s="15">
        <v>95</v>
      </c>
      <c r="DS41" s="19">
        <v>0.1043956043956044</v>
      </c>
      <c r="DT41" s="19">
        <v>8.6164016714191882E-2</v>
      </c>
      <c r="DU41" s="19">
        <v>0.12595314753752104</v>
      </c>
      <c r="DV41" s="3">
        <v>115</v>
      </c>
      <c r="DW41" s="19">
        <v>0.12568306010928962</v>
      </c>
      <c r="DX41" s="19">
        <v>0.10575706592096992</v>
      </c>
      <c r="DY41" s="19">
        <v>0.14873891548677229</v>
      </c>
      <c r="DZ41" s="3">
        <v>115</v>
      </c>
      <c r="EA41" s="19">
        <v>0.12105263157894737</v>
      </c>
      <c r="EB41" s="19">
        <v>0.10182221414585917</v>
      </c>
      <c r="EC41" s="19">
        <v>0.14333536068823319</v>
      </c>
      <c r="ED41" s="3">
        <v>95</v>
      </c>
      <c r="EE41" s="19">
        <v>9.5477386934673364E-2</v>
      </c>
      <c r="EF41" s="19">
        <v>7.8742187918511522E-2</v>
      </c>
      <c r="EG41" s="19">
        <v>0.11532410469368906</v>
      </c>
      <c r="EH41" s="3">
        <v>120</v>
      </c>
      <c r="EI41" s="20">
        <v>0.12060301507537688</v>
      </c>
      <c r="EJ41" s="20">
        <v>0.10181322308936515</v>
      </c>
      <c r="EK41" s="20">
        <v>0.14231106377052485</v>
      </c>
      <c r="EL41" s="438">
        <v>95</v>
      </c>
      <c r="EM41" s="20">
        <v>0.10674157303370786</v>
      </c>
      <c r="EN41" s="20">
        <v>8.8118324177239707E-2</v>
      </c>
      <c r="EO41" s="104">
        <v>0.12874503219072553</v>
      </c>
      <c r="EP41" s="38">
        <v>325</v>
      </c>
      <c r="EQ41" s="20">
        <v>0.10046367851622875</v>
      </c>
      <c r="ER41" s="44">
        <v>365</v>
      </c>
      <c r="ES41" s="20">
        <v>0.1123076923076923</v>
      </c>
      <c r="ET41" s="44">
        <v>335</v>
      </c>
      <c r="EU41" s="20">
        <v>0.10403726708074534</v>
      </c>
      <c r="EV41" s="44">
        <v>320</v>
      </c>
      <c r="EW41" s="20">
        <v>9.8461538461538461E-2</v>
      </c>
      <c r="EX41" s="44">
        <v>305</v>
      </c>
      <c r="EY41" s="20">
        <v>9.3558282208588958E-2</v>
      </c>
      <c r="EZ41" s="44">
        <v>285</v>
      </c>
      <c r="FA41" s="104">
        <v>8.9622641509433956E-2</v>
      </c>
      <c r="FB41" s="3">
        <v>192</v>
      </c>
      <c r="FC41" s="3">
        <v>1</v>
      </c>
      <c r="FD41" s="3">
        <v>191</v>
      </c>
      <c r="FE41" s="19">
        <v>0.99479166666666663</v>
      </c>
      <c r="FF41" s="3">
        <v>88</v>
      </c>
      <c r="FG41" s="3">
        <v>111</v>
      </c>
      <c r="FH41" s="19">
        <v>0.4607329842931937</v>
      </c>
      <c r="FI41" s="19">
        <v>0.58115183246073299</v>
      </c>
      <c r="FJ41" s="19">
        <v>0.39151197448052188</v>
      </c>
      <c r="FK41" s="19">
        <v>0.5315024125908222</v>
      </c>
      <c r="FL41" s="19">
        <v>0.51025644147427418</v>
      </c>
      <c r="FM41" s="104">
        <v>0.64884715857828135</v>
      </c>
      <c r="FN41" s="438">
        <v>194</v>
      </c>
      <c r="FO41" s="438">
        <v>85</v>
      </c>
      <c r="FP41" s="438">
        <v>33</v>
      </c>
      <c r="FQ41" s="438">
        <v>118</v>
      </c>
      <c r="FR41" s="497">
        <v>0.43814432989690721</v>
      </c>
      <c r="FS41" s="497">
        <v>0.60824742268041232</v>
      </c>
      <c r="FT41" s="497">
        <v>0.37019795862675703</v>
      </c>
      <c r="FU41" s="497">
        <v>0.50849278626028172</v>
      </c>
      <c r="FV41" s="497">
        <v>0.53809330794947507</v>
      </c>
      <c r="FW41" s="104">
        <v>0.67419788849820705</v>
      </c>
      <c r="FX41" s="438">
        <v>258</v>
      </c>
      <c r="FY41" s="438">
        <v>5</v>
      </c>
      <c r="FZ41" s="438">
        <v>253</v>
      </c>
      <c r="GA41" s="497">
        <v>0.98062015503875966</v>
      </c>
      <c r="GB41" s="438">
        <v>109</v>
      </c>
      <c r="GC41" s="438">
        <v>42</v>
      </c>
      <c r="GD41" s="438">
        <v>151</v>
      </c>
      <c r="GE41" s="497">
        <v>0.43083003952569171</v>
      </c>
      <c r="GF41" s="497">
        <v>0.59683794466403162</v>
      </c>
      <c r="GG41" s="497">
        <v>0.37129524001027081</v>
      </c>
      <c r="GH41" s="497">
        <v>0.49243392520820678</v>
      </c>
      <c r="GI41" s="497">
        <v>0.53538145323921327</v>
      </c>
      <c r="GJ41" s="104">
        <v>0.6553977154549181</v>
      </c>
      <c r="GK41" s="3">
        <v>158</v>
      </c>
      <c r="GL41" s="3">
        <v>14</v>
      </c>
      <c r="GM41" s="19">
        <v>8.8607594936708861E-2</v>
      </c>
      <c r="GN41" s="19">
        <v>5.3515080428758875E-2</v>
      </c>
      <c r="GO41" s="19">
        <v>0.14322967862566621</v>
      </c>
      <c r="GP41" s="353" t="s">
        <v>725</v>
      </c>
      <c r="GQ41" s="3">
        <v>169</v>
      </c>
      <c r="GR41" s="3">
        <v>14</v>
      </c>
      <c r="GS41" s="19">
        <v>8.2840236686390539E-2</v>
      </c>
      <c r="GT41" s="19">
        <v>4.9985852761348988E-2</v>
      </c>
      <c r="GU41" s="19">
        <v>0.13423764915740352</v>
      </c>
      <c r="GV41" s="3" t="s">
        <v>725</v>
      </c>
      <c r="GW41" s="3">
        <v>180</v>
      </c>
      <c r="GX41" s="3">
        <v>10</v>
      </c>
      <c r="GY41" s="19">
        <v>5.5555555555555552E-2</v>
      </c>
      <c r="GZ41" s="19">
        <v>3.0453273623977831E-2</v>
      </c>
      <c r="HA41" s="19">
        <v>9.9231613417455969E-2</v>
      </c>
      <c r="HB41" s="3" t="s">
        <v>725</v>
      </c>
      <c r="HC41" s="3">
        <v>134</v>
      </c>
      <c r="HD41" s="3">
        <v>11</v>
      </c>
      <c r="HE41" s="19">
        <v>8.2089552238805971E-2</v>
      </c>
      <c r="HF41" s="19">
        <v>4.6454325805087827E-2</v>
      </c>
      <c r="HG41" s="19">
        <v>0.14101799958802202</v>
      </c>
      <c r="HH41" s="3" t="s">
        <v>725</v>
      </c>
      <c r="HI41" s="3">
        <v>108</v>
      </c>
      <c r="HJ41" s="3">
        <v>6</v>
      </c>
      <c r="HK41" s="19">
        <v>5.5555555555555552E-2</v>
      </c>
      <c r="HL41" s="19">
        <v>2.5707729609183883E-2</v>
      </c>
      <c r="HM41" s="19">
        <v>0.11593436794331123</v>
      </c>
      <c r="HN41" s="11" t="s">
        <v>725</v>
      </c>
      <c r="HO41" s="11">
        <v>169</v>
      </c>
      <c r="HP41" s="11">
        <v>11</v>
      </c>
      <c r="HQ41" s="497">
        <v>6.5088757396449703E-2</v>
      </c>
      <c r="HR41" s="497">
        <v>3.6729903670853138E-2</v>
      </c>
      <c r="HS41" s="497">
        <v>0.11277970471252712</v>
      </c>
      <c r="HT41" s="8" t="str">
        <f t="shared" si="0"/>
        <v>No Sig diff</v>
      </c>
      <c r="HU41" s="3">
        <v>190</v>
      </c>
      <c r="HV41" s="3">
        <v>26</v>
      </c>
      <c r="HW41" s="19">
        <v>0.1368421052631579</v>
      </c>
      <c r="HX41" s="19">
        <v>9.5125099973102326E-2</v>
      </c>
      <c r="HY41" s="19">
        <v>0.19295289510816771</v>
      </c>
      <c r="HZ41" s="3" t="s">
        <v>725</v>
      </c>
      <c r="IA41" s="3">
        <v>159</v>
      </c>
      <c r="IB41" s="3">
        <v>18</v>
      </c>
      <c r="IC41" s="19">
        <v>0.11320754716981132</v>
      </c>
      <c r="ID41" s="19">
        <v>7.2819302607958283E-2</v>
      </c>
      <c r="IE41" s="19">
        <v>0.17184479650554718</v>
      </c>
      <c r="IF41" s="3" t="s">
        <v>726</v>
      </c>
      <c r="IG41" s="3">
        <v>164</v>
      </c>
      <c r="IH41" s="3">
        <v>17</v>
      </c>
      <c r="II41" s="19">
        <v>0.10365853658536585</v>
      </c>
      <c r="IJ41" s="19">
        <v>6.573150818853768E-2</v>
      </c>
      <c r="IK41" s="19">
        <v>0.15972803611344755</v>
      </c>
      <c r="IL41" s="3" t="s">
        <v>726</v>
      </c>
      <c r="IM41" s="3">
        <v>150</v>
      </c>
      <c r="IN41" s="3">
        <v>21</v>
      </c>
      <c r="IO41" s="19">
        <v>0.14000000000000001</v>
      </c>
      <c r="IP41" s="19">
        <v>9.3426488185517978E-2</v>
      </c>
      <c r="IQ41" s="19">
        <v>0.20455208775949715</v>
      </c>
      <c r="IR41" s="3" t="s">
        <v>725</v>
      </c>
      <c r="IS41" s="3">
        <v>170</v>
      </c>
      <c r="IT41" s="3">
        <v>29</v>
      </c>
      <c r="IU41" s="19">
        <v>0.17058823529411765</v>
      </c>
      <c r="IV41" s="19">
        <v>0.1214802387930996</v>
      </c>
      <c r="IW41" s="19">
        <v>0.23425457406577926</v>
      </c>
      <c r="IX41" s="580" t="s">
        <v>725</v>
      </c>
      <c r="IY41" s="580">
        <v>174</v>
      </c>
      <c r="IZ41" s="580">
        <v>29</v>
      </c>
      <c r="JA41" s="497">
        <v>0.16666666666666666</v>
      </c>
      <c r="JB41" s="497">
        <v>0.11862275244448894</v>
      </c>
      <c r="JC41" s="497">
        <v>0.22911089319010297</v>
      </c>
      <c r="JD41" s="371" t="str">
        <f t="shared" si="1"/>
        <v>Sig better than Eng.</v>
      </c>
      <c r="JE41" s="3">
        <v>200</v>
      </c>
      <c r="JF41" s="3">
        <v>104</v>
      </c>
      <c r="JG41" s="19">
        <v>0.52</v>
      </c>
      <c r="JH41" s="19">
        <v>0.4510378507281424</v>
      </c>
      <c r="JI41" s="19">
        <v>0.58820833621676694</v>
      </c>
      <c r="JJ41" s="3">
        <v>200</v>
      </c>
      <c r="JK41" s="3">
        <v>34</v>
      </c>
      <c r="JL41" s="3">
        <v>40</v>
      </c>
      <c r="JM41" s="383">
        <v>24.45000000000001</v>
      </c>
      <c r="JN41" s="19">
        <v>0.28088235294117619</v>
      </c>
      <c r="JO41" s="3">
        <v>202</v>
      </c>
      <c r="JP41" s="3">
        <v>134</v>
      </c>
      <c r="JQ41" s="19">
        <v>0.6633663366336634</v>
      </c>
      <c r="JR41" s="19">
        <v>0.59568952589790047</v>
      </c>
      <c r="JS41" s="19">
        <v>0.72494558997295899</v>
      </c>
      <c r="JT41" s="3">
        <v>202</v>
      </c>
      <c r="JU41" s="3">
        <v>35</v>
      </c>
      <c r="JV41" s="3">
        <v>40</v>
      </c>
      <c r="JW41" s="383">
        <v>27.400000000000006</v>
      </c>
      <c r="JX41" s="20">
        <v>0.21714285714285697</v>
      </c>
      <c r="JY41" s="44">
        <v>213</v>
      </c>
      <c r="JZ41" s="44">
        <v>158</v>
      </c>
      <c r="KA41" s="20">
        <v>0.74178403755868549</v>
      </c>
      <c r="KB41" s="20">
        <v>0.67909192644574834</v>
      </c>
      <c r="KC41" s="20">
        <v>0.79590948961265651</v>
      </c>
      <c r="KD41" s="438">
        <v>34</v>
      </c>
      <c r="KE41" s="438">
        <v>42</v>
      </c>
      <c r="KF41" s="384">
        <v>25.1</v>
      </c>
      <c r="KG41" s="104">
        <v>0.26300000000000001</v>
      </c>
      <c r="KH41" s="19">
        <v>0.88718554729584154</v>
      </c>
      <c r="KI41" s="19">
        <v>0.11281445270415857</v>
      </c>
      <c r="KJ41" s="19">
        <v>7.8935572345810806E-2</v>
      </c>
      <c r="KK41" s="19">
        <v>0.18974640797818437</v>
      </c>
      <c r="KL41" s="19">
        <v>0.92006639194139206</v>
      </c>
      <c r="KM41" s="19">
        <v>7.9933608058608052E-2</v>
      </c>
      <c r="KN41" s="19">
        <v>4.5422997117338167E-2</v>
      </c>
      <c r="KO41" s="19">
        <v>0.13805688382692829</v>
      </c>
      <c r="KP41" s="19">
        <v>0.90631995319495318</v>
      </c>
      <c r="KQ41" s="19">
        <v>9.368004680504681E-2</v>
      </c>
      <c r="KR41" s="19">
        <v>5.6294191320769182E-2</v>
      </c>
      <c r="KS41" s="19">
        <v>0.15558638941674016</v>
      </c>
      <c r="KT41" s="19">
        <v>0.74459946371711061</v>
      </c>
      <c r="KU41" s="19">
        <v>0.25540053628288922</v>
      </c>
      <c r="KV41" s="19">
        <v>0.19125353600433309</v>
      </c>
      <c r="KW41" s="104">
        <v>0.3367839006382683</v>
      </c>
      <c r="KX41" s="438">
        <v>11</v>
      </c>
      <c r="KY41" s="438">
        <v>98</v>
      </c>
      <c r="KZ41" s="497">
        <v>0.11224489795918367</v>
      </c>
      <c r="LA41" s="497">
        <v>6.3842699458857469E-2</v>
      </c>
      <c r="LB41" s="497">
        <v>0.18989933369673154</v>
      </c>
      <c r="LC41" s="438">
        <v>9</v>
      </c>
      <c r="LD41" s="438">
        <v>98</v>
      </c>
      <c r="LE41" s="497">
        <v>9.1836734693877556E-2</v>
      </c>
      <c r="LF41" s="497">
        <v>4.9069215145583274E-2</v>
      </c>
      <c r="LG41" s="497">
        <v>0.16539608291293148</v>
      </c>
      <c r="LH41" s="438">
        <v>10</v>
      </c>
      <c r="LI41" s="438">
        <v>98</v>
      </c>
      <c r="LJ41" s="497">
        <v>0.10204081632653061</v>
      </c>
      <c r="LK41" s="497">
        <v>5.637600332589366E-2</v>
      </c>
      <c r="LL41" s="497">
        <v>0.17772766228115822</v>
      </c>
      <c r="LM41" s="438">
        <v>17</v>
      </c>
      <c r="LN41" s="438">
        <v>98</v>
      </c>
      <c r="LO41" s="497">
        <v>0.17346938775510204</v>
      </c>
      <c r="LP41" s="497">
        <v>0.11122131829641894</v>
      </c>
      <c r="LQ41" s="104">
        <v>0.26035092015039285</v>
      </c>
      <c r="LR41" s="3">
        <v>50</v>
      </c>
      <c r="LS41" s="3">
        <v>50</v>
      </c>
      <c r="LT41" s="3">
        <v>50</v>
      </c>
      <c r="LU41" s="3">
        <v>49</v>
      </c>
      <c r="LV41" s="3">
        <v>50</v>
      </c>
      <c r="LW41" s="3">
        <v>62</v>
      </c>
      <c r="LX41" s="3">
        <v>58</v>
      </c>
      <c r="LY41" s="3">
        <v>56</v>
      </c>
      <c r="LZ41" s="3">
        <v>57</v>
      </c>
      <c r="MA41" s="3">
        <v>57</v>
      </c>
      <c r="MB41" s="3">
        <v>57</v>
      </c>
      <c r="MC41" s="3">
        <v>58</v>
      </c>
      <c r="MD41" s="3">
        <v>59</v>
      </c>
      <c r="ME41" s="3">
        <v>66</v>
      </c>
      <c r="MF41" s="3">
        <v>60</v>
      </c>
      <c r="MG41" s="3">
        <v>59</v>
      </c>
      <c r="MH41" s="3">
        <v>63</v>
      </c>
      <c r="MI41" s="3">
        <v>63</v>
      </c>
      <c r="MJ41" s="3">
        <v>63</v>
      </c>
      <c r="MK41" s="3">
        <v>65</v>
      </c>
      <c r="ML41" s="3">
        <v>64</v>
      </c>
      <c r="MM41" s="3">
        <v>63</v>
      </c>
      <c r="MN41" s="8">
        <v>61</v>
      </c>
      <c r="MO41" s="3">
        <v>259</v>
      </c>
      <c r="MP41" s="24">
        <v>0.96499999999999997</v>
      </c>
      <c r="MQ41" s="24">
        <v>1.2E-2</v>
      </c>
      <c r="MR41" s="24">
        <v>0.96499999999999997</v>
      </c>
      <c r="MS41" s="3">
        <v>250</v>
      </c>
      <c r="MT41" s="3">
        <v>3</v>
      </c>
      <c r="MU41" s="3">
        <v>250</v>
      </c>
      <c r="MV41" s="3">
        <v>244</v>
      </c>
      <c r="MW41" s="24">
        <v>0.95499999999999996</v>
      </c>
      <c r="MX41" s="24">
        <v>0.95499999999999996</v>
      </c>
      <c r="MY41" s="24">
        <v>0.95899999999999996</v>
      </c>
      <c r="MZ41" s="24">
        <v>0.95899999999999996</v>
      </c>
      <c r="NA41" s="24">
        <v>0.95899999999999996</v>
      </c>
      <c r="NB41" s="3">
        <v>233</v>
      </c>
      <c r="NC41" s="3">
        <v>233</v>
      </c>
      <c r="ND41" s="3">
        <v>234</v>
      </c>
      <c r="NE41" s="3">
        <v>234</v>
      </c>
      <c r="NF41" s="3">
        <v>234</v>
      </c>
      <c r="NG41" s="3">
        <v>278</v>
      </c>
      <c r="NH41" s="24">
        <v>0.96399999999999997</v>
      </c>
      <c r="NI41" s="24">
        <v>0.94199999999999995</v>
      </c>
      <c r="NJ41" s="24">
        <v>0.96399999999999997</v>
      </c>
      <c r="NK41" s="24">
        <v>0.95699999999999996</v>
      </c>
      <c r="NL41" s="24">
        <v>0.92400000000000004</v>
      </c>
      <c r="NM41" s="24">
        <v>0.80900000000000005</v>
      </c>
      <c r="NN41" s="24">
        <v>0.94599999999999995</v>
      </c>
      <c r="NO41" s="24">
        <v>0.93500000000000005</v>
      </c>
      <c r="NP41" s="24">
        <v>0.93200000000000005</v>
      </c>
      <c r="NQ41" s="24">
        <v>0.92100000000000004</v>
      </c>
      <c r="NR41" s="3">
        <v>268</v>
      </c>
      <c r="NS41" s="3">
        <v>262</v>
      </c>
      <c r="NT41" s="3">
        <v>268</v>
      </c>
      <c r="NU41" s="3">
        <v>266</v>
      </c>
      <c r="NV41" s="3">
        <v>257</v>
      </c>
      <c r="NW41" s="3">
        <v>225</v>
      </c>
      <c r="NX41" s="3">
        <v>263</v>
      </c>
      <c r="NY41" s="3">
        <v>260</v>
      </c>
      <c r="NZ41" s="3">
        <v>259</v>
      </c>
      <c r="OA41" s="8">
        <v>256</v>
      </c>
    </row>
    <row r="42" spans="1:391" s="3" customFormat="1" ht="12.75" x14ac:dyDescent="0.2">
      <c r="A42" s="11" t="s">
        <v>67</v>
      </c>
      <c r="B42" s="8">
        <v>37</v>
      </c>
      <c r="C42" s="11" t="s">
        <v>245</v>
      </c>
      <c r="D42" s="11" t="s">
        <v>246</v>
      </c>
      <c r="E42" s="11" t="s">
        <v>287</v>
      </c>
      <c r="F42" s="11" t="s">
        <v>287</v>
      </c>
      <c r="G42" s="11" t="s">
        <v>241</v>
      </c>
      <c r="H42" s="11" t="s">
        <v>81</v>
      </c>
      <c r="I42" s="11" t="s">
        <v>81</v>
      </c>
      <c r="J42" s="11" t="s">
        <v>271</v>
      </c>
      <c r="K42" s="11" t="s">
        <v>392</v>
      </c>
      <c r="L42" s="11" t="s">
        <v>276</v>
      </c>
      <c r="M42" s="11" t="s">
        <v>361</v>
      </c>
      <c r="N42" s="3" t="s">
        <v>81</v>
      </c>
      <c r="O42" s="11">
        <v>528377</v>
      </c>
      <c r="P42" s="11">
        <v>116526</v>
      </c>
      <c r="Q42" s="128" t="s">
        <v>287</v>
      </c>
      <c r="R42" s="128" t="s">
        <v>287</v>
      </c>
      <c r="S42" s="128" t="s">
        <v>287</v>
      </c>
      <c r="T42" s="38">
        <v>17650</v>
      </c>
      <c r="U42" s="39">
        <v>17895</v>
      </c>
      <c r="V42" s="39">
        <v>18095</v>
      </c>
      <c r="W42" s="39">
        <v>18490</v>
      </c>
      <c r="X42" s="39">
        <v>18770</v>
      </c>
      <c r="Y42" s="39">
        <v>19185</v>
      </c>
      <c r="Z42" s="39">
        <v>19470</v>
      </c>
      <c r="AA42" s="39">
        <v>19695</v>
      </c>
      <c r="AB42" s="39">
        <v>19975</v>
      </c>
      <c r="AC42" s="44">
        <v>20295</v>
      </c>
      <c r="AD42" s="38">
        <v>890</v>
      </c>
      <c r="AE42" s="39">
        <v>920</v>
      </c>
      <c r="AF42" s="39">
        <v>960</v>
      </c>
      <c r="AG42" s="39">
        <v>1000</v>
      </c>
      <c r="AH42" s="39">
        <v>1015</v>
      </c>
      <c r="AI42" s="39">
        <v>1065</v>
      </c>
      <c r="AJ42" s="39">
        <v>1135</v>
      </c>
      <c r="AK42" s="39">
        <v>1170</v>
      </c>
      <c r="AL42" s="39">
        <v>1195</v>
      </c>
      <c r="AM42" s="44">
        <v>1215</v>
      </c>
      <c r="AN42" s="15">
        <v>1131</v>
      </c>
      <c r="AO42" s="3">
        <v>1044</v>
      </c>
      <c r="AP42" s="3">
        <v>32</v>
      </c>
      <c r="AQ42" s="3">
        <v>43</v>
      </c>
      <c r="AR42" s="3">
        <v>10</v>
      </c>
      <c r="AS42" s="3">
        <v>1</v>
      </c>
      <c r="AT42" s="3">
        <v>1</v>
      </c>
      <c r="AU42" s="11">
        <v>87</v>
      </c>
      <c r="AV42" s="18">
        <v>0.92307692307692313</v>
      </c>
      <c r="AW42" s="19">
        <v>2.8293545534924844E-2</v>
      </c>
      <c r="AX42" s="19">
        <v>3.8019451812555262E-2</v>
      </c>
      <c r="AY42" s="19">
        <v>8.8417329796640146E-3</v>
      </c>
      <c r="AZ42" s="19">
        <v>8.8417329796640137E-4</v>
      </c>
      <c r="BA42" s="19">
        <v>8.8417329796640137E-4</v>
      </c>
      <c r="BB42" s="20">
        <v>7.6923076923076872E-2</v>
      </c>
      <c r="BC42" s="15">
        <v>3264</v>
      </c>
      <c r="BD42" s="3">
        <v>3239</v>
      </c>
      <c r="BE42" s="3">
        <v>25</v>
      </c>
      <c r="BF42" s="3">
        <v>24</v>
      </c>
      <c r="BG42" s="3">
        <v>1</v>
      </c>
      <c r="BH42" s="19">
        <v>0.96</v>
      </c>
      <c r="BI42" s="20">
        <v>0.04</v>
      </c>
      <c r="BJ42" s="15">
        <v>2292</v>
      </c>
      <c r="BK42" s="19">
        <v>0.74083769633507857</v>
      </c>
      <c r="BL42" s="19">
        <v>0.11343804537521815</v>
      </c>
      <c r="BM42" s="20">
        <v>0.14572425828970331</v>
      </c>
      <c r="BN42" s="38">
        <v>5724</v>
      </c>
      <c r="BO42" s="39">
        <v>294</v>
      </c>
      <c r="BP42" s="39">
        <v>388</v>
      </c>
      <c r="BQ42" s="39">
        <v>185</v>
      </c>
      <c r="BR42" s="39">
        <v>4334</v>
      </c>
      <c r="BS42" s="39">
        <v>2368</v>
      </c>
      <c r="BT42" s="20">
        <v>0.15498310810810811</v>
      </c>
      <c r="BU42" s="38">
        <v>1597</v>
      </c>
      <c r="BV42" s="39">
        <v>1</v>
      </c>
      <c r="BW42" s="39">
        <v>282</v>
      </c>
      <c r="BX42" s="39">
        <v>364</v>
      </c>
      <c r="BY42" s="39">
        <v>129</v>
      </c>
      <c r="BZ42" s="40">
        <v>2373</v>
      </c>
      <c r="CA42" s="39">
        <v>867</v>
      </c>
      <c r="CB42" s="39">
        <v>780</v>
      </c>
      <c r="CC42" s="39">
        <v>87</v>
      </c>
      <c r="CD42" s="39">
        <v>87</v>
      </c>
      <c r="CE42" s="19">
        <v>0.10034602076124567</v>
      </c>
      <c r="CF42" s="104">
        <v>0.10034602076124567</v>
      </c>
      <c r="CG42" s="39">
        <v>60</v>
      </c>
      <c r="CH42" s="39">
        <v>65</v>
      </c>
      <c r="CI42" s="39">
        <v>55</v>
      </c>
      <c r="CJ42" s="39">
        <v>55</v>
      </c>
      <c r="CK42" s="44">
        <v>45</v>
      </c>
      <c r="CL42" s="38">
        <v>364</v>
      </c>
      <c r="CM42" s="39">
        <v>82</v>
      </c>
      <c r="CN42" s="19">
        <v>0.22527472527472528</v>
      </c>
      <c r="CO42" s="40">
        <v>27</v>
      </c>
      <c r="CP42" s="39">
        <v>180</v>
      </c>
      <c r="CQ42" s="39">
        <v>186</v>
      </c>
      <c r="CR42" s="39">
        <v>201</v>
      </c>
      <c r="CS42" s="39">
        <v>195</v>
      </c>
      <c r="CT42" s="39">
        <v>217</v>
      </c>
      <c r="CU42" s="124" t="s">
        <v>474</v>
      </c>
      <c r="CV42" s="39">
        <v>6</v>
      </c>
      <c r="CW42" s="39">
        <v>3</v>
      </c>
      <c r="CX42" s="39">
        <v>7</v>
      </c>
      <c r="CY42" s="39">
        <v>3</v>
      </c>
      <c r="CZ42" s="39">
        <v>3</v>
      </c>
      <c r="DA42" s="120" t="s">
        <v>474</v>
      </c>
      <c r="DB42" s="15">
        <v>7</v>
      </c>
      <c r="DC42" s="15">
        <v>6</v>
      </c>
      <c r="DD42" s="19">
        <v>2.7649769585253458E-2</v>
      </c>
      <c r="DE42" s="19">
        <v>1.2732431477870355E-2</v>
      </c>
      <c r="DF42" s="20">
        <v>5.899983702501134E-2</v>
      </c>
      <c r="DG42" s="15">
        <v>14</v>
      </c>
      <c r="DH42" s="20">
        <v>1.237842617152962E-2</v>
      </c>
      <c r="DI42" s="423">
        <v>9</v>
      </c>
      <c r="DJ42" s="428">
        <v>10</v>
      </c>
      <c r="DK42" s="3">
        <v>158</v>
      </c>
      <c r="DL42" s="20">
        <v>1.961271102284012E-2</v>
      </c>
      <c r="DM42" s="15">
        <v>70</v>
      </c>
      <c r="DN42" s="3">
        <v>105</v>
      </c>
      <c r="DO42" s="3">
        <v>95</v>
      </c>
      <c r="DP42" s="3">
        <v>75</v>
      </c>
      <c r="DQ42" s="11">
        <v>85</v>
      </c>
      <c r="DR42" s="15">
        <v>70</v>
      </c>
      <c r="DS42" s="19">
        <v>7.2916666666666671E-2</v>
      </c>
      <c r="DT42" s="19">
        <v>5.8116676905471398E-2</v>
      </c>
      <c r="DU42" s="19">
        <v>9.1120998548633883E-2</v>
      </c>
      <c r="DV42" s="3">
        <v>80</v>
      </c>
      <c r="DW42" s="19">
        <v>0.08</v>
      </c>
      <c r="DX42" s="19">
        <v>6.474803809836388E-2</v>
      </c>
      <c r="DY42" s="19">
        <v>9.8466439029502417E-2</v>
      </c>
      <c r="DZ42" s="3">
        <v>75</v>
      </c>
      <c r="EA42" s="19">
        <v>7.2115384615384609E-2</v>
      </c>
      <c r="EB42" s="19">
        <v>5.7918756250202229E-2</v>
      </c>
      <c r="EC42" s="19">
        <v>8.9461343975458824E-2</v>
      </c>
      <c r="ED42" s="3">
        <v>85</v>
      </c>
      <c r="EE42" s="19">
        <v>8.0568720379146919E-2</v>
      </c>
      <c r="EF42" s="19">
        <v>6.5626294602952689E-2</v>
      </c>
      <c r="EG42" s="19">
        <v>9.8554525266259421E-2</v>
      </c>
      <c r="EH42" s="3">
        <v>80</v>
      </c>
      <c r="EI42" s="20">
        <v>7.3732718894009217E-2</v>
      </c>
      <c r="EJ42" s="20">
        <v>5.9641334453540022E-2</v>
      </c>
      <c r="EK42" s="20">
        <v>9.0831865747844742E-2</v>
      </c>
      <c r="EL42" s="438">
        <v>80</v>
      </c>
      <c r="EM42" s="20">
        <v>8.8397790055248615E-2</v>
      </c>
      <c r="EN42" s="20">
        <v>7.1600149041586458E-2</v>
      </c>
      <c r="EO42" s="104">
        <v>0.10867492229296026</v>
      </c>
      <c r="EP42" s="38">
        <v>265</v>
      </c>
      <c r="EQ42" s="20">
        <v>7.9104477611940296E-2</v>
      </c>
      <c r="ER42" s="44">
        <v>275</v>
      </c>
      <c r="ES42" s="20">
        <v>7.9365079365079361E-2</v>
      </c>
      <c r="ET42" s="44">
        <v>275</v>
      </c>
      <c r="EU42" s="20">
        <v>7.7574047954866013E-2</v>
      </c>
      <c r="EV42" s="44">
        <v>275</v>
      </c>
      <c r="EW42" s="20">
        <v>7.5966850828729282E-2</v>
      </c>
      <c r="EX42" s="44">
        <v>245</v>
      </c>
      <c r="EY42" s="20">
        <v>6.6939890710382519E-2</v>
      </c>
      <c r="EZ42" s="44">
        <v>245</v>
      </c>
      <c r="FA42" s="104">
        <v>6.6576086956521743E-2</v>
      </c>
      <c r="FB42" s="3">
        <v>205</v>
      </c>
      <c r="FC42" s="3">
        <v>7</v>
      </c>
      <c r="FD42" s="3">
        <v>198</v>
      </c>
      <c r="FE42" s="19">
        <v>0.96585365853658534</v>
      </c>
      <c r="FF42" s="3">
        <v>105</v>
      </c>
      <c r="FG42" s="3">
        <v>142</v>
      </c>
      <c r="FH42" s="19">
        <v>0.53030303030303028</v>
      </c>
      <c r="FI42" s="19">
        <v>0.71717171717171713</v>
      </c>
      <c r="FJ42" s="19">
        <v>0.46087105556409669</v>
      </c>
      <c r="FK42" s="19">
        <v>0.59858150525587306</v>
      </c>
      <c r="FL42" s="19">
        <v>0.65076780881350293</v>
      </c>
      <c r="FM42" s="104">
        <v>0.7753088770629466</v>
      </c>
      <c r="FN42" s="438">
        <v>178</v>
      </c>
      <c r="FO42" s="438">
        <v>103</v>
      </c>
      <c r="FP42" s="438">
        <v>27</v>
      </c>
      <c r="FQ42" s="438">
        <v>130</v>
      </c>
      <c r="FR42" s="497">
        <v>0.5786516853932584</v>
      </c>
      <c r="FS42" s="497">
        <v>0.7303370786516854</v>
      </c>
      <c r="FT42" s="497">
        <v>0.50520290648259625</v>
      </c>
      <c r="FU42" s="497">
        <v>0.64877738042001576</v>
      </c>
      <c r="FV42" s="497">
        <v>0.66078574367628451</v>
      </c>
      <c r="FW42" s="104">
        <v>0.79015652510993661</v>
      </c>
      <c r="FX42" s="438">
        <v>155</v>
      </c>
      <c r="FY42" s="438">
        <v>16</v>
      </c>
      <c r="FZ42" s="438">
        <v>139</v>
      </c>
      <c r="GA42" s="497">
        <v>0.89677419354838706</v>
      </c>
      <c r="GB42" s="438">
        <v>89</v>
      </c>
      <c r="GC42" s="438">
        <v>16</v>
      </c>
      <c r="GD42" s="438">
        <v>105</v>
      </c>
      <c r="GE42" s="497">
        <v>0.64028776978417268</v>
      </c>
      <c r="GF42" s="497">
        <v>0.75539568345323738</v>
      </c>
      <c r="GG42" s="497">
        <v>0.55772254025899193</v>
      </c>
      <c r="GH42" s="497">
        <v>0.71530743522561779</v>
      </c>
      <c r="GI42" s="497">
        <v>0.67770139501311988</v>
      </c>
      <c r="GJ42" s="104">
        <v>0.81935317574091304</v>
      </c>
      <c r="GK42" s="3">
        <v>165</v>
      </c>
      <c r="GL42" s="3">
        <v>2</v>
      </c>
      <c r="GM42" s="19">
        <v>1.2E-2</v>
      </c>
      <c r="GN42" s="19">
        <v>3.0000000000000001E-3</v>
      </c>
      <c r="GO42" s="19">
        <v>4.2999999999999997E-2</v>
      </c>
      <c r="GP42" s="353" t="s">
        <v>726</v>
      </c>
      <c r="GQ42" s="3">
        <v>191</v>
      </c>
      <c r="GR42" s="3">
        <v>5</v>
      </c>
      <c r="GS42" s="19">
        <v>2.5999999999999999E-2</v>
      </c>
      <c r="GT42" s="19">
        <v>1.0999999999999999E-2</v>
      </c>
      <c r="GU42" s="19">
        <v>0.06</v>
      </c>
      <c r="GV42" s="3" t="s">
        <v>726</v>
      </c>
      <c r="GW42" s="3">
        <v>203</v>
      </c>
      <c r="GX42" s="3">
        <v>8</v>
      </c>
      <c r="GY42" s="19">
        <v>3.9408866995073892E-2</v>
      </c>
      <c r="GZ42" s="19">
        <v>2.0102050271229469E-2</v>
      </c>
      <c r="HA42" s="19">
        <v>7.5823877411838186E-2</v>
      </c>
      <c r="HB42" s="3" t="s">
        <v>726</v>
      </c>
      <c r="HC42" s="3">
        <v>175</v>
      </c>
      <c r="HD42" s="3">
        <v>11</v>
      </c>
      <c r="HE42" s="19">
        <v>6.2857142857142861E-2</v>
      </c>
      <c r="HF42" s="19">
        <v>3.5457550361549364E-2</v>
      </c>
      <c r="HG42" s="19">
        <v>0.10903612012792414</v>
      </c>
      <c r="HH42" s="3" t="s">
        <v>725</v>
      </c>
      <c r="HI42" s="3">
        <v>141</v>
      </c>
      <c r="HJ42" s="3">
        <v>7</v>
      </c>
      <c r="HK42" s="19">
        <v>4.9645390070921988E-2</v>
      </c>
      <c r="HL42" s="19">
        <v>2.4253530324488033E-2</v>
      </c>
      <c r="HM42" s="19">
        <v>9.8925695885742834E-2</v>
      </c>
      <c r="HN42" s="11" t="s">
        <v>725</v>
      </c>
      <c r="HO42" s="11">
        <v>214</v>
      </c>
      <c r="HP42" s="11">
        <v>12</v>
      </c>
      <c r="HQ42" s="497">
        <v>5.6074766355140186E-2</v>
      </c>
      <c r="HR42" s="497">
        <v>3.236469679512062E-2</v>
      </c>
      <c r="HS42" s="497">
        <v>9.5441364417545513E-2</v>
      </c>
      <c r="HT42" s="8" t="str">
        <f t="shared" si="0"/>
        <v>No Sig diff</v>
      </c>
      <c r="HU42" s="3">
        <v>174</v>
      </c>
      <c r="HV42" s="3">
        <v>14</v>
      </c>
      <c r="HW42" s="19">
        <v>0.08</v>
      </c>
      <c r="HX42" s="19">
        <v>4.9000000000000002E-2</v>
      </c>
      <c r="HY42" s="19">
        <v>0.13100000000000001</v>
      </c>
      <c r="HZ42" s="3" t="s">
        <v>726</v>
      </c>
      <c r="IA42" s="3">
        <v>162</v>
      </c>
      <c r="IB42" s="3">
        <v>21</v>
      </c>
      <c r="IC42" s="19">
        <v>0.13</v>
      </c>
      <c r="ID42" s="19">
        <v>8.5999999999999993E-2</v>
      </c>
      <c r="IE42" s="19">
        <v>0.19</v>
      </c>
      <c r="IF42" s="3" t="s">
        <v>725</v>
      </c>
      <c r="IG42" s="3">
        <v>169</v>
      </c>
      <c r="IH42" s="3">
        <v>20</v>
      </c>
      <c r="II42" s="19">
        <v>0.11834319526627218</v>
      </c>
      <c r="IJ42" s="19">
        <v>7.7928809241215022E-2</v>
      </c>
      <c r="IK42" s="19">
        <v>0.17572247974828192</v>
      </c>
      <c r="IL42" s="3" t="s">
        <v>726</v>
      </c>
      <c r="IM42" s="3">
        <v>178</v>
      </c>
      <c r="IN42" s="3">
        <v>18</v>
      </c>
      <c r="IO42" s="19">
        <v>0.10112359550561797</v>
      </c>
      <c r="IP42" s="19">
        <v>6.4926616688432873E-2</v>
      </c>
      <c r="IQ42" s="19">
        <v>0.1541733568768916</v>
      </c>
      <c r="IR42" s="3" t="s">
        <v>726</v>
      </c>
      <c r="IS42" s="3">
        <v>171</v>
      </c>
      <c r="IT42" s="3">
        <v>6</v>
      </c>
      <c r="IU42" s="19">
        <v>3.5087719298245612E-2</v>
      </c>
      <c r="IV42" s="19">
        <v>1.6178397190256089E-2</v>
      </c>
      <c r="IW42" s="19">
        <v>7.4426307938291705E-2</v>
      </c>
      <c r="IX42" s="580" t="s">
        <v>726</v>
      </c>
      <c r="IY42" s="580">
        <v>171</v>
      </c>
      <c r="IZ42" s="580">
        <v>17</v>
      </c>
      <c r="JA42" s="497">
        <v>9.9415204678362568E-2</v>
      </c>
      <c r="JB42" s="497">
        <v>6.2999514524075845E-2</v>
      </c>
      <c r="JC42" s="497">
        <v>0.1534334703980062</v>
      </c>
      <c r="JD42" s="371" t="str">
        <f t="shared" si="1"/>
        <v>Sig better than Eng.</v>
      </c>
      <c r="JE42" s="3">
        <v>230</v>
      </c>
      <c r="JF42" s="3">
        <v>126</v>
      </c>
      <c r="JG42" s="19">
        <v>0.54782608695652169</v>
      </c>
      <c r="JH42" s="19">
        <v>0.48324428174249945</v>
      </c>
      <c r="JI42" s="19">
        <v>0.61083655452558616</v>
      </c>
      <c r="JJ42" s="3">
        <v>230</v>
      </c>
      <c r="JK42" s="3">
        <v>34</v>
      </c>
      <c r="JL42" s="3">
        <v>46</v>
      </c>
      <c r="JM42" s="383">
        <v>24.347826086956513</v>
      </c>
      <c r="JN42" s="19">
        <v>0.28388746803069081</v>
      </c>
      <c r="JO42" s="3">
        <v>254</v>
      </c>
      <c r="JP42" s="3">
        <v>168</v>
      </c>
      <c r="JQ42" s="19">
        <v>0.66141732283464572</v>
      </c>
      <c r="JR42" s="19">
        <v>0.60120044816600826</v>
      </c>
      <c r="JS42" s="19">
        <v>0.71682443571049714</v>
      </c>
      <c r="JT42" s="3">
        <v>254</v>
      </c>
      <c r="JU42" s="3">
        <v>34</v>
      </c>
      <c r="JV42" s="3">
        <v>50</v>
      </c>
      <c r="JW42" s="383">
        <v>27.059999999999995</v>
      </c>
      <c r="JX42" s="20">
        <v>0.20411764705882368</v>
      </c>
      <c r="JY42" s="44">
        <v>267</v>
      </c>
      <c r="JZ42" s="44">
        <v>203</v>
      </c>
      <c r="KA42" s="20">
        <v>0.76029962546816476</v>
      </c>
      <c r="KB42" s="20">
        <v>0.70563244150927928</v>
      </c>
      <c r="KC42" s="20">
        <v>0.80758293033681072</v>
      </c>
      <c r="KD42" s="438">
        <v>34</v>
      </c>
      <c r="KE42" s="438">
        <v>53</v>
      </c>
      <c r="KF42" s="384">
        <v>28.4</v>
      </c>
      <c r="KG42" s="104">
        <v>0.16500000000000001</v>
      </c>
      <c r="KH42" s="19">
        <v>0.91988817509650833</v>
      </c>
      <c r="KI42" s="19">
        <v>8.0111824903491571E-2</v>
      </c>
      <c r="KJ42" s="19">
        <v>5.2836307068052514E-2</v>
      </c>
      <c r="KK42" s="19">
        <v>0.14150749816822447</v>
      </c>
      <c r="KL42" s="19">
        <v>0.93379961088294428</v>
      </c>
      <c r="KM42" s="19">
        <v>6.620038911705578E-2</v>
      </c>
      <c r="KN42" s="19">
        <v>4.3420566103405354E-2</v>
      </c>
      <c r="KO42" s="19">
        <v>0.12650941504912244</v>
      </c>
      <c r="KP42" s="19">
        <v>0.90401766443433107</v>
      </c>
      <c r="KQ42" s="19">
        <v>9.5982335565668889E-2</v>
      </c>
      <c r="KR42" s="19">
        <v>6.740122032002023E-2</v>
      </c>
      <c r="KS42" s="19">
        <v>0.16356332104188054</v>
      </c>
      <c r="KT42" s="19">
        <v>0.8422166953416953</v>
      </c>
      <c r="KU42" s="19">
        <v>0.15778330465830465</v>
      </c>
      <c r="KV42" s="19">
        <v>0.11864352018350914</v>
      </c>
      <c r="KW42" s="104">
        <v>0.23439014159713753</v>
      </c>
      <c r="KX42" s="438">
        <v>6</v>
      </c>
      <c r="KY42" s="438">
        <v>97</v>
      </c>
      <c r="KZ42" s="497">
        <v>6.1855670103092786E-2</v>
      </c>
      <c r="LA42" s="497">
        <v>2.8654885715718274E-2</v>
      </c>
      <c r="LB42" s="497">
        <v>0.12843783196165856</v>
      </c>
      <c r="LC42" s="438">
        <v>5</v>
      </c>
      <c r="LD42" s="438">
        <v>97</v>
      </c>
      <c r="LE42" s="497">
        <v>5.1546391752577317E-2</v>
      </c>
      <c r="LF42" s="497">
        <v>2.2216051037510603E-2</v>
      </c>
      <c r="LG42" s="497">
        <v>0.11504355411462804</v>
      </c>
      <c r="LH42" s="438">
        <v>5</v>
      </c>
      <c r="LI42" s="438">
        <v>97</v>
      </c>
      <c r="LJ42" s="497">
        <v>5.1546391752577317E-2</v>
      </c>
      <c r="LK42" s="497">
        <v>2.2216051037510603E-2</v>
      </c>
      <c r="LL42" s="497">
        <v>0.11504355411462804</v>
      </c>
      <c r="LM42" s="438">
        <v>11</v>
      </c>
      <c r="LN42" s="438">
        <v>95</v>
      </c>
      <c r="LO42" s="497">
        <v>0.11578947368421053</v>
      </c>
      <c r="LP42" s="497">
        <v>6.5898575811164248E-2</v>
      </c>
      <c r="LQ42" s="104">
        <v>0.19554494322443072</v>
      </c>
      <c r="LR42" s="3">
        <v>56</v>
      </c>
      <c r="LS42" s="3">
        <v>52</v>
      </c>
      <c r="LT42" s="3">
        <v>52</v>
      </c>
      <c r="LU42" s="3">
        <v>53</v>
      </c>
      <c r="LV42" s="3">
        <v>52</v>
      </c>
      <c r="LW42" s="3">
        <v>70</v>
      </c>
      <c r="LX42" s="3">
        <v>63</v>
      </c>
      <c r="LY42" s="3">
        <v>63</v>
      </c>
      <c r="LZ42" s="3">
        <v>60</v>
      </c>
      <c r="MA42" s="3">
        <v>64</v>
      </c>
      <c r="MB42" s="3">
        <v>67</v>
      </c>
      <c r="MC42" s="3">
        <v>67</v>
      </c>
      <c r="MD42" s="3">
        <v>68</v>
      </c>
      <c r="ME42" s="3">
        <v>74</v>
      </c>
      <c r="MF42" s="3">
        <v>70</v>
      </c>
      <c r="MG42" s="3">
        <v>72</v>
      </c>
      <c r="MH42" s="3">
        <v>67</v>
      </c>
      <c r="MI42" s="3">
        <v>72</v>
      </c>
      <c r="MJ42" s="3">
        <v>71</v>
      </c>
      <c r="MK42" s="3">
        <v>56</v>
      </c>
      <c r="ML42" s="3">
        <v>71</v>
      </c>
      <c r="MM42" s="3">
        <v>67</v>
      </c>
      <c r="MN42" s="8">
        <v>72</v>
      </c>
      <c r="MO42" s="3">
        <v>180</v>
      </c>
      <c r="MP42" s="24">
        <v>0.96099999999999997</v>
      </c>
      <c r="MQ42" s="24">
        <v>6.0000000000000001E-3</v>
      </c>
      <c r="MR42" s="24">
        <v>0.96099999999999997</v>
      </c>
      <c r="MS42" s="3">
        <v>173</v>
      </c>
      <c r="MT42" s="3">
        <v>1</v>
      </c>
      <c r="MU42" s="3">
        <v>173</v>
      </c>
      <c r="MV42" s="3">
        <v>214</v>
      </c>
      <c r="MW42" s="24">
        <v>0.97199999999999998</v>
      </c>
      <c r="MX42" s="24">
        <v>0.93500000000000005</v>
      </c>
      <c r="MY42" s="24">
        <v>0.93899999999999995</v>
      </c>
      <c r="MZ42" s="24">
        <v>0.93</v>
      </c>
      <c r="NA42" s="24">
        <v>0.93899999999999995</v>
      </c>
      <c r="NB42" s="3">
        <v>208</v>
      </c>
      <c r="NC42" s="3">
        <v>200</v>
      </c>
      <c r="ND42" s="3">
        <v>201</v>
      </c>
      <c r="NE42" s="3">
        <v>199</v>
      </c>
      <c r="NF42" s="3">
        <v>201</v>
      </c>
      <c r="NG42" s="3">
        <v>261</v>
      </c>
      <c r="NH42" s="24">
        <v>0.96599999999999997</v>
      </c>
      <c r="NI42" s="24">
        <v>0.92300000000000004</v>
      </c>
      <c r="NJ42" s="24">
        <v>0.96599999999999997</v>
      </c>
      <c r="NK42" s="24">
        <v>0.96599999999999997</v>
      </c>
      <c r="NL42" s="24">
        <v>0.95399999999999996</v>
      </c>
      <c r="NM42" s="24">
        <v>0.85799999999999998</v>
      </c>
      <c r="NN42" s="24">
        <v>0.93100000000000005</v>
      </c>
      <c r="NO42" s="24">
        <v>0.9</v>
      </c>
      <c r="NP42" s="24">
        <v>0.95799999999999996</v>
      </c>
      <c r="NQ42" s="24">
        <v>0.90800000000000003</v>
      </c>
      <c r="NR42" s="3">
        <v>252</v>
      </c>
      <c r="NS42" s="3">
        <v>241</v>
      </c>
      <c r="NT42" s="3">
        <v>252</v>
      </c>
      <c r="NU42" s="3">
        <v>252</v>
      </c>
      <c r="NV42" s="3">
        <v>249</v>
      </c>
      <c r="NW42" s="3">
        <v>224</v>
      </c>
      <c r="NX42" s="3">
        <v>243</v>
      </c>
      <c r="NY42" s="3">
        <v>235</v>
      </c>
      <c r="NZ42" s="3">
        <v>250</v>
      </c>
      <c r="OA42" s="8">
        <v>237</v>
      </c>
    </row>
    <row r="43" spans="1:391" s="3" customFormat="1" ht="12.75" x14ac:dyDescent="0.2">
      <c r="A43" s="11" t="s">
        <v>68</v>
      </c>
      <c r="B43" s="8">
        <v>38</v>
      </c>
      <c r="C43" s="11" t="s">
        <v>247</v>
      </c>
      <c r="D43" s="11" t="s">
        <v>248</v>
      </c>
      <c r="E43" s="11" t="s">
        <v>287</v>
      </c>
      <c r="F43" s="11" t="s">
        <v>287</v>
      </c>
      <c r="G43" s="11" t="s">
        <v>249</v>
      </c>
      <c r="H43" s="11" t="s">
        <v>81</v>
      </c>
      <c r="I43" s="11" t="s">
        <v>81</v>
      </c>
      <c r="J43" s="11" t="s">
        <v>271</v>
      </c>
      <c r="K43" s="11" t="s">
        <v>391</v>
      </c>
      <c r="L43" s="11" t="s">
        <v>276</v>
      </c>
      <c r="M43" s="11" t="s">
        <v>362</v>
      </c>
      <c r="N43" s="3" t="s">
        <v>81</v>
      </c>
      <c r="O43" s="11">
        <v>530245</v>
      </c>
      <c r="P43" s="11">
        <v>119371</v>
      </c>
      <c r="Q43" s="128">
        <v>20500</v>
      </c>
      <c r="R43" s="128" t="s">
        <v>287</v>
      </c>
      <c r="S43" s="400" t="s">
        <v>817</v>
      </c>
      <c r="T43" s="38">
        <v>10735</v>
      </c>
      <c r="U43" s="39">
        <v>10835</v>
      </c>
      <c r="V43" s="39">
        <v>10865</v>
      </c>
      <c r="W43" s="39">
        <v>10945</v>
      </c>
      <c r="X43" s="39">
        <v>10870</v>
      </c>
      <c r="Y43" s="39">
        <v>11015</v>
      </c>
      <c r="Z43" s="39">
        <v>11065</v>
      </c>
      <c r="AA43" s="39">
        <v>11080</v>
      </c>
      <c r="AB43" s="39">
        <v>11015</v>
      </c>
      <c r="AC43" s="44">
        <v>10992</v>
      </c>
      <c r="AD43" s="38">
        <v>880</v>
      </c>
      <c r="AE43" s="39">
        <v>890</v>
      </c>
      <c r="AF43" s="39">
        <v>855</v>
      </c>
      <c r="AG43" s="39">
        <v>850</v>
      </c>
      <c r="AH43" s="39">
        <v>815</v>
      </c>
      <c r="AI43" s="39">
        <v>825</v>
      </c>
      <c r="AJ43" s="39">
        <v>810</v>
      </c>
      <c r="AK43" s="39">
        <v>780</v>
      </c>
      <c r="AL43" s="39">
        <v>765</v>
      </c>
      <c r="AM43" s="44">
        <v>732</v>
      </c>
      <c r="AN43" s="15">
        <v>802</v>
      </c>
      <c r="AO43" s="3">
        <v>714</v>
      </c>
      <c r="AP43" s="3">
        <v>18</v>
      </c>
      <c r="AQ43" s="3">
        <v>31</v>
      </c>
      <c r="AR43" s="3">
        <v>35</v>
      </c>
      <c r="AS43" s="3">
        <v>4</v>
      </c>
      <c r="AT43" s="3">
        <v>0</v>
      </c>
      <c r="AU43" s="11">
        <v>88</v>
      </c>
      <c r="AV43" s="18">
        <v>0.89027431421446379</v>
      </c>
      <c r="AW43" s="19">
        <v>2.2443890274314215E-2</v>
      </c>
      <c r="AX43" s="19">
        <v>3.8653366583541147E-2</v>
      </c>
      <c r="AY43" s="19">
        <v>4.3640897755610975E-2</v>
      </c>
      <c r="AZ43" s="19">
        <v>4.9875311720698253E-3</v>
      </c>
      <c r="BA43" s="19">
        <v>0</v>
      </c>
      <c r="BB43" s="20">
        <v>0.10972568578553621</v>
      </c>
      <c r="BC43" s="15">
        <v>2111</v>
      </c>
      <c r="BD43" s="3">
        <v>2085</v>
      </c>
      <c r="BE43" s="3">
        <v>26</v>
      </c>
      <c r="BF43" s="3">
        <v>25</v>
      </c>
      <c r="BG43" s="3">
        <v>1</v>
      </c>
      <c r="BH43" s="19">
        <v>0.96153846153846156</v>
      </c>
      <c r="BI43" s="20">
        <v>3.8461538461538464E-2</v>
      </c>
      <c r="BJ43" s="15">
        <v>1614</v>
      </c>
      <c r="BK43" s="19">
        <v>0.71065675340768275</v>
      </c>
      <c r="BL43" s="19">
        <v>0.13444857496902107</v>
      </c>
      <c r="BM43" s="20">
        <v>0.15489467162329615</v>
      </c>
      <c r="BN43" s="38">
        <v>3273</v>
      </c>
      <c r="BO43" s="39">
        <v>258</v>
      </c>
      <c r="BP43" s="39">
        <v>268</v>
      </c>
      <c r="BQ43" s="39">
        <v>121</v>
      </c>
      <c r="BR43" s="39">
        <v>2925</v>
      </c>
      <c r="BS43" s="39">
        <v>1656</v>
      </c>
      <c r="BT43" s="20">
        <v>0.14070048309178743</v>
      </c>
      <c r="BU43" s="38">
        <v>1069</v>
      </c>
      <c r="BV43" s="39">
        <v>1</v>
      </c>
      <c r="BW43" s="39">
        <v>225</v>
      </c>
      <c r="BX43" s="39">
        <v>291</v>
      </c>
      <c r="BY43" s="39">
        <v>70</v>
      </c>
      <c r="BZ43" s="40">
        <v>1656</v>
      </c>
      <c r="CA43" s="39">
        <v>646</v>
      </c>
      <c r="CB43" s="39">
        <v>585</v>
      </c>
      <c r="CC43" s="39">
        <v>61</v>
      </c>
      <c r="CD43" s="39">
        <v>61</v>
      </c>
      <c r="CE43" s="19">
        <v>9.4427244582043338E-2</v>
      </c>
      <c r="CF43" s="104">
        <v>9.4427244582043338E-2</v>
      </c>
      <c r="CG43" s="39">
        <v>55</v>
      </c>
      <c r="CH43" s="39">
        <v>50</v>
      </c>
      <c r="CI43" s="39">
        <v>45</v>
      </c>
      <c r="CJ43" s="39">
        <v>55</v>
      </c>
      <c r="CK43" s="44">
        <v>60</v>
      </c>
      <c r="CL43" s="38">
        <v>291</v>
      </c>
      <c r="CM43" s="39">
        <v>68</v>
      </c>
      <c r="CN43" s="19">
        <v>0.23367697594501718</v>
      </c>
      <c r="CO43" s="40">
        <v>18</v>
      </c>
      <c r="CP43" s="39">
        <v>147</v>
      </c>
      <c r="CQ43" s="39">
        <v>149</v>
      </c>
      <c r="CR43" s="39">
        <v>139</v>
      </c>
      <c r="CS43" s="39">
        <v>139</v>
      </c>
      <c r="CT43" s="39">
        <v>139</v>
      </c>
      <c r="CU43" s="124" t="s">
        <v>474</v>
      </c>
      <c r="CV43" s="39">
        <v>7</v>
      </c>
      <c r="CW43" s="39">
        <v>5</v>
      </c>
      <c r="CX43" s="39">
        <v>3</v>
      </c>
      <c r="CY43" s="39">
        <v>0</v>
      </c>
      <c r="CZ43" s="39">
        <v>6</v>
      </c>
      <c r="DA43" s="120" t="s">
        <v>474</v>
      </c>
      <c r="DB43" s="15">
        <v>7</v>
      </c>
      <c r="DC43" s="15">
        <v>8</v>
      </c>
      <c r="DD43" s="19">
        <v>5.7553956834532377E-2</v>
      </c>
      <c r="DE43" s="19">
        <v>2.9448901559716051E-2</v>
      </c>
      <c r="DF43" s="20">
        <v>0.10945656037343801</v>
      </c>
      <c r="DG43" s="15">
        <v>7</v>
      </c>
      <c r="DH43" s="20">
        <v>8.7281795511221939E-3</v>
      </c>
      <c r="DI43" s="423">
        <v>9</v>
      </c>
      <c r="DJ43" s="428">
        <v>10</v>
      </c>
      <c r="DK43" s="3">
        <v>96</v>
      </c>
      <c r="DL43" s="20">
        <v>2.2524636320976069E-2</v>
      </c>
      <c r="DM43" s="15">
        <v>95</v>
      </c>
      <c r="DN43" s="3">
        <v>90</v>
      </c>
      <c r="DO43" s="3">
        <v>80</v>
      </c>
      <c r="DP43" s="3">
        <v>70</v>
      </c>
      <c r="DQ43" s="11">
        <v>60</v>
      </c>
      <c r="DR43" s="15">
        <v>80</v>
      </c>
      <c r="DS43" s="19">
        <v>9.6385542168674704E-2</v>
      </c>
      <c r="DT43" s="19">
        <v>7.8127794989517718E-2</v>
      </c>
      <c r="DU43" s="19">
        <v>0.1183621457390422</v>
      </c>
      <c r="DV43" s="3">
        <v>85</v>
      </c>
      <c r="DW43" s="19">
        <v>0.10828025477707007</v>
      </c>
      <c r="DX43" s="19">
        <v>8.8419954473737863E-2</v>
      </c>
      <c r="DY43" s="19">
        <v>0.13195570767843204</v>
      </c>
      <c r="DZ43" s="3">
        <v>80</v>
      </c>
      <c r="EA43" s="19">
        <v>0.10126582278481013</v>
      </c>
      <c r="EB43" s="19">
        <v>8.2120879394970661E-2</v>
      </c>
      <c r="EC43" s="19">
        <v>0.12426977581733312</v>
      </c>
      <c r="ED43" s="3">
        <v>90</v>
      </c>
      <c r="EE43" s="19">
        <v>0.1125</v>
      </c>
      <c r="EF43" s="19">
        <v>9.2429904525941312E-2</v>
      </c>
      <c r="EG43" s="19">
        <v>0.13627372453345762</v>
      </c>
      <c r="EH43" s="3">
        <v>65</v>
      </c>
      <c r="EI43" s="20">
        <v>8.6092715231788075E-2</v>
      </c>
      <c r="EJ43" s="20">
        <v>6.812080248489831E-2</v>
      </c>
      <c r="EK43" s="20">
        <v>0.10825524716939369</v>
      </c>
      <c r="EL43" s="438">
        <v>70</v>
      </c>
      <c r="EM43" s="20">
        <v>0.10218978102189781</v>
      </c>
      <c r="EN43" s="20">
        <v>8.1680141215642127E-2</v>
      </c>
      <c r="EO43" s="104">
        <v>0.12713635346363086</v>
      </c>
      <c r="EP43" s="38">
        <v>230</v>
      </c>
      <c r="EQ43" s="20">
        <v>8.9147286821705432E-2</v>
      </c>
      <c r="ER43" s="44">
        <v>250</v>
      </c>
      <c r="ES43" s="20">
        <v>9.8619329388560162E-2</v>
      </c>
      <c r="ET43" s="44">
        <v>225</v>
      </c>
      <c r="EU43" s="20">
        <v>8.7040618955512572E-2</v>
      </c>
      <c r="EV43" s="44">
        <v>245</v>
      </c>
      <c r="EW43" s="20">
        <v>9.5890410958904104E-2</v>
      </c>
      <c r="EX43" s="44">
        <v>200</v>
      </c>
      <c r="EY43" s="20">
        <v>8.1632653061224483E-2</v>
      </c>
      <c r="EZ43" s="44">
        <v>200</v>
      </c>
      <c r="FA43" s="104">
        <v>8.1967213114754092E-2</v>
      </c>
      <c r="FB43" s="3">
        <v>128</v>
      </c>
      <c r="FC43" s="3">
        <v>4</v>
      </c>
      <c r="FD43" s="3">
        <v>124</v>
      </c>
      <c r="FE43" s="19">
        <v>0.96875</v>
      </c>
      <c r="FF43" s="3">
        <v>50</v>
      </c>
      <c r="FG43" s="3">
        <v>63</v>
      </c>
      <c r="FH43" s="19">
        <v>0.40322580645161288</v>
      </c>
      <c r="FI43" s="19">
        <v>0.50806451612903225</v>
      </c>
      <c r="FJ43" s="19">
        <v>0.32104885004590489</v>
      </c>
      <c r="FK43" s="19">
        <v>0.49121883120964888</v>
      </c>
      <c r="FL43" s="19">
        <v>0.42115888884621255</v>
      </c>
      <c r="FM43" s="104">
        <v>0.59448547104915794</v>
      </c>
      <c r="FN43" s="438">
        <v>115</v>
      </c>
      <c r="FO43" s="438">
        <v>43</v>
      </c>
      <c r="FP43" s="438">
        <v>19</v>
      </c>
      <c r="FQ43" s="438">
        <v>62</v>
      </c>
      <c r="FR43" s="497">
        <v>0.37391304347826088</v>
      </c>
      <c r="FS43" s="497">
        <v>0.53913043478260869</v>
      </c>
      <c r="FT43" s="497">
        <v>0.29090380155349149</v>
      </c>
      <c r="FU43" s="497">
        <v>0.4650736133337266</v>
      </c>
      <c r="FV43" s="497">
        <v>0.4482376584453216</v>
      </c>
      <c r="FW43" s="104">
        <v>0.62749348865864507</v>
      </c>
      <c r="FX43" s="438">
        <v>80</v>
      </c>
      <c r="FY43" s="438">
        <v>4</v>
      </c>
      <c r="FZ43" s="438">
        <v>76</v>
      </c>
      <c r="GA43" s="497">
        <v>0.95</v>
      </c>
      <c r="GB43" s="438">
        <v>26</v>
      </c>
      <c r="GC43" s="438">
        <v>13</v>
      </c>
      <c r="GD43" s="438">
        <v>39</v>
      </c>
      <c r="GE43" s="497">
        <v>0.34210526315789475</v>
      </c>
      <c r="GF43" s="497">
        <v>0.51315789473684215</v>
      </c>
      <c r="GG43" s="497">
        <v>0.24536326817494694</v>
      </c>
      <c r="GH43" s="497">
        <v>0.45404102184562267</v>
      </c>
      <c r="GI43" s="497">
        <v>0.4028869302897975</v>
      </c>
      <c r="GJ43" s="104">
        <v>0.62216271220848829</v>
      </c>
      <c r="GK43" s="3">
        <v>151</v>
      </c>
      <c r="GL43" s="3">
        <v>12</v>
      </c>
      <c r="GM43" s="19">
        <v>7.9470198675496692E-2</v>
      </c>
      <c r="GN43" s="19">
        <v>4.604266587121892E-2</v>
      </c>
      <c r="GO43" s="19">
        <v>0.13376356324041996</v>
      </c>
      <c r="GP43" s="353" t="s">
        <v>725</v>
      </c>
      <c r="GQ43" s="3">
        <v>141</v>
      </c>
      <c r="GR43" s="3">
        <v>7</v>
      </c>
      <c r="GS43" s="19">
        <v>4.9645390070921988E-2</v>
      </c>
      <c r="GT43" s="19">
        <v>2.4253530324488039E-2</v>
      </c>
      <c r="GU43" s="19">
        <v>9.8925695885742862E-2</v>
      </c>
      <c r="GV43" s="3" t="s">
        <v>725</v>
      </c>
      <c r="GW43" s="3">
        <v>143</v>
      </c>
      <c r="GX43" s="3">
        <v>12</v>
      </c>
      <c r="GY43" s="19">
        <v>8.3916083916083919E-2</v>
      </c>
      <c r="GZ43" s="19">
        <v>4.8653962460813528E-2</v>
      </c>
      <c r="HA43" s="19">
        <v>0.14094820469479138</v>
      </c>
      <c r="HB43" s="3" t="s">
        <v>725</v>
      </c>
      <c r="HC43" s="3">
        <v>101</v>
      </c>
      <c r="HD43" s="3">
        <v>5</v>
      </c>
      <c r="HE43" s="19">
        <v>4.9504950495049507E-2</v>
      </c>
      <c r="HF43" s="19">
        <v>2.1328509888006445E-2</v>
      </c>
      <c r="HG43" s="19">
        <v>0.11069425072968564</v>
      </c>
      <c r="HH43" s="3" t="s">
        <v>725</v>
      </c>
      <c r="HI43" s="3">
        <v>68</v>
      </c>
      <c r="HJ43" s="3">
        <v>7</v>
      </c>
      <c r="HK43" s="19">
        <v>0.10294117647058823</v>
      </c>
      <c r="HL43" s="19">
        <v>5.0765771789929089E-2</v>
      </c>
      <c r="HM43" s="19">
        <v>0.19757911309365628</v>
      </c>
      <c r="HN43" s="11" t="s">
        <v>725</v>
      </c>
      <c r="HO43" s="11">
        <v>138</v>
      </c>
      <c r="HP43" s="11">
        <v>10</v>
      </c>
      <c r="HQ43" s="497">
        <v>7.2463768115942032E-2</v>
      </c>
      <c r="HR43" s="497">
        <v>3.9834286943926704E-2</v>
      </c>
      <c r="HS43" s="497">
        <v>0.12825097542518638</v>
      </c>
      <c r="HT43" s="8" t="str">
        <f t="shared" si="0"/>
        <v>No Sig diff</v>
      </c>
      <c r="HU43" s="3">
        <v>159</v>
      </c>
      <c r="HV43" s="3">
        <v>34</v>
      </c>
      <c r="HW43" s="19">
        <v>0.21383647798742139</v>
      </c>
      <c r="HX43" s="19">
        <v>0.15725209441968857</v>
      </c>
      <c r="HY43" s="19">
        <v>0.28392215776997809</v>
      </c>
      <c r="HZ43" s="3" t="s">
        <v>725</v>
      </c>
      <c r="IA43" s="3">
        <v>120</v>
      </c>
      <c r="IB43" s="3">
        <v>18</v>
      </c>
      <c r="IC43" s="19">
        <v>0.15</v>
      </c>
      <c r="ID43" s="19">
        <v>9.7038122925847389E-2</v>
      </c>
      <c r="IE43" s="19">
        <v>0.22467529356724508</v>
      </c>
      <c r="IF43" s="3" t="s">
        <v>725</v>
      </c>
      <c r="IG43" s="3">
        <v>135</v>
      </c>
      <c r="IH43" s="3">
        <v>16</v>
      </c>
      <c r="II43" s="19">
        <v>0.11851851851851852</v>
      </c>
      <c r="IJ43" s="19">
        <v>7.4283486027595741E-2</v>
      </c>
      <c r="IK43" s="19">
        <v>0.18386317365984914</v>
      </c>
      <c r="IL43" s="3" t="s">
        <v>726</v>
      </c>
      <c r="IM43" s="3">
        <v>128</v>
      </c>
      <c r="IN43" s="3">
        <v>21</v>
      </c>
      <c r="IO43" s="19">
        <v>0.1640625</v>
      </c>
      <c r="IP43" s="19">
        <v>0.10988331645919329</v>
      </c>
      <c r="IQ43" s="19">
        <v>0.23781807603707014</v>
      </c>
      <c r="IR43" s="3" t="s">
        <v>725</v>
      </c>
      <c r="IS43" s="3">
        <v>112</v>
      </c>
      <c r="IT43" s="3">
        <v>20</v>
      </c>
      <c r="IU43" s="19">
        <v>0.17857142857142858</v>
      </c>
      <c r="IV43" s="19">
        <v>0.11867660544910416</v>
      </c>
      <c r="IW43" s="19">
        <v>0.25978426052250259</v>
      </c>
      <c r="IX43" s="580" t="s">
        <v>725</v>
      </c>
      <c r="IY43" s="580">
        <v>112</v>
      </c>
      <c r="IZ43" s="580">
        <v>16</v>
      </c>
      <c r="JA43" s="497">
        <v>0.14285714285714285</v>
      </c>
      <c r="JB43" s="497">
        <v>8.9886610891018182E-2</v>
      </c>
      <c r="JC43" s="497">
        <v>0.21951435129965596</v>
      </c>
      <c r="JD43" s="371" t="str">
        <f t="shared" si="1"/>
        <v>Sig better than Eng.</v>
      </c>
      <c r="JE43" s="3">
        <v>163</v>
      </c>
      <c r="JF43" s="3">
        <v>108</v>
      </c>
      <c r="JG43" s="19">
        <v>0.66257668711656437</v>
      </c>
      <c r="JH43" s="19">
        <v>0.58698917481437962</v>
      </c>
      <c r="JI43" s="19">
        <v>0.73067767115200299</v>
      </c>
      <c r="JJ43" s="3">
        <v>163</v>
      </c>
      <c r="JK43" s="3">
        <v>35</v>
      </c>
      <c r="JL43" s="3">
        <v>32</v>
      </c>
      <c r="JM43" s="383">
        <v>26.906250000000004</v>
      </c>
      <c r="JN43" s="19">
        <v>0.2312499999999999</v>
      </c>
      <c r="JO43" s="3">
        <v>150</v>
      </c>
      <c r="JP43" s="3">
        <v>107</v>
      </c>
      <c r="JQ43" s="19">
        <v>0.71333333333333337</v>
      </c>
      <c r="JR43" s="19">
        <v>0.63635082260833997</v>
      </c>
      <c r="JS43" s="19">
        <v>0.77966187312794732</v>
      </c>
      <c r="JT43" s="3">
        <v>150</v>
      </c>
      <c r="JU43" s="3">
        <v>34</v>
      </c>
      <c r="JV43" s="3">
        <v>30</v>
      </c>
      <c r="JW43" s="383">
        <v>29.633333333333329</v>
      </c>
      <c r="JX43" s="20">
        <v>0.12843137254901973</v>
      </c>
      <c r="JY43" s="44">
        <v>162</v>
      </c>
      <c r="JZ43" s="44">
        <v>122</v>
      </c>
      <c r="KA43" s="20">
        <v>0.75308641975308643</v>
      </c>
      <c r="KB43" s="20">
        <v>0.68133366125497608</v>
      </c>
      <c r="KC43" s="20">
        <v>0.81311447362701061</v>
      </c>
      <c r="KD43" s="438">
        <v>34</v>
      </c>
      <c r="KE43" s="438">
        <v>32</v>
      </c>
      <c r="KF43" s="384">
        <v>29.3</v>
      </c>
      <c r="KG43" s="104">
        <v>0.13800000000000001</v>
      </c>
      <c r="KH43" s="19">
        <v>0.94065934065934076</v>
      </c>
      <c r="KI43" s="19">
        <v>5.9340659340659338E-2</v>
      </c>
      <c r="KJ43" s="19">
        <v>2.5950008789329414E-2</v>
      </c>
      <c r="KK43" s="19">
        <v>0.11697106055647577</v>
      </c>
      <c r="KL43" s="19">
        <v>0.9580586080586081</v>
      </c>
      <c r="KM43" s="19">
        <v>4.1941391941391945E-2</v>
      </c>
      <c r="KN43" s="19">
        <v>1.4631662528342755E-2</v>
      </c>
      <c r="KO43" s="19">
        <v>9.2201872895180545E-2</v>
      </c>
      <c r="KP43" s="19">
        <v>0.9580586080586081</v>
      </c>
      <c r="KQ43" s="19">
        <v>4.1941391941391945E-2</v>
      </c>
      <c r="KR43" s="19">
        <v>1.4631662528342755E-2</v>
      </c>
      <c r="KS43" s="19">
        <v>9.2201872895180545E-2</v>
      </c>
      <c r="KT43" s="19">
        <v>0.88284465534465539</v>
      </c>
      <c r="KU43" s="19">
        <v>0.11715534465534468</v>
      </c>
      <c r="KV43" s="19">
        <v>7.3800941708644846E-2</v>
      </c>
      <c r="KW43" s="104">
        <v>0.20037363859888463</v>
      </c>
      <c r="KX43" s="438">
        <v>1</v>
      </c>
      <c r="KY43" s="438">
        <v>66</v>
      </c>
      <c r="KZ43" s="497">
        <v>1.5151515151515152E-2</v>
      </c>
      <c r="LA43" s="497">
        <v>2.6796405439821125E-3</v>
      </c>
      <c r="LB43" s="497">
        <v>8.0959202620663973E-2</v>
      </c>
      <c r="LC43" s="438">
        <v>1</v>
      </c>
      <c r="LD43" s="438">
        <v>66</v>
      </c>
      <c r="LE43" s="497">
        <v>1.5151515151515152E-2</v>
      </c>
      <c r="LF43" s="497">
        <v>2.6796405439821125E-3</v>
      </c>
      <c r="LG43" s="497">
        <v>8.0959202620663973E-2</v>
      </c>
      <c r="LH43" s="438">
        <v>1</v>
      </c>
      <c r="LI43" s="438">
        <v>66</v>
      </c>
      <c r="LJ43" s="497">
        <v>1.5151515151515152E-2</v>
      </c>
      <c r="LK43" s="497">
        <v>2.6796405439821125E-3</v>
      </c>
      <c r="LL43" s="497">
        <v>8.0959202620663973E-2</v>
      </c>
      <c r="LM43" s="438">
        <v>13</v>
      </c>
      <c r="LN43" s="438">
        <v>65</v>
      </c>
      <c r="LO43" s="497">
        <v>0.2</v>
      </c>
      <c r="LP43" s="497">
        <v>0.12077959241205473</v>
      </c>
      <c r="LQ43" s="104">
        <v>0.31270132638165932</v>
      </c>
      <c r="LR43" s="3">
        <v>35</v>
      </c>
      <c r="LS43" s="3">
        <v>34</v>
      </c>
      <c r="LT43" s="3">
        <v>34</v>
      </c>
      <c r="LU43" s="3">
        <v>35</v>
      </c>
      <c r="LV43" s="3">
        <v>34</v>
      </c>
      <c r="LW43" s="3">
        <v>38</v>
      </c>
      <c r="LX43" s="3">
        <v>38</v>
      </c>
      <c r="LY43" s="3">
        <v>38</v>
      </c>
      <c r="LZ43" s="3">
        <v>38</v>
      </c>
      <c r="MA43" s="3">
        <v>38</v>
      </c>
      <c r="MB43" s="3">
        <v>38</v>
      </c>
      <c r="MC43" s="3">
        <v>37</v>
      </c>
      <c r="MD43" s="3">
        <v>38</v>
      </c>
      <c r="ME43" s="3">
        <v>46</v>
      </c>
      <c r="MF43" s="3">
        <v>45</v>
      </c>
      <c r="MG43" s="3">
        <v>43</v>
      </c>
      <c r="MH43" s="3">
        <v>44</v>
      </c>
      <c r="MI43" s="3">
        <v>43</v>
      </c>
      <c r="MJ43" s="3">
        <v>43</v>
      </c>
      <c r="MK43" s="3">
        <v>42</v>
      </c>
      <c r="ML43" s="3">
        <v>43</v>
      </c>
      <c r="MM43" s="3">
        <v>42</v>
      </c>
      <c r="MN43" s="8">
        <v>43</v>
      </c>
      <c r="MO43" s="3">
        <v>102</v>
      </c>
      <c r="MP43" s="24">
        <v>0.99</v>
      </c>
      <c r="MQ43" s="24">
        <v>0.01</v>
      </c>
      <c r="MR43" s="24">
        <v>0.99</v>
      </c>
      <c r="MS43" s="3">
        <v>101</v>
      </c>
      <c r="MT43" s="3">
        <v>1</v>
      </c>
      <c r="MU43" s="3">
        <v>101</v>
      </c>
      <c r="MV43" s="3">
        <v>95</v>
      </c>
      <c r="MW43" s="24">
        <v>0.96799999999999997</v>
      </c>
      <c r="MX43" s="24">
        <v>0.90500000000000003</v>
      </c>
      <c r="MY43" s="24">
        <v>0.94699999999999995</v>
      </c>
      <c r="MZ43" s="24">
        <v>0.91600000000000004</v>
      </c>
      <c r="NA43" s="24">
        <v>0.90500000000000003</v>
      </c>
      <c r="NB43" s="3">
        <v>92</v>
      </c>
      <c r="NC43" s="3">
        <v>86</v>
      </c>
      <c r="ND43" s="3">
        <v>90</v>
      </c>
      <c r="NE43" s="3">
        <v>87</v>
      </c>
      <c r="NF43" s="3">
        <v>86</v>
      </c>
      <c r="NG43" s="3">
        <v>120</v>
      </c>
      <c r="NH43" s="24">
        <v>0.99199999999999999</v>
      </c>
      <c r="NI43" s="24">
        <v>0.96699999999999997</v>
      </c>
      <c r="NJ43" s="24">
        <v>0.99199999999999999</v>
      </c>
      <c r="NK43" s="24">
        <v>0.99199999999999999</v>
      </c>
      <c r="NL43" s="24">
        <v>0.99199999999999999</v>
      </c>
      <c r="NM43" s="24">
        <v>0.90800000000000003</v>
      </c>
      <c r="NN43" s="24">
        <v>0.99199999999999999</v>
      </c>
      <c r="NO43" s="24">
        <v>0.97499999999999998</v>
      </c>
      <c r="NP43" s="24">
        <v>0.98299999999999998</v>
      </c>
      <c r="NQ43" s="24">
        <v>0.94199999999999995</v>
      </c>
      <c r="NR43" s="3">
        <v>119</v>
      </c>
      <c r="NS43" s="3">
        <v>116</v>
      </c>
      <c r="NT43" s="3">
        <v>119</v>
      </c>
      <c r="NU43" s="3">
        <v>119</v>
      </c>
      <c r="NV43" s="3">
        <v>119</v>
      </c>
      <c r="NW43" s="3">
        <v>109</v>
      </c>
      <c r="NX43" s="3">
        <v>119</v>
      </c>
      <c r="NY43" s="3">
        <v>117</v>
      </c>
      <c r="NZ43" s="3">
        <v>118</v>
      </c>
      <c r="OA43" s="8">
        <v>113</v>
      </c>
    </row>
    <row r="44" spans="1:391" s="3" customFormat="1" ht="12.75" x14ac:dyDescent="0.2">
      <c r="A44" s="11" t="s">
        <v>69</v>
      </c>
      <c r="B44" s="8">
        <v>39</v>
      </c>
      <c r="C44" s="11" t="s">
        <v>250</v>
      </c>
      <c r="D44" s="11" t="s">
        <v>251</v>
      </c>
      <c r="E44" s="11" t="s">
        <v>287</v>
      </c>
      <c r="F44" s="11" t="s">
        <v>287</v>
      </c>
      <c r="G44" s="11" t="s">
        <v>252</v>
      </c>
      <c r="H44" s="11" t="s">
        <v>82</v>
      </c>
      <c r="I44" s="11" t="s">
        <v>82</v>
      </c>
      <c r="J44" s="11" t="s">
        <v>269</v>
      </c>
      <c r="K44" s="11" t="s">
        <v>393</v>
      </c>
      <c r="L44" s="11" t="s">
        <v>272</v>
      </c>
      <c r="M44" s="11" t="s">
        <v>363</v>
      </c>
      <c r="N44" s="3" t="s">
        <v>403</v>
      </c>
      <c r="O44" s="11">
        <v>512379</v>
      </c>
      <c r="P44" s="11">
        <v>105164</v>
      </c>
      <c r="Q44" s="128">
        <v>20999</v>
      </c>
      <c r="R44" s="128" t="s">
        <v>287</v>
      </c>
      <c r="S44" s="400" t="s">
        <v>817</v>
      </c>
      <c r="T44" s="38">
        <v>13385</v>
      </c>
      <c r="U44" s="39">
        <v>13345</v>
      </c>
      <c r="V44" s="39">
        <v>13375</v>
      </c>
      <c r="W44" s="39">
        <v>13325</v>
      </c>
      <c r="X44" s="39">
        <v>13320</v>
      </c>
      <c r="Y44" s="39">
        <v>13355</v>
      </c>
      <c r="Z44" s="39">
        <v>13510</v>
      </c>
      <c r="AA44" s="39">
        <v>13590</v>
      </c>
      <c r="AB44" s="39">
        <v>13685</v>
      </c>
      <c r="AC44" s="44">
        <v>13633</v>
      </c>
      <c r="AD44" s="38">
        <v>790</v>
      </c>
      <c r="AE44" s="39">
        <v>805</v>
      </c>
      <c r="AF44" s="39">
        <v>830</v>
      </c>
      <c r="AG44" s="39">
        <v>855</v>
      </c>
      <c r="AH44" s="39">
        <v>845</v>
      </c>
      <c r="AI44" s="39">
        <v>865</v>
      </c>
      <c r="AJ44" s="39">
        <v>915</v>
      </c>
      <c r="AK44" s="39">
        <v>905</v>
      </c>
      <c r="AL44" s="39">
        <v>885</v>
      </c>
      <c r="AM44" s="44">
        <v>867</v>
      </c>
      <c r="AN44" s="15">
        <v>914</v>
      </c>
      <c r="AO44" s="3">
        <v>808</v>
      </c>
      <c r="AP44" s="3">
        <v>29</v>
      </c>
      <c r="AQ44" s="3">
        <v>44</v>
      </c>
      <c r="AR44" s="3">
        <v>24</v>
      </c>
      <c r="AS44" s="3">
        <v>5</v>
      </c>
      <c r="AT44" s="3">
        <v>4</v>
      </c>
      <c r="AU44" s="11">
        <v>106</v>
      </c>
      <c r="AV44" s="18">
        <v>0.88402625820568925</v>
      </c>
      <c r="AW44" s="19">
        <v>3.1728665207877461E-2</v>
      </c>
      <c r="AX44" s="19">
        <v>4.8140043763676151E-2</v>
      </c>
      <c r="AY44" s="19">
        <v>2.6258205689277898E-2</v>
      </c>
      <c r="AZ44" s="19">
        <v>5.4704595185995622E-3</v>
      </c>
      <c r="BA44" s="19">
        <v>4.3763676148796497E-3</v>
      </c>
      <c r="BB44" s="20">
        <v>0.11597374179431075</v>
      </c>
      <c r="BC44" s="15">
        <v>2189</v>
      </c>
      <c r="BD44" s="3">
        <v>2150</v>
      </c>
      <c r="BE44" s="3">
        <v>39</v>
      </c>
      <c r="BF44" s="3">
        <v>29</v>
      </c>
      <c r="BG44" s="3">
        <v>10</v>
      </c>
      <c r="BH44" s="19">
        <v>0.74358974358974361</v>
      </c>
      <c r="BI44" s="20">
        <v>0.25641025641025639</v>
      </c>
      <c r="BJ44" s="15">
        <v>1753</v>
      </c>
      <c r="BK44" s="19">
        <v>0.52367370222475751</v>
      </c>
      <c r="BL44" s="19">
        <v>0.27381631488876212</v>
      </c>
      <c r="BM44" s="20">
        <v>0.20250998288648031</v>
      </c>
      <c r="BN44" s="38">
        <v>3981</v>
      </c>
      <c r="BO44" s="39">
        <v>235</v>
      </c>
      <c r="BP44" s="39">
        <v>245</v>
      </c>
      <c r="BQ44" s="39">
        <v>197</v>
      </c>
      <c r="BR44" s="39">
        <v>3142</v>
      </c>
      <c r="BS44" s="39">
        <v>1712</v>
      </c>
      <c r="BT44" s="20">
        <v>0.1875</v>
      </c>
      <c r="BU44" s="38">
        <v>855</v>
      </c>
      <c r="BV44" s="39">
        <v>0</v>
      </c>
      <c r="BW44" s="39">
        <v>273</v>
      </c>
      <c r="BX44" s="39">
        <v>462</v>
      </c>
      <c r="BY44" s="39">
        <v>136</v>
      </c>
      <c r="BZ44" s="40">
        <v>1726</v>
      </c>
      <c r="CA44" s="39">
        <v>683</v>
      </c>
      <c r="CB44" s="39">
        <v>534</v>
      </c>
      <c r="CC44" s="39">
        <v>147</v>
      </c>
      <c r="CD44" s="39">
        <v>149</v>
      </c>
      <c r="CE44" s="19">
        <v>0.21522693997071743</v>
      </c>
      <c r="CF44" s="104">
        <v>0.21815519765739386</v>
      </c>
      <c r="CG44" s="39">
        <v>160</v>
      </c>
      <c r="CH44" s="39">
        <v>120</v>
      </c>
      <c r="CI44" s="39">
        <v>80</v>
      </c>
      <c r="CJ44" s="39">
        <v>100</v>
      </c>
      <c r="CK44" s="44">
        <v>90</v>
      </c>
      <c r="CL44" s="38">
        <v>461</v>
      </c>
      <c r="CM44" s="39">
        <v>196</v>
      </c>
      <c r="CN44" s="19">
        <v>0.42516268980477223</v>
      </c>
      <c r="CO44" s="40">
        <v>44</v>
      </c>
      <c r="CP44" s="39">
        <v>173</v>
      </c>
      <c r="CQ44" s="39">
        <v>162</v>
      </c>
      <c r="CR44" s="39">
        <v>167</v>
      </c>
      <c r="CS44" s="39">
        <v>138</v>
      </c>
      <c r="CT44" s="39">
        <v>151</v>
      </c>
      <c r="CU44" s="124" t="s">
        <v>474</v>
      </c>
      <c r="CV44" s="39">
        <v>16</v>
      </c>
      <c r="CW44" s="39">
        <v>8</v>
      </c>
      <c r="CX44" s="39">
        <v>5</v>
      </c>
      <c r="CY44" s="39">
        <v>5</v>
      </c>
      <c r="CZ44" s="39">
        <v>5</v>
      </c>
      <c r="DA44" s="120" t="s">
        <v>474</v>
      </c>
      <c r="DB44" s="15">
        <v>12</v>
      </c>
      <c r="DC44" s="15">
        <v>11</v>
      </c>
      <c r="DD44" s="19">
        <v>7.2847682119205295E-2</v>
      </c>
      <c r="DE44" s="19">
        <v>4.1161071759033392E-2</v>
      </c>
      <c r="DF44" s="20">
        <v>0.12572872001578086</v>
      </c>
      <c r="DG44" s="15">
        <v>21</v>
      </c>
      <c r="DH44" s="20">
        <v>2.2975929978118162E-2</v>
      </c>
      <c r="DI44" s="423">
        <v>2</v>
      </c>
      <c r="DJ44" s="428">
        <v>2</v>
      </c>
      <c r="DK44" s="3">
        <v>315</v>
      </c>
      <c r="DL44" s="20">
        <v>5.5545759125374711E-2</v>
      </c>
      <c r="DM44" s="15">
        <v>210</v>
      </c>
      <c r="DN44" s="3">
        <v>220</v>
      </c>
      <c r="DO44" s="3">
        <v>215</v>
      </c>
      <c r="DP44" s="3">
        <v>170</v>
      </c>
      <c r="DQ44" s="11">
        <v>170</v>
      </c>
      <c r="DR44" s="15">
        <v>195</v>
      </c>
      <c r="DS44" s="19">
        <v>0.23214285714285715</v>
      </c>
      <c r="DT44" s="19">
        <v>0.2048498825240892</v>
      </c>
      <c r="DU44" s="19">
        <v>0.26187458888444415</v>
      </c>
      <c r="DV44" s="3">
        <v>230</v>
      </c>
      <c r="DW44" s="19">
        <v>0.27380952380952384</v>
      </c>
      <c r="DX44" s="19">
        <v>0.24473541457202197</v>
      </c>
      <c r="DY44" s="19">
        <v>0.30494302795073952</v>
      </c>
      <c r="DZ44" s="3">
        <v>220</v>
      </c>
      <c r="EA44" s="19">
        <v>0.26190476190476192</v>
      </c>
      <c r="EB44" s="19">
        <v>0.23330377662264171</v>
      </c>
      <c r="EC44" s="19">
        <v>0.29267353129605461</v>
      </c>
      <c r="ED44" s="3">
        <v>210</v>
      </c>
      <c r="EE44" s="19">
        <v>0.23595505617977527</v>
      </c>
      <c r="EF44" s="19">
        <v>0.20923167326062522</v>
      </c>
      <c r="EG44" s="19">
        <v>0.26494800887215142</v>
      </c>
      <c r="EH44" s="3">
        <v>170</v>
      </c>
      <c r="EI44" s="20">
        <v>0.19540229885057472</v>
      </c>
      <c r="EJ44" s="20">
        <v>0.17041752754110948</v>
      </c>
      <c r="EK44" s="20">
        <v>0.22306512923822272</v>
      </c>
      <c r="EL44" s="438">
        <v>180</v>
      </c>
      <c r="EM44" s="20">
        <v>0.20930232558139536</v>
      </c>
      <c r="EN44" s="20">
        <v>0.18343591382141053</v>
      </c>
      <c r="EO44" s="104">
        <v>0.23775417274540703</v>
      </c>
      <c r="EP44" s="38">
        <v>645</v>
      </c>
      <c r="EQ44" s="20">
        <v>0.23800738007380073</v>
      </c>
      <c r="ER44" s="44">
        <v>700</v>
      </c>
      <c r="ES44" s="20">
        <v>0.26070763500931099</v>
      </c>
      <c r="ET44" s="44">
        <v>675</v>
      </c>
      <c r="EU44" s="20">
        <v>0.2504638218923933</v>
      </c>
      <c r="EV44" s="44">
        <v>655</v>
      </c>
      <c r="EW44" s="20">
        <v>0.23948811700182815</v>
      </c>
      <c r="EX44" s="44">
        <v>550</v>
      </c>
      <c r="EY44" s="20">
        <v>0.20220588235294118</v>
      </c>
      <c r="EZ44" s="44">
        <v>525</v>
      </c>
      <c r="FA44" s="104">
        <v>0.19090909090909092</v>
      </c>
      <c r="FB44" s="3">
        <v>146</v>
      </c>
      <c r="FC44" s="3">
        <v>13</v>
      </c>
      <c r="FD44" s="3">
        <v>133</v>
      </c>
      <c r="FE44" s="19">
        <v>0.91095890410958902</v>
      </c>
      <c r="FF44" s="3">
        <v>48</v>
      </c>
      <c r="FG44" s="3">
        <v>67</v>
      </c>
      <c r="FH44" s="19">
        <v>0.36090225563909772</v>
      </c>
      <c r="FI44" s="19">
        <v>0.50375939849624063</v>
      </c>
      <c r="FJ44" s="19">
        <v>0.28424408653110661</v>
      </c>
      <c r="FK44" s="19">
        <v>0.44537029973739656</v>
      </c>
      <c r="FL44" s="19">
        <v>0.41988066594915235</v>
      </c>
      <c r="FM44" s="104">
        <v>0.58742705334088818</v>
      </c>
      <c r="FN44" s="438">
        <v>147</v>
      </c>
      <c r="FO44" s="438">
        <v>47</v>
      </c>
      <c r="FP44" s="438">
        <v>17</v>
      </c>
      <c r="FQ44" s="438">
        <v>64</v>
      </c>
      <c r="FR44" s="497">
        <v>0.31972789115646261</v>
      </c>
      <c r="FS44" s="497">
        <v>0.43537414965986393</v>
      </c>
      <c r="FT44" s="497">
        <v>0.24975231000513165</v>
      </c>
      <c r="FU44" s="497">
        <v>0.39888540263459216</v>
      </c>
      <c r="FV44" s="497">
        <v>0.35788045644828609</v>
      </c>
      <c r="FW44" s="104">
        <v>0.5161594782716149</v>
      </c>
      <c r="FX44" s="438">
        <v>64</v>
      </c>
      <c r="FY44" s="438">
        <v>14</v>
      </c>
      <c r="FZ44" s="438">
        <v>50</v>
      </c>
      <c r="GA44" s="497">
        <v>0.78125</v>
      </c>
      <c r="GB44" s="438">
        <v>15</v>
      </c>
      <c r="GC44" s="438">
        <v>5</v>
      </c>
      <c r="GD44" s="438">
        <v>20</v>
      </c>
      <c r="GE44" s="497">
        <v>0.3</v>
      </c>
      <c r="GF44" s="497">
        <v>0.4</v>
      </c>
      <c r="GG44" s="497">
        <v>0.19103553500880946</v>
      </c>
      <c r="GH44" s="497">
        <v>0.43750350464453397</v>
      </c>
      <c r="GI44" s="497">
        <v>0.27608389730256544</v>
      </c>
      <c r="GJ44" s="104">
        <v>0.53818562252410629</v>
      </c>
      <c r="GK44" s="3">
        <v>122</v>
      </c>
      <c r="GL44" s="3">
        <v>13</v>
      </c>
      <c r="GM44" s="19">
        <v>0.10655737704918032</v>
      </c>
      <c r="GN44" s="19">
        <v>6.3336996121428402E-2</v>
      </c>
      <c r="GO44" s="19">
        <v>0.17379835736500793</v>
      </c>
      <c r="GP44" s="353" t="s">
        <v>725</v>
      </c>
      <c r="GQ44" s="3">
        <v>133</v>
      </c>
      <c r="GR44" s="3">
        <v>13</v>
      </c>
      <c r="GS44" s="19">
        <v>9.7744360902255634E-2</v>
      </c>
      <c r="GT44" s="19">
        <v>5.8014803824288148E-2</v>
      </c>
      <c r="GU44" s="19">
        <v>0.16005842542852139</v>
      </c>
      <c r="GV44" s="3" t="s">
        <v>725</v>
      </c>
      <c r="GW44" s="3">
        <v>150</v>
      </c>
      <c r="GX44" s="3">
        <v>12</v>
      </c>
      <c r="GY44" s="19">
        <v>0.08</v>
      </c>
      <c r="GZ44" s="19">
        <v>4.6353641518652906E-2</v>
      </c>
      <c r="HA44" s="19">
        <v>0.13462136375053141</v>
      </c>
      <c r="HB44" s="3" t="s">
        <v>725</v>
      </c>
      <c r="HC44" s="3">
        <v>170</v>
      </c>
      <c r="HD44" s="3">
        <v>13</v>
      </c>
      <c r="HE44" s="19">
        <v>7.6470588235294124E-2</v>
      </c>
      <c r="HF44" s="19">
        <v>4.5231780539752423E-2</v>
      </c>
      <c r="HG44" s="19">
        <v>0.12642726456452041</v>
      </c>
      <c r="HH44" s="3" t="s">
        <v>725</v>
      </c>
      <c r="HI44" s="3">
        <v>113</v>
      </c>
      <c r="HJ44" s="3">
        <v>12</v>
      </c>
      <c r="HK44" s="19">
        <v>0.10619469026548672</v>
      </c>
      <c r="HL44" s="19">
        <v>6.1798485171717647E-2</v>
      </c>
      <c r="HM44" s="19">
        <v>0.17648558883509405</v>
      </c>
      <c r="HN44" s="11" t="s">
        <v>725</v>
      </c>
      <c r="HO44" s="11">
        <v>165</v>
      </c>
      <c r="HP44" s="11">
        <v>22</v>
      </c>
      <c r="HQ44" s="497">
        <v>0.13333333333333333</v>
      </c>
      <c r="HR44" s="497">
        <v>8.9726674413001264E-2</v>
      </c>
      <c r="HS44" s="497">
        <v>0.19362469648163597</v>
      </c>
      <c r="HT44" s="8" t="str">
        <f t="shared" si="0"/>
        <v>No Sig diff</v>
      </c>
      <c r="HU44" s="3">
        <v>115</v>
      </c>
      <c r="HV44" s="3">
        <v>15</v>
      </c>
      <c r="HW44" s="19">
        <v>0.13043478260869565</v>
      </c>
      <c r="HX44" s="19">
        <v>8.0663846927720689E-2</v>
      </c>
      <c r="HY44" s="19">
        <v>0.20409754153481507</v>
      </c>
      <c r="HZ44" s="3" t="s">
        <v>725</v>
      </c>
      <c r="IA44" s="3">
        <v>132</v>
      </c>
      <c r="IB44" s="3">
        <v>18</v>
      </c>
      <c r="IC44" s="19">
        <v>0.13636363636363635</v>
      </c>
      <c r="ID44" s="19">
        <v>8.8028458868182197E-2</v>
      </c>
      <c r="IE44" s="19">
        <v>0.20526534971262397</v>
      </c>
      <c r="IF44" s="3" t="s">
        <v>725</v>
      </c>
      <c r="IG44" s="3">
        <v>130</v>
      </c>
      <c r="IH44" s="3">
        <v>32</v>
      </c>
      <c r="II44" s="19">
        <v>0.24615384615384617</v>
      </c>
      <c r="IJ44" s="19">
        <v>0.18009792380442399</v>
      </c>
      <c r="IK44" s="19">
        <v>0.32678133034044121</v>
      </c>
      <c r="IL44" s="3" t="s">
        <v>725</v>
      </c>
      <c r="IM44" s="3">
        <v>127</v>
      </c>
      <c r="IN44" s="3">
        <v>14</v>
      </c>
      <c r="IO44" s="19">
        <v>0.11023622047244094</v>
      </c>
      <c r="IP44" s="19">
        <v>6.6810002178845376E-2</v>
      </c>
      <c r="IQ44" s="19">
        <v>0.17654909139660793</v>
      </c>
      <c r="IR44" s="3" t="s">
        <v>726</v>
      </c>
      <c r="IS44" s="3">
        <v>133</v>
      </c>
      <c r="IT44" s="3">
        <v>22</v>
      </c>
      <c r="IU44" s="19">
        <v>0.16541353383458646</v>
      </c>
      <c r="IV44" s="19">
        <v>0.11184855141915906</v>
      </c>
      <c r="IW44" s="19">
        <v>0.23776376076308434</v>
      </c>
      <c r="IX44" s="580" t="s">
        <v>725</v>
      </c>
      <c r="IY44" s="580">
        <v>154</v>
      </c>
      <c r="IZ44" s="580">
        <v>35</v>
      </c>
      <c r="JA44" s="497">
        <v>0.22727272727272727</v>
      </c>
      <c r="JB44" s="497">
        <v>0.16819723652281077</v>
      </c>
      <c r="JC44" s="497">
        <v>0.29962319147118716</v>
      </c>
      <c r="JD44" s="371" t="str">
        <f t="shared" si="1"/>
        <v>Sig better than Eng.</v>
      </c>
      <c r="JE44" s="3">
        <v>193</v>
      </c>
      <c r="JF44" s="3">
        <v>111</v>
      </c>
      <c r="JG44" s="19">
        <v>0.57512953367875652</v>
      </c>
      <c r="JH44" s="19">
        <v>0.50459186111857379</v>
      </c>
      <c r="JI44" s="19">
        <v>0.64273482592054509</v>
      </c>
      <c r="JJ44" s="3">
        <v>193</v>
      </c>
      <c r="JK44" s="3">
        <v>34</v>
      </c>
      <c r="JL44" s="3">
        <v>38</v>
      </c>
      <c r="JM44" s="383">
        <v>22.710526315789476</v>
      </c>
      <c r="JN44" s="19">
        <v>0.33204334365325072</v>
      </c>
      <c r="JO44" s="3">
        <v>179</v>
      </c>
      <c r="JP44" s="3">
        <v>106</v>
      </c>
      <c r="JQ44" s="19">
        <v>0.59217877094972071</v>
      </c>
      <c r="JR44" s="19">
        <v>0.5189842940127406</v>
      </c>
      <c r="JS44" s="19">
        <v>0.66149993649409367</v>
      </c>
      <c r="JT44" s="3">
        <v>179</v>
      </c>
      <c r="JU44" s="3">
        <v>34</v>
      </c>
      <c r="JV44" s="3">
        <v>35</v>
      </c>
      <c r="JW44" s="383">
        <v>23.685714285714287</v>
      </c>
      <c r="JX44" s="20">
        <v>0.3033613445378151</v>
      </c>
      <c r="JY44" s="44">
        <v>188</v>
      </c>
      <c r="JZ44" s="44">
        <v>111</v>
      </c>
      <c r="KA44" s="20">
        <v>0.59042553191489366</v>
      </c>
      <c r="KB44" s="20">
        <v>0.51900464650099754</v>
      </c>
      <c r="KC44" s="20">
        <v>0.65822503163535528</v>
      </c>
      <c r="KD44" s="438">
        <v>34</v>
      </c>
      <c r="KE44" s="438">
        <v>37</v>
      </c>
      <c r="KF44" s="384">
        <v>23.2</v>
      </c>
      <c r="KG44" s="104">
        <v>0.317</v>
      </c>
      <c r="KH44" s="19"/>
      <c r="KI44" s="19">
        <v>0.1388888888888889</v>
      </c>
      <c r="KJ44" s="19">
        <v>6.0817253631150994E-2</v>
      </c>
      <c r="KK44" s="19">
        <v>0.28659851280393195</v>
      </c>
      <c r="KL44" s="19"/>
      <c r="KM44" s="19">
        <v>0.1111111111111111</v>
      </c>
      <c r="KN44" s="19">
        <v>4.4065689087418335E-2</v>
      </c>
      <c r="KO44" s="19">
        <v>0.25315129015036325</v>
      </c>
      <c r="KP44" s="19"/>
      <c r="KQ44" s="19">
        <v>0.1388888888888889</v>
      </c>
      <c r="KR44" s="19">
        <v>6.0817253631150994E-2</v>
      </c>
      <c r="KS44" s="19">
        <v>0.28659851280393195</v>
      </c>
      <c r="KT44" s="19"/>
      <c r="KU44" s="19">
        <v>0.27777777777777779</v>
      </c>
      <c r="KV44" s="19">
        <v>0.15848170025813799</v>
      </c>
      <c r="KW44" s="104">
        <v>0.43992800216345151</v>
      </c>
      <c r="KX44" s="438">
        <v>15</v>
      </c>
      <c r="KY44" s="438">
        <v>69</v>
      </c>
      <c r="KZ44" s="497">
        <v>0.21739130434782608</v>
      </c>
      <c r="LA44" s="497">
        <v>0.13640766010620264</v>
      </c>
      <c r="LB44" s="497">
        <v>0.32818296408760916</v>
      </c>
      <c r="LC44" s="438">
        <v>13</v>
      </c>
      <c r="LD44" s="438">
        <v>69</v>
      </c>
      <c r="LE44" s="497">
        <v>0.18840579710144928</v>
      </c>
      <c r="LF44" s="497">
        <v>0.11354748324355968</v>
      </c>
      <c r="LG44" s="497">
        <v>0.29612935881628411</v>
      </c>
      <c r="LH44" s="438">
        <v>13</v>
      </c>
      <c r="LI44" s="438">
        <v>69</v>
      </c>
      <c r="LJ44" s="497">
        <v>0.18840579710144928</v>
      </c>
      <c r="LK44" s="497">
        <v>0.11354748324355968</v>
      </c>
      <c r="LL44" s="497">
        <v>0.29612935881628411</v>
      </c>
      <c r="LM44" s="438">
        <v>19</v>
      </c>
      <c r="LN44" s="438">
        <v>69</v>
      </c>
      <c r="LO44" s="497">
        <v>0.27536231884057971</v>
      </c>
      <c r="LP44" s="497">
        <v>0.1839452163184169</v>
      </c>
      <c r="LQ44" s="104">
        <v>0.39047297214333093</v>
      </c>
      <c r="LR44" s="3">
        <v>44</v>
      </c>
      <c r="LS44" s="3">
        <v>44</v>
      </c>
      <c r="LT44" s="3">
        <v>44</v>
      </c>
      <c r="LU44" s="3">
        <v>44</v>
      </c>
      <c r="LV44" s="3">
        <v>44</v>
      </c>
      <c r="LW44" s="3">
        <v>49</v>
      </c>
      <c r="LX44" s="3">
        <v>45</v>
      </c>
      <c r="LY44" s="3">
        <v>47</v>
      </c>
      <c r="LZ44" s="3">
        <v>44</v>
      </c>
      <c r="MA44" s="3">
        <v>47</v>
      </c>
      <c r="MB44" s="3">
        <v>48</v>
      </c>
      <c r="MC44" s="3">
        <v>44</v>
      </c>
      <c r="MD44" s="3">
        <v>47</v>
      </c>
      <c r="ME44" s="3">
        <v>52</v>
      </c>
      <c r="MF44" s="3">
        <v>50</v>
      </c>
      <c r="MG44" s="3">
        <v>50</v>
      </c>
      <c r="MH44" s="3">
        <v>48</v>
      </c>
      <c r="MI44" s="3">
        <v>50</v>
      </c>
      <c r="MJ44" s="3">
        <v>50</v>
      </c>
      <c r="MK44" s="3">
        <v>48</v>
      </c>
      <c r="ML44" s="3">
        <v>50</v>
      </c>
      <c r="MM44" s="3">
        <v>50</v>
      </c>
      <c r="MN44" s="8">
        <v>50</v>
      </c>
      <c r="MO44" s="3">
        <v>68</v>
      </c>
      <c r="MP44" s="24">
        <v>0.86799999999999999</v>
      </c>
      <c r="MQ44" s="24">
        <v>0</v>
      </c>
      <c r="MR44" s="24">
        <v>0.85299999999999998</v>
      </c>
      <c r="MS44" s="3">
        <v>59</v>
      </c>
      <c r="MT44" s="3">
        <v>0</v>
      </c>
      <c r="MU44" s="3">
        <v>58</v>
      </c>
      <c r="MV44" s="3">
        <v>84</v>
      </c>
      <c r="MW44" s="24">
        <v>0.94</v>
      </c>
      <c r="MX44" s="24">
        <v>0.77400000000000002</v>
      </c>
      <c r="MY44" s="24">
        <v>0.92900000000000005</v>
      </c>
      <c r="MZ44" s="24">
        <v>0.82099999999999995</v>
      </c>
      <c r="NA44" s="24">
        <v>0.77400000000000002</v>
      </c>
      <c r="NB44" s="3">
        <v>79</v>
      </c>
      <c r="NC44" s="3">
        <v>65</v>
      </c>
      <c r="ND44" s="3">
        <v>78</v>
      </c>
      <c r="NE44" s="3">
        <v>69</v>
      </c>
      <c r="NF44" s="3">
        <v>65</v>
      </c>
      <c r="NG44" s="3">
        <v>81</v>
      </c>
      <c r="NH44" s="24">
        <v>0.96299999999999997</v>
      </c>
      <c r="NI44" s="24">
        <v>0.88900000000000001</v>
      </c>
      <c r="NJ44" s="24">
        <v>0.96299999999999997</v>
      </c>
      <c r="NK44" s="24">
        <v>0.96299999999999997</v>
      </c>
      <c r="NL44" s="24">
        <v>0.96299999999999997</v>
      </c>
      <c r="NM44" s="24">
        <v>0.90100000000000002</v>
      </c>
      <c r="NN44" s="24">
        <v>0.97499999999999998</v>
      </c>
      <c r="NO44" s="24">
        <v>0.88900000000000001</v>
      </c>
      <c r="NP44" s="24">
        <v>0.97499999999999998</v>
      </c>
      <c r="NQ44" s="24">
        <v>0.96299999999999997</v>
      </c>
      <c r="NR44" s="3">
        <v>78</v>
      </c>
      <c r="NS44" s="3">
        <v>72</v>
      </c>
      <c r="NT44" s="3">
        <v>78</v>
      </c>
      <c r="NU44" s="3">
        <v>78</v>
      </c>
      <c r="NV44" s="3">
        <v>78</v>
      </c>
      <c r="NW44" s="3">
        <v>73</v>
      </c>
      <c r="NX44" s="3">
        <v>79</v>
      </c>
      <c r="NY44" s="3">
        <v>72</v>
      </c>
      <c r="NZ44" s="3">
        <v>79</v>
      </c>
      <c r="OA44" s="8">
        <v>78</v>
      </c>
    </row>
    <row r="45" spans="1:391" s="3" customFormat="1" ht="12.75" x14ac:dyDescent="0.2">
      <c r="A45" s="11" t="s">
        <v>70</v>
      </c>
      <c r="B45" s="8">
        <v>40</v>
      </c>
      <c r="C45" s="11" t="s">
        <v>253</v>
      </c>
      <c r="D45" s="11" t="s">
        <v>254</v>
      </c>
      <c r="E45" s="11" t="s">
        <v>287</v>
      </c>
      <c r="F45" s="11" t="s">
        <v>287</v>
      </c>
      <c r="G45" s="11" t="s">
        <v>255</v>
      </c>
      <c r="H45" s="11" t="s">
        <v>82</v>
      </c>
      <c r="I45" s="11" t="s">
        <v>82</v>
      </c>
      <c r="J45" s="11" t="s">
        <v>269</v>
      </c>
      <c r="K45" s="11" t="s">
        <v>394</v>
      </c>
      <c r="L45" s="11" t="s">
        <v>272</v>
      </c>
      <c r="M45" s="11" t="s">
        <v>908</v>
      </c>
      <c r="N45" s="3" t="s">
        <v>401</v>
      </c>
      <c r="O45" s="11">
        <v>512619</v>
      </c>
      <c r="P45" s="11">
        <v>106696</v>
      </c>
      <c r="Q45" s="128">
        <v>21168</v>
      </c>
      <c r="R45" s="128" t="s">
        <v>287</v>
      </c>
      <c r="S45" s="400" t="s">
        <v>817</v>
      </c>
      <c r="T45" s="38">
        <v>20380</v>
      </c>
      <c r="U45" s="39">
        <v>20385</v>
      </c>
      <c r="V45" s="39">
        <v>20465</v>
      </c>
      <c r="W45" s="39">
        <v>20610</v>
      </c>
      <c r="X45" s="39">
        <v>20715</v>
      </c>
      <c r="Y45" s="39">
        <v>20880</v>
      </c>
      <c r="Z45" s="39">
        <v>21010</v>
      </c>
      <c r="AA45" s="39">
        <v>21080</v>
      </c>
      <c r="AB45" s="39">
        <v>21065</v>
      </c>
      <c r="AC45" s="44">
        <v>21251</v>
      </c>
      <c r="AD45" s="38">
        <v>980</v>
      </c>
      <c r="AE45" s="39">
        <v>975</v>
      </c>
      <c r="AF45" s="39">
        <v>970</v>
      </c>
      <c r="AG45" s="39">
        <v>1010</v>
      </c>
      <c r="AH45" s="39">
        <v>970</v>
      </c>
      <c r="AI45" s="39">
        <v>1000</v>
      </c>
      <c r="AJ45" s="39">
        <v>1030</v>
      </c>
      <c r="AK45" s="39">
        <v>1000</v>
      </c>
      <c r="AL45" s="39">
        <v>970</v>
      </c>
      <c r="AM45" s="44">
        <v>959</v>
      </c>
      <c r="AN45" s="15">
        <v>1050</v>
      </c>
      <c r="AO45" s="3">
        <v>953</v>
      </c>
      <c r="AP45" s="3">
        <v>28</v>
      </c>
      <c r="AQ45" s="3">
        <v>56</v>
      </c>
      <c r="AR45" s="3">
        <v>10</v>
      </c>
      <c r="AS45" s="3">
        <v>1</v>
      </c>
      <c r="AT45" s="3">
        <v>2</v>
      </c>
      <c r="AU45" s="11">
        <v>97</v>
      </c>
      <c r="AV45" s="18">
        <v>0.90761904761904766</v>
      </c>
      <c r="AW45" s="19">
        <v>2.6666666666666668E-2</v>
      </c>
      <c r="AX45" s="19">
        <v>5.3333333333333337E-2</v>
      </c>
      <c r="AY45" s="19">
        <v>9.5238095238095247E-3</v>
      </c>
      <c r="AZ45" s="19">
        <v>9.5238095238095238E-4</v>
      </c>
      <c r="BA45" s="19">
        <v>1.9047619047619048E-3</v>
      </c>
      <c r="BB45" s="20">
        <v>9.2380952380952341E-2</v>
      </c>
      <c r="BC45" s="15">
        <v>2959</v>
      </c>
      <c r="BD45" s="3">
        <v>2944</v>
      </c>
      <c r="BE45" s="3">
        <v>15</v>
      </c>
      <c r="BF45" s="3">
        <v>13</v>
      </c>
      <c r="BG45" s="3">
        <v>2</v>
      </c>
      <c r="BH45" s="19">
        <v>0.8666666666666667</v>
      </c>
      <c r="BI45" s="20">
        <v>0.13333333333333333</v>
      </c>
      <c r="BJ45" s="38">
        <v>2130</v>
      </c>
      <c r="BK45" s="19">
        <v>0.784037558685446</v>
      </c>
      <c r="BL45" s="19">
        <v>3.5680751173708919E-2</v>
      </c>
      <c r="BM45" s="20">
        <v>0.18028169014084508</v>
      </c>
      <c r="BN45" s="38">
        <v>6430</v>
      </c>
      <c r="BO45" s="39">
        <v>329</v>
      </c>
      <c r="BP45" s="39">
        <v>333</v>
      </c>
      <c r="BQ45" s="39">
        <v>143</v>
      </c>
      <c r="BR45" s="39">
        <v>4068</v>
      </c>
      <c r="BS45" s="39">
        <v>2320</v>
      </c>
      <c r="BT45" s="20">
        <v>0.13620689655172413</v>
      </c>
      <c r="BU45" s="38">
        <v>1468</v>
      </c>
      <c r="BV45" s="39">
        <v>1</v>
      </c>
      <c r="BW45" s="39">
        <v>302</v>
      </c>
      <c r="BX45" s="39">
        <v>371</v>
      </c>
      <c r="BY45" s="39">
        <v>185</v>
      </c>
      <c r="BZ45" s="40">
        <v>2327</v>
      </c>
      <c r="CA45" s="39">
        <v>810</v>
      </c>
      <c r="CB45" s="39">
        <v>691</v>
      </c>
      <c r="CC45" s="39">
        <v>117</v>
      </c>
      <c r="CD45" s="39">
        <v>119</v>
      </c>
      <c r="CE45" s="19">
        <v>0.14444444444444443</v>
      </c>
      <c r="CF45" s="104">
        <v>0.14691358024691359</v>
      </c>
      <c r="CG45" s="39">
        <v>85</v>
      </c>
      <c r="CH45" s="39">
        <v>80</v>
      </c>
      <c r="CI45" s="39">
        <v>50</v>
      </c>
      <c r="CJ45" s="39">
        <v>55</v>
      </c>
      <c r="CK45" s="44">
        <v>45</v>
      </c>
      <c r="CL45" s="38">
        <v>371</v>
      </c>
      <c r="CM45" s="39">
        <v>99</v>
      </c>
      <c r="CN45" s="19">
        <v>0.26684636118598382</v>
      </c>
      <c r="CO45" s="40">
        <v>34</v>
      </c>
      <c r="CP45" s="39">
        <v>190</v>
      </c>
      <c r="CQ45" s="39">
        <v>159</v>
      </c>
      <c r="CR45" s="39">
        <v>176</v>
      </c>
      <c r="CS45" s="39">
        <v>153</v>
      </c>
      <c r="CT45" s="39">
        <v>160</v>
      </c>
      <c r="CU45" s="124" t="s">
        <v>474</v>
      </c>
      <c r="CV45" s="39">
        <v>4</v>
      </c>
      <c r="CW45" s="39">
        <v>8</v>
      </c>
      <c r="CX45" s="39">
        <v>7</v>
      </c>
      <c r="CY45" s="39">
        <v>3</v>
      </c>
      <c r="CZ45" s="39">
        <v>5</v>
      </c>
      <c r="DA45" s="120" t="s">
        <v>474</v>
      </c>
      <c r="DB45" s="15">
        <v>13</v>
      </c>
      <c r="DC45" s="15">
        <v>7</v>
      </c>
      <c r="DD45" s="19">
        <v>4.3749999999999997E-2</v>
      </c>
      <c r="DE45" s="19">
        <v>2.1351611551534529E-2</v>
      </c>
      <c r="DF45" s="20">
        <v>8.7543041542463937E-2</v>
      </c>
      <c r="DG45" s="15">
        <v>18</v>
      </c>
      <c r="DH45" s="20">
        <v>1.7142857142857144E-2</v>
      </c>
      <c r="DI45" s="423">
        <v>8</v>
      </c>
      <c r="DJ45" s="428">
        <v>8</v>
      </c>
      <c r="DK45" s="3">
        <v>215</v>
      </c>
      <c r="DL45" s="20">
        <v>2.387827632163483E-2</v>
      </c>
      <c r="DM45" s="15">
        <v>115</v>
      </c>
      <c r="DN45" s="3">
        <v>115</v>
      </c>
      <c r="DO45" s="3">
        <v>110</v>
      </c>
      <c r="DP45" s="3">
        <v>85</v>
      </c>
      <c r="DQ45" s="11">
        <v>80</v>
      </c>
      <c r="DR45" s="15">
        <v>70</v>
      </c>
      <c r="DS45" s="19">
        <v>7.2916666666666671E-2</v>
      </c>
      <c r="DT45" s="19">
        <v>5.8116676905471398E-2</v>
      </c>
      <c r="DU45" s="19">
        <v>9.1120998548633883E-2</v>
      </c>
      <c r="DV45" s="3">
        <v>110</v>
      </c>
      <c r="DW45" s="19">
        <v>0.11518324607329843</v>
      </c>
      <c r="DX45" s="19">
        <v>9.645950088331233E-2</v>
      </c>
      <c r="DY45" s="19">
        <v>0.13699041595278588</v>
      </c>
      <c r="DZ45" s="3">
        <v>110</v>
      </c>
      <c r="EA45" s="19">
        <v>0.11282051282051282</v>
      </c>
      <c r="EB45" s="19">
        <v>9.4462381320112393E-2</v>
      </c>
      <c r="EC45" s="19">
        <v>0.13421761256814996</v>
      </c>
      <c r="ED45" s="3">
        <v>105</v>
      </c>
      <c r="EE45" s="19">
        <v>0.1099476439790576</v>
      </c>
      <c r="EF45" s="19">
        <v>9.16482958291856E-2</v>
      </c>
      <c r="EG45" s="19">
        <v>0.13137236817475068</v>
      </c>
      <c r="EH45" s="3">
        <v>95</v>
      </c>
      <c r="EI45" s="20">
        <v>0.10326086956521739</v>
      </c>
      <c r="EJ45" s="20">
        <v>8.5219021858840227E-2</v>
      </c>
      <c r="EK45" s="20">
        <v>0.12460210813043025</v>
      </c>
      <c r="EL45" s="438">
        <v>80</v>
      </c>
      <c r="EM45" s="20">
        <v>0.1</v>
      </c>
      <c r="EN45" s="20">
        <v>8.1084815650398406E-2</v>
      </c>
      <c r="EO45" s="104">
        <v>0.12273828531414242</v>
      </c>
      <c r="EP45" s="38">
        <v>255</v>
      </c>
      <c r="EQ45" s="20">
        <v>7.4561403508771926E-2</v>
      </c>
      <c r="ER45" s="44">
        <v>285</v>
      </c>
      <c r="ES45" s="20">
        <v>8.3211678832116789E-2</v>
      </c>
      <c r="ET45" s="44">
        <v>250</v>
      </c>
      <c r="EU45" s="20">
        <v>7.2463768115942032E-2</v>
      </c>
      <c r="EV45" s="44">
        <v>285</v>
      </c>
      <c r="EW45" s="20">
        <v>8.3333333333333329E-2</v>
      </c>
      <c r="EX45" s="44">
        <v>255</v>
      </c>
      <c r="EY45" s="20">
        <v>7.5667655786350152E-2</v>
      </c>
      <c r="EZ45" s="44">
        <v>235</v>
      </c>
      <c r="FA45" s="104">
        <v>7.1975497702909647E-2</v>
      </c>
      <c r="FB45" s="3">
        <v>170</v>
      </c>
      <c r="FC45" s="3">
        <v>8</v>
      </c>
      <c r="FD45" s="3">
        <v>162</v>
      </c>
      <c r="FE45" s="19">
        <v>0.95294117647058818</v>
      </c>
      <c r="FF45" s="3">
        <v>58</v>
      </c>
      <c r="FG45" s="3">
        <v>84</v>
      </c>
      <c r="FH45" s="19">
        <v>0.35802469135802467</v>
      </c>
      <c r="FI45" s="19">
        <v>0.51851851851851849</v>
      </c>
      <c r="FJ45" s="19">
        <v>0.28827262158110739</v>
      </c>
      <c r="FK45" s="19">
        <v>0.43435427058587606</v>
      </c>
      <c r="FL45" s="19">
        <v>0.44204148501870449</v>
      </c>
      <c r="FM45" s="104">
        <v>0.59413761600299331</v>
      </c>
      <c r="FN45" s="438">
        <v>161</v>
      </c>
      <c r="FO45" s="438">
        <v>67</v>
      </c>
      <c r="FP45" s="438">
        <v>28</v>
      </c>
      <c r="FQ45" s="438">
        <v>95</v>
      </c>
      <c r="FR45" s="497">
        <v>0.41614906832298137</v>
      </c>
      <c r="FS45" s="497">
        <v>0.59006211180124224</v>
      </c>
      <c r="FT45" s="497">
        <v>0.34283056382297622</v>
      </c>
      <c r="FU45" s="497">
        <v>0.49337569039751583</v>
      </c>
      <c r="FV45" s="497">
        <v>0.51285423818821019</v>
      </c>
      <c r="FW45" s="104">
        <v>0.66307237764903915</v>
      </c>
      <c r="FX45" s="438">
        <v>99</v>
      </c>
      <c r="FY45" s="438">
        <v>3</v>
      </c>
      <c r="FZ45" s="438">
        <v>96</v>
      </c>
      <c r="GA45" s="497">
        <v>0.96969696969696972</v>
      </c>
      <c r="GB45" s="438">
        <v>38</v>
      </c>
      <c r="GC45" s="438">
        <v>16</v>
      </c>
      <c r="GD45" s="438">
        <v>54</v>
      </c>
      <c r="GE45" s="497">
        <v>0.39583333333333331</v>
      </c>
      <c r="GF45" s="497">
        <v>0.5625</v>
      </c>
      <c r="GG45" s="497">
        <v>0.30383353462051027</v>
      </c>
      <c r="GH45" s="497">
        <v>0.49584887951650553</v>
      </c>
      <c r="GI45" s="497">
        <v>0.46275882627554077</v>
      </c>
      <c r="GJ45" s="104">
        <v>0.65743172524224991</v>
      </c>
      <c r="GK45" s="3">
        <v>149</v>
      </c>
      <c r="GL45" s="3">
        <v>12</v>
      </c>
      <c r="GM45" s="19">
        <v>8.0536912751677847E-2</v>
      </c>
      <c r="GN45" s="19">
        <v>4.6668847532353522E-2</v>
      </c>
      <c r="GO45" s="19">
        <v>0.13549022786194978</v>
      </c>
      <c r="GP45" s="353" t="s">
        <v>725</v>
      </c>
      <c r="GQ45" s="3">
        <v>195</v>
      </c>
      <c r="GR45" s="3">
        <v>12</v>
      </c>
      <c r="GS45" s="19">
        <v>6.1538461538461542E-2</v>
      </c>
      <c r="GT45" s="19">
        <v>3.5549562909461881E-2</v>
      </c>
      <c r="GU45" s="19">
        <v>0.10446881648595506</v>
      </c>
      <c r="GV45" s="3" t="s">
        <v>725</v>
      </c>
      <c r="GW45" s="3">
        <v>178</v>
      </c>
      <c r="GX45" s="3">
        <v>11</v>
      </c>
      <c r="GY45" s="19">
        <v>6.1797752808988762E-2</v>
      </c>
      <c r="GZ45" s="19">
        <v>3.4853872292265949E-2</v>
      </c>
      <c r="HA45" s="19">
        <v>0.1072559578217525</v>
      </c>
      <c r="HB45" s="3" t="s">
        <v>725</v>
      </c>
      <c r="HC45" s="3">
        <v>217</v>
      </c>
      <c r="HD45" s="3">
        <v>25</v>
      </c>
      <c r="HE45" s="19">
        <v>0.1152073732718894</v>
      </c>
      <c r="HF45" s="19">
        <v>7.9263660950678702E-2</v>
      </c>
      <c r="HG45" s="19">
        <v>0.16453774802483956</v>
      </c>
      <c r="HH45" s="3" t="s">
        <v>725</v>
      </c>
      <c r="HI45" s="3">
        <v>115</v>
      </c>
      <c r="HJ45" s="3">
        <v>7</v>
      </c>
      <c r="HK45" s="19">
        <v>6.0869565217391307E-2</v>
      </c>
      <c r="HL45" s="19">
        <v>2.9795116013329806E-2</v>
      </c>
      <c r="HM45" s="19">
        <v>0.12033312204215381</v>
      </c>
      <c r="HN45" s="11" t="s">
        <v>725</v>
      </c>
      <c r="HO45" s="11">
        <v>189</v>
      </c>
      <c r="HP45" s="11">
        <v>12</v>
      </c>
      <c r="HQ45" s="497">
        <v>6.3492063492063489E-2</v>
      </c>
      <c r="HR45" s="497">
        <v>3.6689732951979262E-2</v>
      </c>
      <c r="HS45" s="497">
        <v>0.10768512809167931</v>
      </c>
      <c r="HT45" s="8" t="str">
        <f t="shared" si="0"/>
        <v>No Sig diff</v>
      </c>
      <c r="HU45" s="3">
        <v>202</v>
      </c>
      <c r="HV45" s="3">
        <v>26</v>
      </c>
      <c r="HW45" s="19">
        <v>0.12871287128712872</v>
      </c>
      <c r="HX45" s="19">
        <v>8.9372024897603541E-2</v>
      </c>
      <c r="HY45" s="19">
        <v>0.18191180266862503</v>
      </c>
      <c r="HZ45" s="3" t="s">
        <v>726</v>
      </c>
      <c r="IA45" s="3">
        <v>198</v>
      </c>
      <c r="IB45" s="3">
        <v>24</v>
      </c>
      <c r="IC45" s="19">
        <v>0.12121212121212122</v>
      </c>
      <c r="ID45" s="19">
        <v>8.2822315097491175E-2</v>
      </c>
      <c r="IE45" s="19">
        <v>0.17402015484693928</v>
      </c>
      <c r="IF45" s="3" t="s">
        <v>726</v>
      </c>
      <c r="IG45" s="3">
        <v>168</v>
      </c>
      <c r="IH45" s="3">
        <v>21</v>
      </c>
      <c r="II45" s="19">
        <v>0.125</v>
      </c>
      <c r="IJ45" s="19">
        <v>8.3230069008517427E-2</v>
      </c>
      <c r="IK45" s="19">
        <v>0.18353593225388359</v>
      </c>
      <c r="IL45" s="3" t="s">
        <v>726</v>
      </c>
      <c r="IM45" s="3">
        <v>171</v>
      </c>
      <c r="IN45" s="3">
        <v>29</v>
      </c>
      <c r="IO45" s="19">
        <v>0.16959064327485379</v>
      </c>
      <c r="IP45" s="19">
        <v>0.12075302396653985</v>
      </c>
      <c r="IQ45" s="19">
        <v>0.23294717527576139</v>
      </c>
      <c r="IR45" s="3" t="s">
        <v>725</v>
      </c>
      <c r="IS45" s="3">
        <v>163</v>
      </c>
      <c r="IT45" s="3">
        <v>28</v>
      </c>
      <c r="IU45" s="19">
        <v>0.17177914110429449</v>
      </c>
      <c r="IV45" s="19">
        <v>0.1216054918926783</v>
      </c>
      <c r="IW45" s="19">
        <v>0.23706710209971912</v>
      </c>
      <c r="IX45" s="580" t="s">
        <v>725</v>
      </c>
      <c r="IY45" s="580">
        <v>189</v>
      </c>
      <c r="IZ45" s="580">
        <v>30</v>
      </c>
      <c r="JA45" s="497">
        <v>0.15873015873015872</v>
      </c>
      <c r="JB45" s="497">
        <v>0.1135065321415808</v>
      </c>
      <c r="JC45" s="497">
        <v>0.21755017740164317</v>
      </c>
      <c r="JD45" s="371" t="str">
        <f t="shared" si="1"/>
        <v>Sig better than Eng.</v>
      </c>
      <c r="JE45" s="3">
        <v>231</v>
      </c>
      <c r="JF45" s="3">
        <v>132</v>
      </c>
      <c r="JG45" s="19">
        <v>0.5714285714285714</v>
      </c>
      <c r="JH45" s="19">
        <v>0.50695673142312703</v>
      </c>
      <c r="JI45" s="19">
        <v>0.63356360159522707</v>
      </c>
      <c r="JJ45" s="3">
        <v>231</v>
      </c>
      <c r="JK45" s="3">
        <v>34</v>
      </c>
      <c r="JL45" s="3">
        <v>46</v>
      </c>
      <c r="JM45" s="383">
        <v>24.978260869565222</v>
      </c>
      <c r="JN45" s="19">
        <v>0.26534526854219936</v>
      </c>
      <c r="JO45" s="3">
        <v>203</v>
      </c>
      <c r="JP45" s="3">
        <v>123</v>
      </c>
      <c r="JQ45" s="19">
        <v>0.60591133004926112</v>
      </c>
      <c r="JR45" s="19">
        <v>0.53732196053928849</v>
      </c>
      <c r="JS45" s="19">
        <v>0.6705667298865301</v>
      </c>
      <c r="JT45" s="3">
        <v>203</v>
      </c>
      <c r="JU45" s="3">
        <v>34</v>
      </c>
      <c r="JV45" s="3">
        <v>40</v>
      </c>
      <c r="JW45" s="383">
        <v>25.949999999999996</v>
      </c>
      <c r="JX45" s="20">
        <v>0.23676470588235307</v>
      </c>
      <c r="JY45" s="44">
        <v>206</v>
      </c>
      <c r="JZ45" s="44">
        <v>148</v>
      </c>
      <c r="KA45" s="20">
        <v>0.71844660194174759</v>
      </c>
      <c r="KB45" s="20">
        <v>0.65346362488872112</v>
      </c>
      <c r="KC45" s="20">
        <v>0.77543160156366187</v>
      </c>
      <c r="KD45" s="438">
        <v>34</v>
      </c>
      <c r="KE45" s="438">
        <v>41</v>
      </c>
      <c r="KF45" s="384">
        <v>27.5</v>
      </c>
      <c r="KG45" s="104">
        <v>0.192</v>
      </c>
      <c r="KH45" s="19"/>
      <c r="KI45" s="19">
        <v>0.12328767123287671</v>
      </c>
      <c r="KJ45" s="19">
        <v>6.6236761640452516E-2</v>
      </c>
      <c r="KK45" s="19">
        <v>0.21800510734717918</v>
      </c>
      <c r="KL45" s="19"/>
      <c r="KM45" s="19">
        <v>9.5890410958904104E-2</v>
      </c>
      <c r="KN45" s="19">
        <v>4.7228354329351081E-2</v>
      </c>
      <c r="KO45" s="19">
        <v>0.18495837785738112</v>
      </c>
      <c r="KP45" s="19"/>
      <c r="KQ45" s="19">
        <v>0.1095890410958904</v>
      </c>
      <c r="KR45" s="19">
        <v>5.6586041610119112E-2</v>
      </c>
      <c r="KS45" s="19">
        <v>0.20162825897706282</v>
      </c>
      <c r="KT45" s="19"/>
      <c r="KU45" s="19">
        <v>0.19444444444444445</v>
      </c>
      <c r="KV45" s="19">
        <v>0.11951371043417636</v>
      </c>
      <c r="KW45" s="104">
        <v>0.30032975278389923</v>
      </c>
      <c r="KX45" s="438">
        <v>4</v>
      </c>
      <c r="KY45" s="438">
        <v>69</v>
      </c>
      <c r="KZ45" s="497">
        <v>5.7971014492753624E-2</v>
      </c>
      <c r="LA45" s="497">
        <v>2.2772388880371218E-2</v>
      </c>
      <c r="LB45" s="497">
        <v>0.13979243357661653</v>
      </c>
      <c r="LC45" s="438">
        <v>3</v>
      </c>
      <c r="LD45" s="438">
        <v>69</v>
      </c>
      <c r="LE45" s="497">
        <v>4.3478260869565216E-2</v>
      </c>
      <c r="LF45" s="497">
        <v>1.4895903896212303E-2</v>
      </c>
      <c r="LG45" s="497">
        <v>0.12021202749379141</v>
      </c>
      <c r="LH45" s="438">
        <v>3</v>
      </c>
      <c r="LI45" s="438">
        <v>69</v>
      </c>
      <c r="LJ45" s="497">
        <v>4.3478260869565216E-2</v>
      </c>
      <c r="LK45" s="497">
        <v>1.4895903896212303E-2</v>
      </c>
      <c r="LL45" s="497">
        <v>0.12021202749379141</v>
      </c>
      <c r="LM45" s="438">
        <v>9</v>
      </c>
      <c r="LN45" s="438">
        <v>68</v>
      </c>
      <c r="LO45" s="497">
        <v>0.13235294117647059</v>
      </c>
      <c r="LP45" s="497">
        <v>7.1222444102298069E-2</v>
      </c>
      <c r="LQ45" s="104">
        <v>0.23280059745657725</v>
      </c>
      <c r="LR45" s="3">
        <v>40</v>
      </c>
      <c r="LS45" s="3">
        <v>39</v>
      </c>
      <c r="LT45" s="3">
        <v>37</v>
      </c>
      <c r="LU45" s="3">
        <v>40</v>
      </c>
      <c r="LV45" s="3">
        <v>40</v>
      </c>
      <c r="LW45" s="3">
        <v>51</v>
      </c>
      <c r="LX45" s="3">
        <v>49</v>
      </c>
      <c r="LY45" s="3">
        <v>48</v>
      </c>
      <c r="LZ45" s="3">
        <v>49</v>
      </c>
      <c r="MA45" s="3">
        <v>48</v>
      </c>
      <c r="MB45" s="3">
        <v>48</v>
      </c>
      <c r="MC45" s="3">
        <v>49</v>
      </c>
      <c r="MD45" s="3">
        <v>49</v>
      </c>
      <c r="ME45" s="3">
        <v>55</v>
      </c>
      <c r="MF45" s="3">
        <v>51</v>
      </c>
      <c r="MG45" s="3">
        <v>50</v>
      </c>
      <c r="MH45" s="3">
        <v>50</v>
      </c>
      <c r="MI45" s="3">
        <v>52</v>
      </c>
      <c r="MJ45" s="3">
        <v>52</v>
      </c>
      <c r="MK45" s="3">
        <v>49</v>
      </c>
      <c r="ML45" s="3">
        <v>53</v>
      </c>
      <c r="MM45" s="3">
        <v>50</v>
      </c>
      <c r="MN45" s="8">
        <v>52</v>
      </c>
      <c r="MO45" s="3">
        <v>88</v>
      </c>
      <c r="MP45" s="24">
        <v>1</v>
      </c>
      <c r="MQ45" s="24">
        <v>1.0999999999999999E-2</v>
      </c>
      <c r="MR45" s="24">
        <v>1</v>
      </c>
      <c r="MS45" s="3">
        <v>88</v>
      </c>
      <c r="MT45" s="3">
        <v>1</v>
      </c>
      <c r="MU45" s="3">
        <v>88</v>
      </c>
      <c r="MV45" s="3">
        <v>86</v>
      </c>
      <c r="MW45" s="24">
        <v>0.98799999999999999</v>
      </c>
      <c r="MX45" s="24">
        <v>0.97699999999999998</v>
      </c>
      <c r="MY45" s="24">
        <v>0.97699999999999998</v>
      </c>
      <c r="MZ45" s="24">
        <v>0.97699999999999998</v>
      </c>
      <c r="NA45" s="24">
        <v>0.97699999999999998</v>
      </c>
      <c r="NB45" s="3">
        <v>85</v>
      </c>
      <c r="NC45" s="3">
        <v>84</v>
      </c>
      <c r="ND45" s="3">
        <v>84</v>
      </c>
      <c r="NE45" s="3">
        <v>84</v>
      </c>
      <c r="NF45" s="3">
        <v>84</v>
      </c>
      <c r="NG45" s="3">
        <v>128</v>
      </c>
      <c r="NH45" s="24">
        <v>0.98399999999999999</v>
      </c>
      <c r="NI45" s="24">
        <v>0.97699999999999998</v>
      </c>
      <c r="NJ45" s="24">
        <v>0.98399999999999999</v>
      </c>
      <c r="NK45" s="24">
        <v>0.98399999999999999</v>
      </c>
      <c r="NL45" s="24">
        <v>0.96899999999999997</v>
      </c>
      <c r="NM45" s="24">
        <v>0.94499999999999995</v>
      </c>
      <c r="NN45" s="24">
        <v>0.96899999999999997</v>
      </c>
      <c r="NO45" s="24">
        <v>0.95299999999999996</v>
      </c>
      <c r="NP45" s="24">
        <v>0.96899999999999997</v>
      </c>
      <c r="NQ45" s="24">
        <v>0.96099999999999997</v>
      </c>
      <c r="NR45" s="3">
        <v>126</v>
      </c>
      <c r="NS45" s="3">
        <v>125</v>
      </c>
      <c r="NT45" s="3">
        <v>126</v>
      </c>
      <c r="NU45" s="3">
        <v>126</v>
      </c>
      <c r="NV45" s="3">
        <v>124</v>
      </c>
      <c r="NW45" s="3">
        <v>121</v>
      </c>
      <c r="NX45" s="3">
        <v>124</v>
      </c>
      <c r="NY45" s="3">
        <v>122</v>
      </c>
      <c r="NZ45" s="3">
        <v>124</v>
      </c>
      <c r="OA45" s="8">
        <v>123</v>
      </c>
    </row>
    <row r="46" spans="1:391" s="3" customFormat="1" ht="12.75" x14ac:dyDescent="0.2">
      <c r="A46" s="11" t="s">
        <v>71</v>
      </c>
      <c r="B46" s="8">
        <v>41</v>
      </c>
      <c r="C46" s="11" t="s">
        <v>256</v>
      </c>
      <c r="D46" s="11" t="s">
        <v>257</v>
      </c>
      <c r="E46" s="11" t="s">
        <v>893</v>
      </c>
      <c r="F46" s="11" t="s">
        <v>898</v>
      </c>
      <c r="G46" s="11" t="s">
        <v>258</v>
      </c>
      <c r="H46" s="11" t="s">
        <v>82</v>
      </c>
      <c r="I46" s="11" t="s">
        <v>82</v>
      </c>
      <c r="J46" s="11" t="s">
        <v>269</v>
      </c>
      <c r="K46" s="11" t="s">
        <v>82</v>
      </c>
      <c r="L46" s="11" t="s">
        <v>272</v>
      </c>
      <c r="M46" s="11" t="s">
        <v>364</v>
      </c>
      <c r="N46" s="3" t="s">
        <v>401</v>
      </c>
      <c r="O46" s="11">
        <v>515862</v>
      </c>
      <c r="P46" s="11">
        <v>103196</v>
      </c>
      <c r="Q46" s="128">
        <v>22768</v>
      </c>
      <c r="R46" s="128">
        <v>80773</v>
      </c>
      <c r="S46" s="400" t="s">
        <v>817</v>
      </c>
      <c r="T46" s="38">
        <v>23505</v>
      </c>
      <c r="U46" s="39">
        <v>23940</v>
      </c>
      <c r="V46" s="39">
        <v>24325</v>
      </c>
      <c r="W46" s="39">
        <v>24680</v>
      </c>
      <c r="X46" s="39">
        <v>24925</v>
      </c>
      <c r="Y46" s="39">
        <v>25605</v>
      </c>
      <c r="Z46" s="39">
        <v>26230</v>
      </c>
      <c r="AA46" s="39">
        <v>26505</v>
      </c>
      <c r="AB46" s="39">
        <v>26715</v>
      </c>
      <c r="AC46" s="44">
        <v>26928</v>
      </c>
      <c r="AD46" s="38">
        <v>1230</v>
      </c>
      <c r="AE46" s="39">
        <v>1310</v>
      </c>
      <c r="AF46" s="39">
        <v>1420</v>
      </c>
      <c r="AG46" s="39">
        <v>1490</v>
      </c>
      <c r="AH46" s="39">
        <v>1510</v>
      </c>
      <c r="AI46" s="39">
        <v>1600</v>
      </c>
      <c r="AJ46" s="39">
        <v>1685</v>
      </c>
      <c r="AK46" s="39">
        <v>1730</v>
      </c>
      <c r="AL46" s="39">
        <v>1725</v>
      </c>
      <c r="AM46" s="44">
        <v>1659</v>
      </c>
      <c r="AN46" s="15">
        <v>1652</v>
      </c>
      <c r="AO46" s="3">
        <v>1260</v>
      </c>
      <c r="AP46" s="3">
        <v>91</v>
      </c>
      <c r="AQ46" s="3">
        <v>129</v>
      </c>
      <c r="AR46" s="3">
        <v>139</v>
      </c>
      <c r="AS46" s="3">
        <v>21</v>
      </c>
      <c r="AT46" s="3">
        <v>12</v>
      </c>
      <c r="AU46" s="11">
        <v>392</v>
      </c>
      <c r="AV46" s="18">
        <v>0.76271186440677963</v>
      </c>
      <c r="AW46" s="19">
        <v>5.5084745762711863E-2</v>
      </c>
      <c r="AX46" s="19">
        <v>7.8087167070217914E-2</v>
      </c>
      <c r="AY46" s="19">
        <v>8.4140435835351093E-2</v>
      </c>
      <c r="AZ46" s="19">
        <v>1.2711864406779662E-2</v>
      </c>
      <c r="BA46" s="19">
        <v>7.2639225181598066E-3</v>
      </c>
      <c r="BB46" s="20">
        <v>0.23728813559322037</v>
      </c>
      <c r="BC46" s="15">
        <v>2914</v>
      </c>
      <c r="BD46" s="3">
        <v>2738</v>
      </c>
      <c r="BE46" s="3">
        <v>176</v>
      </c>
      <c r="BF46" s="3">
        <v>144</v>
      </c>
      <c r="BG46" s="3">
        <v>32</v>
      </c>
      <c r="BH46" s="19">
        <v>0.81818181818181823</v>
      </c>
      <c r="BI46" s="20">
        <v>0.18181818181818182</v>
      </c>
      <c r="BJ46" s="38">
        <v>2739</v>
      </c>
      <c r="BK46" s="19">
        <v>0.49069003285870755</v>
      </c>
      <c r="BL46" s="19">
        <v>0.14603870025556773</v>
      </c>
      <c r="BM46" s="20">
        <v>0.3632712668857247</v>
      </c>
      <c r="BN46" s="38">
        <v>6266</v>
      </c>
      <c r="BO46" s="39">
        <v>673</v>
      </c>
      <c r="BP46" s="39">
        <v>453</v>
      </c>
      <c r="BQ46" s="39">
        <v>177</v>
      </c>
      <c r="BR46" s="39">
        <v>4378</v>
      </c>
      <c r="BS46" s="39">
        <v>2659</v>
      </c>
      <c r="BT46" s="20">
        <v>0.11696126363294472</v>
      </c>
      <c r="BU46" s="38">
        <v>1207</v>
      </c>
      <c r="BV46" s="39">
        <v>2</v>
      </c>
      <c r="BW46" s="39">
        <v>465</v>
      </c>
      <c r="BX46" s="39">
        <v>765</v>
      </c>
      <c r="BY46" s="39">
        <v>235</v>
      </c>
      <c r="BZ46" s="40">
        <v>2674</v>
      </c>
      <c r="CA46" s="39">
        <v>1322</v>
      </c>
      <c r="CB46" s="39">
        <v>999</v>
      </c>
      <c r="CC46" s="39">
        <v>321</v>
      </c>
      <c r="CD46" s="39">
        <v>323</v>
      </c>
      <c r="CE46" s="19">
        <v>0.24281391830559759</v>
      </c>
      <c r="CF46" s="104">
        <v>0.2443267776096823</v>
      </c>
      <c r="CG46" s="39">
        <v>235</v>
      </c>
      <c r="CH46" s="39">
        <v>220</v>
      </c>
      <c r="CI46" s="39">
        <v>190</v>
      </c>
      <c r="CJ46" s="39">
        <v>185</v>
      </c>
      <c r="CK46" s="44">
        <v>170</v>
      </c>
      <c r="CL46" s="38">
        <v>763</v>
      </c>
      <c r="CM46" s="39">
        <v>300</v>
      </c>
      <c r="CN46" s="19">
        <v>0.39318479685452162</v>
      </c>
      <c r="CO46" s="40">
        <v>94</v>
      </c>
      <c r="CP46" s="39">
        <v>352</v>
      </c>
      <c r="CQ46" s="39">
        <v>341</v>
      </c>
      <c r="CR46" s="39">
        <v>395</v>
      </c>
      <c r="CS46" s="39">
        <v>376</v>
      </c>
      <c r="CT46" s="39">
        <v>335</v>
      </c>
      <c r="CU46" s="124" t="s">
        <v>474</v>
      </c>
      <c r="CV46" s="39">
        <v>23</v>
      </c>
      <c r="CW46" s="39">
        <v>25</v>
      </c>
      <c r="CX46" s="39">
        <v>19</v>
      </c>
      <c r="CY46" s="39">
        <v>21</v>
      </c>
      <c r="CZ46" s="39">
        <v>16</v>
      </c>
      <c r="DA46" s="120" t="s">
        <v>474</v>
      </c>
      <c r="DB46" s="15">
        <v>30</v>
      </c>
      <c r="DC46" s="15">
        <v>23</v>
      </c>
      <c r="DD46" s="19">
        <v>6.8656716417910449E-2</v>
      </c>
      <c r="DE46" s="19">
        <v>4.6181975108283008E-2</v>
      </c>
      <c r="DF46" s="20">
        <v>0.10091176895173444</v>
      </c>
      <c r="DG46" s="15">
        <v>23</v>
      </c>
      <c r="DH46" s="20">
        <v>1.3990267639902677E-2</v>
      </c>
      <c r="DI46" s="423">
        <v>1</v>
      </c>
      <c r="DJ46" s="428">
        <v>1</v>
      </c>
      <c r="DK46" s="3">
        <v>954</v>
      </c>
      <c r="DL46" s="20">
        <v>7.3577047663118927E-2</v>
      </c>
      <c r="DM46" s="15">
        <v>320</v>
      </c>
      <c r="DN46" s="3">
        <v>315</v>
      </c>
      <c r="DO46" s="3">
        <v>310</v>
      </c>
      <c r="DP46" s="3">
        <v>340</v>
      </c>
      <c r="DQ46" s="11">
        <v>295</v>
      </c>
      <c r="DR46" s="15">
        <v>260</v>
      </c>
      <c r="DS46" s="19">
        <v>0.18571428571428572</v>
      </c>
      <c r="DT46" s="19">
        <v>0.16621381994113202</v>
      </c>
      <c r="DU46" s="19">
        <v>0.20693476854745022</v>
      </c>
      <c r="DV46" s="3">
        <v>305</v>
      </c>
      <c r="DW46" s="19">
        <v>0.2089041095890411</v>
      </c>
      <c r="DX46" s="19">
        <v>0.18882880933566293</v>
      </c>
      <c r="DY46" s="19">
        <v>0.23050721583418002</v>
      </c>
      <c r="DZ46" s="3">
        <v>300</v>
      </c>
      <c r="EA46" s="19">
        <v>0.19607843137254902</v>
      </c>
      <c r="EB46" s="19">
        <v>0.17695585479624362</v>
      </c>
      <c r="EC46" s="19">
        <v>0.21672333241581829</v>
      </c>
      <c r="ED46" s="3">
        <v>320</v>
      </c>
      <c r="EE46" s="19">
        <v>0.19814241486068113</v>
      </c>
      <c r="EF46" s="19">
        <v>0.17942845420226736</v>
      </c>
      <c r="EG46" s="19">
        <v>0.21828897224029772</v>
      </c>
      <c r="EH46" s="3">
        <v>275</v>
      </c>
      <c r="EI46" s="20">
        <v>0.16566265060240964</v>
      </c>
      <c r="EJ46" s="20">
        <v>0.14855403686287513</v>
      </c>
      <c r="EK46" s="20">
        <v>0.18431509311616065</v>
      </c>
      <c r="EL46" s="438">
        <v>305</v>
      </c>
      <c r="EM46" s="20">
        <v>0.19242902208201892</v>
      </c>
      <c r="EN46" s="20">
        <v>0.17377484400642398</v>
      </c>
      <c r="EO46" s="104">
        <v>0.21257047409492608</v>
      </c>
      <c r="EP46" s="38">
        <v>640</v>
      </c>
      <c r="EQ46" s="20">
        <v>0.17827298050139276</v>
      </c>
      <c r="ER46" s="44">
        <v>740</v>
      </c>
      <c r="ES46" s="20">
        <v>0.19812583668005354</v>
      </c>
      <c r="ET46" s="44">
        <v>720</v>
      </c>
      <c r="EU46" s="20">
        <v>0.18725617685305593</v>
      </c>
      <c r="EV46" s="44">
        <v>690</v>
      </c>
      <c r="EW46" s="20">
        <v>0.17557251908396945</v>
      </c>
      <c r="EX46" s="44">
        <v>590</v>
      </c>
      <c r="EY46" s="20">
        <v>0.14603960396039603</v>
      </c>
      <c r="EZ46" s="44">
        <v>635</v>
      </c>
      <c r="FA46" s="104">
        <v>0.1548780487804878</v>
      </c>
      <c r="FB46" s="3">
        <v>345</v>
      </c>
      <c r="FC46" s="3">
        <v>15</v>
      </c>
      <c r="FD46" s="3">
        <v>330</v>
      </c>
      <c r="FE46" s="19">
        <v>0.95652173913043481</v>
      </c>
      <c r="FF46" s="3">
        <v>149</v>
      </c>
      <c r="FG46" s="3">
        <v>198</v>
      </c>
      <c r="FH46" s="19">
        <v>0.45151515151515154</v>
      </c>
      <c r="FI46" s="19">
        <v>0.6</v>
      </c>
      <c r="FJ46" s="19">
        <v>0.39868699754486908</v>
      </c>
      <c r="FK46" s="19">
        <v>0.50545916039350647</v>
      </c>
      <c r="FL46" s="19">
        <v>0.54628440930361477</v>
      </c>
      <c r="FM46" s="104">
        <v>0.65141413994848563</v>
      </c>
      <c r="FN46" s="438">
        <v>258</v>
      </c>
      <c r="FO46" s="438">
        <v>113</v>
      </c>
      <c r="FP46" s="438">
        <v>37</v>
      </c>
      <c r="FQ46" s="438">
        <v>150</v>
      </c>
      <c r="FR46" s="497">
        <v>0.43798449612403101</v>
      </c>
      <c r="FS46" s="497">
        <v>0.58139534883720934</v>
      </c>
      <c r="FT46" s="497">
        <v>0.37879325612018483</v>
      </c>
      <c r="FU46" s="497">
        <v>0.49899538688491996</v>
      </c>
      <c r="FV46" s="497">
        <v>0.5204353128674829</v>
      </c>
      <c r="FW46" s="104">
        <v>0.63996709318831702</v>
      </c>
      <c r="FX46" s="438">
        <v>461</v>
      </c>
      <c r="FY46" s="438">
        <v>63</v>
      </c>
      <c r="FZ46" s="438">
        <v>398</v>
      </c>
      <c r="GA46" s="497">
        <v>0.8633405639913232</v>
      </c>
      <c r="GB46" s="438">
        <v>170</v>
      </c>
      <c r="GC46" s="438">
        <v>55</v>
      </c>
      <c r="GD46" s="438">
        <v>225</v>
      </c>
      <c r="GE46" s="497">
        <v>0.42713567839195982</v>
      </c>
      <c r="GF46" s="497">
        <v>0.5653266331658291</v>
      </c>
      <c r="GG46" s="497">
        <v>0.37946240407911236</v>
      </c>
      <c r="GH46" s="497">
        <v>0.4762020657587791</v>
      </c>
      <c r="GI46" s="497">
        <v>0.51623046157530028</v>
      </c>
      <c r="GJ46" s="104">
        <v>0.6131738068459005</v>
      </c>
      <c r="GK46" s="3">
        <v>161</v>
      </c>
      <c r="GL46" s="3">
        <v>13</v>
      </c>
      <c r="GM46" s="19">
        <v>8.0745341614906832E-2</v>
      </c>
      <c r="GN46" s="19">
        <v>4.7793188465854376E-2</v>
      </c>
      <c r="GO46" s="19">
        <v>0.13323808263660591</v>
      </c>
      <c r="GP46" s="353" t="s">
        <v>725</v>
      </c>
      <c r="GQ46" s="3">
        <v>213</v>
      </c>
      <c r="GR46" s="3">
        <v>28</v>
      </c>
      <c r="GS46" s="19">
        <v>0.13145539906103287</v>
      </c>
      <c r="GT46" s="19">
        <v>9.2538847220180187E-2</v>
      </c>
      <c r="GU46" s="19">
        <v>0.18342986810827064</v>
      </c>
      <c r="GV46" s="3" t="s">
        <v>725</v>
      </c>
      <c r="GW46" s="3">
        <v>221</v>
      </c>
      <c r="GX46" s="3">
        <v>18</v>
      </c>
      <c r="GY46" s="19">
        <v>8.1447963800904979E-2</v>
      </c>
      <c r="GZ46" s="19">
        <v>5.2138724552875479E-2</v>
      </c>
      <c r="HA46" s="19">
        <v>0.12505928434488195</v>
      </c>
      <c r="HB46" s="3" t="s">
        <v>725</v>
      </c>
      <c r="HC46" s="3">
        <v>259</v>
      </c>
      <c r="HD46" s="3">
        <v>21</v>
      </c>
      <c r="HE46" s="19">
        <v>8.1081081081081086E-2</v>
      </c>
      <c r="HF46" s="19">
        <v>5.3641549235695814E-2</v>
      </c>
      <c r="HG46" s="19">
        <v>0.12076571142391865</v>
      </c>
      <c r="HH46" s="3" t="s">
        <v>725</v>
      </c>
      <c r="HI46" s="3">
        <v>154</v>
      </c>
      <c r="HJ46" s="3">
        <v>10</v>
      </c>
      <c r="HK46" s="19">
        <v>6.4935064935064929E-2</v>
      </c>
      <c r="HL46" s="19">
        <v>3.565054847774999E-2</v>
      </c>
      <c r="HM46" s="19">
        <v>0.1153963247507705</v>
      </c>
      <c r="HN46" s="11" t="s">
        <v>725</v>
      </c>
      <c r="HO46" s="11">
        <v>236</v>
      </c>
      <c r="HP46" s="11">
        <v>16</v>
      </c>
      <c r="HQ46" s="497">
        <v>6.7796610169491525E-2</v>
      </c>
      <c r="HR46" s="497">
        <v>4.2158706734221979E-2</v>
      </c>
      <c r="HS46" s="497">
        <v>0.10727942209024141</v>
      </c>
      <c r="HT46" s="8" t="str">
        <f t="shared" si="0"/>
        <v>No Sig diff</v>
      </c>
      <c r="HU46" s="3">
        <v>152</v>
      </c>
      <c r="HV46" s="3">
        <v>33</v>
      </c>
      <c r="HW46" s="19">
        <v>0.21710526315789475</v>
      </c>
      <c r="HX46" s="19">
        <v>0.15897583021997941</v>
      </c>
      <c r="HY46" s="19">
        <v>0.28918128630862894</v>
      </c>
      <c r="HZ46" s="3" t="s">
        <v>725</v>
      </c>
      <c r="IA46" s="3">
        <v>156</v>
      </c>
      <c r="IB46" s="3">
        <v>39</v>
      </c>
      <c r="IC46" s="19">
        <v>0.25</v>
      </c>
      <c r="ID46" s="19">
        <v>0.18861184195741063</v>
      </c>
      <c r="IE46" s="19">
        <v>0.32340462376129686</v>
      </c>
      <c r="IF46" s="3" t="s">
        <v>725</v>
      </c>
      <c r="IG46" s="3">
        <v>148</v>
      </c>
      <c r="IH46" s="3">
        <v>19</v>
      </c>
      <c r="II46" s="19">
        <v>0.12837837837837837</v>
      </c>
      <c r="IJ46" s="19">
        <v>8.3749542616648201E-2</v>
      </c>
      <c r="IK46" s="19">
        <v>0.19181063143373209</v>
      </c>
      <c r="IL46" s="3" t="s">
        <v>725</v>
      </c>
      <c r="IM46" s="3">
        <v>154</v>
      </c>
      <c r="IN46" s="3">
        <v>22</v>
      </c>
      <c r="IO46" s="19">
        <v>0.14285714285714285</v>
      </c>
      <c r="IP46" s="19">
        <v>9.6271191632122291E-2</v>
      </c>
      <c r="IQ46" s="19">
        <v>0.20682698788382736</v>
      </c>
      <c r="IR46" s="3" t="s">
        <v>725</v>
      </c>
      <c r="IS46" s="3">
        <v>189</v>
      </c>
      <c r="IT46" s="3">
        <v>41</v>
      </c>
      <c r="IU46" s="19">
        <v>0.21693121693121692</v>
      </c>
      <c r="IV46" s="19">
        <v>0.16412605827539797</v>
      </c>
      <c r="IW46" s="19">
        <v>0.28101400312867153</v>
      </c>
      <c r="IX46" s="580" t="s">
        <v>725</v>
      </c>
      <c r="IY46" s="580">
        <v>194</v>
      </c>
      <c r="IZ46" s="580">
        <v>45</v>
      </c>
      <c r="JA46" s="497">
        <v>0.23195876288659795</v>
      </c>
      <c r="JB46" s="497">
        <v>0.17811859186061987</v>
      </c>
      <c r="JC46" s="497">
        <v>0.29620796931654808</v>
      </c>
      <c r="JD46" s="371" t="str">
        <f t="shared" si="1"/>
        <v>Sig better than Eng.</v>
      </c>
      <c r="JE46" s="3">
        <v>287</v>
      </c>
      <c r="JF46" s="3">
        <v>148</v>
      </c>
      <c r="JG46" s="19">
        <v>0.51567944250871078</v>
      </c>
      <c r="JH46" s="19">
        <v>0.45803701743184799</v>
      </c>
      <c r="JI46" s="19">
        <v>0.57290767675478294</v>
      </c>
      <c r="JJ46" s="3">
        <v>287</v>
      </c>
      <c r="JK46" s="3">
        <v>34</v>
      </c>
      <c r="JL46" s="3">
        <v>57</v>
      </c>
      <c r="JM46" s="383">
        <v>26.05263157894737</v>
      </c>
      <c r="JN46" s="19">
        <v>0.2337461300309597</v>
      </c>
      <c r="JO46" s="3">
        <v>281</v>
      </c>
      <c r="JP46" s="3">
        <v>171</v>
      </c>
      <c r="JQ46" s="19">
        <v>0.60854092526690395</v>
      </c>
      <c r="JR46" s="19">
        <v>0.55037759347384574</v>
      </c>
      <c r="JS46" s="19">
        <v>0.66377662499053558</v>
      </c>
      <c r="JT46" s="3">
        <v>281</v>
      </c>
      <c r="JU46" s="3">
        <v>34</v>
      </c>
      <c r="JV46" s="3">
        <v>56</v>
      </c>
      <c r="JW46" s="383">
        <v>27.053571428571423</v>
      </c>
      <c r="JX46" s="20">
        <v>0.20430672268907579</v>
      </c>
      <c r="JY46" s="44">
        <v>286</v>
      </c>
      <c r="JZ46" s="44">
        <v>171</v>
      </c>
      <c r="KA46" s="20">
        <v>0.59790209790209792</v>
      </c>
      <c r="KB46" s="20">
        <v>0.54014159711974141</v>
      </c>
      <c r="KC46" s="20">
        <v>0.65306747734411408</v>
      </c>
      <c r="KD46" s="438">
        <v>34</v>
      </c>
      <c r="KE46" s="438">
        <v>57</v>
      </c>
      <c r="KF46" s="384">
        <v>24.3</v>
      </c>
      <c r="KG46" s="104">
        <v>0.28399999999999997</v>
      </c>
      <c r="KH46" s="19">
        <v>0.85523886335006882</v>
      </c>
      <c r="KI46" s="19">
        <v>0.14476113664993123</v>
      </c>
      <c r="KJ46" s="19">
        <v>0.10589945678565693</v>
      </c>
      <c r="KK46" s="19">
        <v>0.19796894649729968</v>
      </c>
      <c r="KL46" s="19">
        <v>0.9014757716031061</v>
      </c>
      <c r="KM46" s="19">
        <v>9.852422839689394E-2</v>
      </c>
      <c r="KN46" s="19">
        <v>6.877515560848059E-2</v>
      </c>
      <c r="KO46" s="19">
        <v>0.14807679808484558</v>
      </c>
      <c r="KP46" s="19">
        <v>0.90265936870775587</v>
      </c>
      <c r="KQ46" s="19">
        <v>9.7340631292244212E-2</v>
      </c>
      <c r="KR46" s="19">
        <v>6.877515560848059E-2</v>
      </c>
      <c r="KS46" s="19">
        <v>0.14807679808484558</v>
      </c>
      <c r="KT46" s="19">
        <v>0.76029450914425445</v>
      </c>
      <c r="KU46" s="19">
        <v>0.2397054908557455</v>
      </c>
      <c r="KV46" s="19">
        <v>0.19288785338762213</v>
      </c>
      <c r="KW46" s="104">
        <v>0.30458113826424538</v>
      </c>
      <c r="KX46" s="438">
        <v>14</v>
      </c>
      <c r="KY46" s="438">
        <v>133</v>
      </c>
      <c r="KZ46" s="497">
        <v>0.10526315789473684</v>
      </c>
      <c r="LA46" s="497">
        <v>6.3744682279712347E-2</v>
      </c>
      <c r="LB46" s="497">
        <v>0.16894400063192314</v>
      </c>
      <c r="LC46" s="438">
        <v>10</v>
      </c>
      <c r="LD46" s="438">
        <v>133</v>
      </c>
      <c r="LE46" s="497">
        <v>7.5187969924812026E-2</v>
      </c>
      <c r="LF46" s="497">
        <v>4.1350797012907302E-2</v>
      </c>
      <c r="LG46" s="497">
        <v>0.13287607126342424</v>
      </c>
      <c r="LH46" s="438">
        <v>12</v>
      </c>
      <c r="LI46" s="438">
        <v>132</v>
      </c>
      <c r="LJ46" s="497">
        <v>9.0909090909090912E-2</v>
      </c>
      <c r="LK46" s="497">
        <v>5.2769210507501198E-2</v>
      </c>
      <c r="LL46" s="497">
        <v>0.15218632414590569</v>
      </c>
      <c r="LM46" s="438">
        <v>29</v>
      </c>
      <c r="LN46" s="438">
        <v>133</v>
      </c>
      <c r="LO46" s="497">
        <v>0.21804511278195488</v>
      </c>
      <c r="LP46" s="497">
        <v>0.15632532218581729</v>
      </c>
      <c r="LQ46" s="104">
        <v>0.29559516560820803</v>
      </c>
      <c r="LR46" s="3">
        <v>74</v>
      </c>
      <c r="LS46" s="3">
        <v>72</v>
      </c>
      <c r="LT46" s="3">
        <v>72</v>
      </c>
      <c r="LU46" s="3">
        <v>74</v>
      </c>
      <c r="LV46" s="3">
        <v>72</v>
      </c>
      <c r="LW46" s="3">
        <v>85</v>
      </c>
      <c r="LX46" s="3">
        <v>82</v>
      </c>
      <c r="LY46" s="3">
        <v>82</v>
      </c>
      <c r="LZ46" s="3">
        <v>81</v>
      </c>
      <c r="MA46" s="3">
        <v>82</v>
      </c>
      <c r="MB46" s="3">
        <v>82</v>
      </c>
      <c r="MC46" s="3">
        <v>81</v>
      </c>
      <c r="MD46" s="3">
        <v>83</v>
      </c>
      <c r="ME46" s="3">
        <v>89</v>
      </c>
      <c r="MF46" s="3">
        <v>82</v>
      </c>
      <c r="MG46" s="3">
        <v>76</v>
      </c>
      <c r="MH46" s="3">
        <v>76</v>
      </c>
      <c r="MI46" s="3">
        <v>75</v>
      </c>
      <c r="MJ46" s="3">
        <v>77</v>
      </c>
      <c r="MK46" s="3">
        <v>77</v>
      </c>
      <c r="ML46" s="3">
        <v>82</v>
      </c>
      <c r="MM46" s="3">
        <v>80</v>
      </c>
      <c r="MN46" s="8">
        <v>80</v>
      </c>
      <c r="MO46" s="3">
        <v>490</v>
      </c>
      <c r="MP46" s="24">
        <v>0.84699999999999998</v>
      </c>
      <c r="MQ46" s="24">
        <v>1.6E-2</v>
      </c>
      <c r="MR46" s="24">
        <v>0.85299999999999998</v>
      </c>
      <c r="MS46" s="3">
        <v>415</v>
      </c>
      <c r="MT46" s="3">
        <v>8</v>
      </c>
      <c r="MU46" s="3">
        <v>418</v>
      </c>
      <c r="MV46" s="3">
        <v>456</v>
      </c>
      <c r="MW46" s="24">
        <v>0.94699999999999995</v>
      </c>
      <c r="MX46" s="24">
        <v>0.91400000000000003</v>
      </c>
      <c r="MY46" s="24">
        <v>0.94499999999999995</v>
      </c>
      <c r="MZ46" s="24">
        <v>0.91</v>
      </c>
      <c r="NA46" s="24">
        <v>0.91</v>
      </c>
      <c r="NB46" s="3">
        <v>432</v>
      </c>
      <c r="NC46" s="3">
        <v>417</v>
      </c>
      <c r="ND46" s="3">
        <v>431</v>
      </c>
      <c r="NE46" s="3">
        <v>415</v>
      </c>
      <c r="NF46" s="3">
        <v>415</v>
      </c>
      <c r="NG46" s="3">
        <v>503</v>
      </c>
      <c r="NH46" s="24">
        <v>0.94399999999999995</v>
      </c>
      <c r="NI46" s="24">
        <v>0.90900000000000003</v>
      </c>
      <c r="NJ46" s="24">
        <v>0.94399999999999995</v>
      </c>
      <c r="NK46" s="24">
        <v>0.93799999999999994</v>
      </c>
      <c r="NL46" s="24">
        <v>0.93400000000000005</v>
      </c>
      <c r="NM46" s="24">
        <v>0.88900000000000001</v>
      </c>
      <c r="NN46" s="24">
        <v>0.93600000000000005</v>
      </c>
      <c r="NO46" s="24">
        <v>0.90900000000000003</v>
      </c>
      <c r="NP46" s="24">
        <v>0.94</v>
      </c>
      <c r="NQ46" s="24">
        <v>0.88500000000000001</v>
      </c>
      <c r="NR46" s="3">
        <v>475</v>
      </c>
      <c r="NS46" s="3">
        <v>457</v>
      </c>
      <c r="NT46" s="3">
        <v>475</v>
      </c>
      <c r="NU46" s="3">
        <v>472</v>
      </c>
      <c r="NV46" s="3">
        <v>470</v>
      </c>
      <c r="NW46" s="3">
        <v>447</v>
      </c>
      <c r="NX46" s="3">
        <v>471</v>
      </c>
      <c r="NY46" s="3">
        <v>457</v>
      </c>
      <c r="NZ46" s="3">
        <v>473</v>
      </c>
      <c r="OA46" s="8">
        <v>445</v>
      </c>
    </row>
    <row r="47" spans="1:391" s="3" customFormat="1" ht="12.75" x14ac:dyDescent="0.2">
      <c r="A47" s="11" t="s">
        <v>995</v>
      </c>
      <c r="B47" s="8">
        <v>42</v>
      </c>
      <c r="C47" s="11" t="s">
        <v>259</v>
      </c>
      <c r="D47" s="11" t="s">
        <v>260</v>
      </c>
      <c r="E47" s="11" t="s">
        <v>892</v>
      </c>
      <c r="F47" s="11" t="s">
        <v>897</v>
      </c>
      <c r="G47" s="11" t="s">
        <v>261</v>
      </c>
      <c r="H47" s="11" t="s">
        <v>82</v>
      </c>
      <c r="I47" s="11" t="s">
        <v>82</v>
      </c>
      <c r="J47" s="11" t="s">
        <v>269</v>
      </c>
      <c r="K47" s="11" t="s">
        <v>395</v>
      </c>
      <c r="L47" s="11" t="s">
        <v>272</v>
      </c>
      <c r="M47" s="11" t="s">
        <v>365</v>
      </c>
      <c r="N47" s="3" t="s">
        <v>403</v>
      </c>
      <c r="O47" s="11">
        <v>511356</v>
      </c>
      <c r="P47" s="11">
        <v>103328</v>
      </c>
      <c r="Q47" s="128">
        <v>21960</v>
      </c>
      <c r="R47" s="128" t="s">
        <v>287</v>
      </c>
      <c r="S47" s="400" t="s">
        <v>817</v>
      </c>
      <c r="T47" s="38">
        <v>36380</v>
      </c>
      <c r="U47" s="39">
        <v>36545</v>
      </c>
      <c r="V47" s="39">
        <v>36860</v>
      </c>
      <c r="W47" s="39">
        <v>37095</v>
      </c>
      <c r="X47" s="39">
        <v>37005</v>
      </c>
      <c r="Y47" s="39">
        <v>37095</v>
      </c>
      <c r="Z47" s="39">
        <v>37245</v>
      </c>
      <c r="AA47" s="39">
        <v>37360</v>
      </c>
      <c r="AB47" s="39">
        <v>37490</v>
      </c>
      <c r="AC47" s="44">
        <v>37733</v>
      </c>
      <c r="AD47" s="38">
        <v>1730</v>
      </c>
      <c r="AE47" s="39">
        <v>1745</v>
      </c>
      <c r="AF47" s="39">
        <v>1785</v>
      </c>
      <c r="AG47" s="39">
        <v>1875</v>
      </c>
      <c r="AH47" s="39">
        <v>1880</v>
      </c>
      <c r="AI47" s="39">
        <v>1905</v>
      </c>
      <c r="AJ47" s="39">
        <v>1940</v>
      </c>
      <c r="AK47" s="39">
        <v>1900</v>
      </c>
      <c r="AL47" s="39">
        <v>1850</v>
      </c>
      <c r="AM47" s="44">
        <v>1791</v>
      </c>
      <c r="AN47" s="15">
        <v>1940</v>
      </c>
      <c r="AO47" s="3">
        <v>1707</v>
      </c>
      <c r="AP47" s="3">
        <v>38</v>
      </c>
      <c r="AQ47" s="3">
        <v>115</v>
      </c>
      <c r="AR47" s="3">
        <v>66</v>
      </c>
      <c r="AS47" s="3">
        <v>10</v>
      </c>
      <c r="AT47" s="3">
        <v>4</v>
      </c>
      <c r="AU47" s="11">
        <v>233</v>
      </c>
      <c r="AV47" s="18">
        <v>0.87989690721649483</v>
      </c>
      <c r="AW47" s="19">
        <v>1.9587628865979381E-2</v>
      </c>
      <c r="AX47" s="19">
        <v>5.9278350515463915E-2</v>
      </c>
      <c r="AY47" s="19">
        <v>3.4020618556701028E-2</v>
      </c>
      <c r="AZ47" s="19">
        <v>5.1546391752577319E-3</v>
      </c>
      <c r="BA47" s="19">
        <v>2.0618556701030928E-3</v>
      </c>
      <c r="BB47" s="20">
        <v>0.12010309278350517</v>
      </c>
      <c r="BC47" s="15">
        <v>4906</v>
      </c>
      <c r="BD47" s="11">
        <v>4805</v>
      </c>
      <c r="BE47" s="11">
        <v>101</v>
      </c>
      <c r="BF47" s="11">
        <v>84</v>
      </c>
      <c r="BG47" s="11">
        <v>17</v>
      </c>
      <c r="BH47" s="20">
        <v>0.83168316831683164</v>
      </c>
      <c r="BI47" s="20">
        <v>0.16831683168316833</v>
      </c>
      <c r="BJ47" s="38">
        <v>3734</v>
      </c>
      <c r="BK47" s="19">
        <v>0.69389394750937328</v>
      </c>
      <c r="BL47" s="19">
        <v>9.9892876272094269E-2</v>
      </c>
      <c r="BM47" s="20">
        <v>0.20621317621853241</v>
      </c>
      <c r="BN47" s="38">
        <v>10951</v>
      </c>
      <c r="BO47" s="39">
        <v>577</v>
      </c>
      <c r="BP47" s="39">
        <v>654</v>
      </c>
      <c r="BQ47" s="39">
        <v>271</v>
      </c>
      <c r="BR47" s="39">
        <v>6943</v>
      </c>
      <c r="BS47" s="39">
        <v>3960</v>
      </c>
      <c r="BT47" s="20">
        <v>0.13181818181818181</v>
      </c>
      <c r="BU47" s="38">
        <v>2298</v>
      </c>
      <c r="BV47" s="39">
        <v>7</v>
      </c>
      <c r="BW47" s="39">
        <v>549</v>
      </c>
      <c r="BX47" s="39">
        <v>827</v>
      </c>
      <c r="BY47" s="39">
        <v>296</v>
      </c>
      <c r="BZ47" s="40">
        <v>3977</v>
      </c>
      <c r="CA47" s="39">
        <v>1516</v>
      </c>
      <c r="CB47" s="39">
        <v>1264</v>
      </c>
      <c r="CC47" s="39">
        <v>249</v>
      </c>
      <c r="CD47" s="39">
        <v>252</v>
      </c>
      <c r="CE47" s="19">
        <v>0.16424802110817943</v>
      </c>
      <c r="CF47" s="104">
        <v>0.16622691292875991</v>
      </c>
      <c r="CG47" s="39">
        <v>210</v>
      </c>
      <c r="CH47" s="39">
        <v>210</v>
      </c>
      <c r="CI47" s="39">
        <v>160</v>
      </c>
      <c r="CJ47" s="39">
        <v>155</v>
      </c>
      <c r="CK47" s="44">
        <v>160</v>
      </c>
      <c r="CL47" s="38">
        <v>827</v>
      </c>
      <c r="CM47" s="39">
        <v>258</v>
      </c>
      <c r="CN47" s="19">
        <v>0.31197097944377267</v>
      </c>
      <c r="CO47" s="40">
        <v>88</v>
      </c>
      <c r="CP47" s="39">
        <v>349</v>
      </c>
      <c r="CQ47" s="39">
        <v>363</v>
      </c>
      <c r="CR47" s="39">
        <v>364</v>
      </c>
      <c r="CS47" s="39">
        <v>364</v>
      </c>
      <c r="CT47" s="39">
        <v>344</v>
      </c>
      <c r="CU47" s="124" t="s">
        <v>474</v>
      </c>
      <c r="CV47" s="39">
        <v>17</v>
      </c>
      <c r="CW47" s="39">
        <v>20</v>
      </c>
      <c r="CX47" s="39">
        <v>10</v>
      </c>
      <c r="CY47" s="39">
        <v>16</v>
      </c>
      <c r="CZ47" s="39">
        <v>12</v>
      </c>
      <c r="DA47" s="120" t="s">
        <v>474</v>
      </c>
      <c r="DB47" s="15">
        <v>27</v>
      </c>
      <c r="DC47" s="15">
        <v>20</v>
      </c>
      <c r="DD47" s="19">
        <v>5.8139534883720929E-2</v>
      </c>
      <c r="DE47" s="19">
        <v>3.7948249747884216E-2</v>
      </c>
      <c r="DF47" s="20">
        <v>8.8090374196864094E-2</v>
      </c>
      <c r="DG47" s="15">
        <v>38</v>
      </c>
      <c r="DH47" s="20">
        <v>1.9587628865979381E-2</v>
      </c>
      <c r="DI47" s="423">
        <v>5</v>
      </c>
      <c r="DJ47" s="428">
        <v>6</v>
      </c>
      <c r="DK47" s="3">
        <v>624</v>
      </c>
      <c r="DL47" s="20">
        <v>3.6777273530971884E-2</v>
      </c>
      <c r="DM47" s="15">
        <v>290</v>
      </c>
      <c r="DN47" s="3">
        <v>290</v>
      </c>
      <c r="DO47" s="3">
        <v>305</v>
      </c>
      <c r="DP47" s="3">
        <v>255</v>
      </c>
      <c r="DQ47" s="11">
        <v>230</v>
      </c>
      <c r="DR47" s="15">
        <v>275</v>
      </c>
      <c r="DS47" s="19">
        <v>0.15193370165745856</v>
      </c>
      <c r="DT47" s="19">
        <v>0.13613516499069683</v>
      </c>
      <c r="DU47" s="19">
        <v>0.16920654838087062</v>
      </c>
      <c r="DV47" s="3">
        <v>285</v>
      </c>
      <c r="DW47" s="19">
        <v>0.15531335149863759</v>
      </c>
      <c r="DX47" s="19">
        <v>0.13946281066331118</v>
      </c>
      <c r="DY47" s="19">
        <v>0.17260403776891661</v>
      </c>
      <c r="DZ47" s="3">
        <v>280</v>
      </c>
      <c r="EA47" s="19">
        <v>0.15013404825737264</v>
      </c>
      <c r="EB47" s="19">
        <v>0.13464240770214631</v>
      </c>
      <c r="EC47" s="19">
        <v>0.16706400840898722</v>
      </c>
      <c r="ED47" s="3">
        <v>275</v>
      </c>
      <c r="EE47" s="19">
        <v>0.14397905759162305</v>
      </c>
      <c r="EF47" s="19">
        <v>0.12894894909951848</v>
      </c>
      <c r="EG47" s="19">
        <v>0.16043837515772189</v>
      </c>
      <c r="EH47" s="3">
        <v>260</v>
      </c>
      <c r="EI47" s="20">
        <v>0.13978494623655913</v>
      </c>
      <c r="EJ47" s="20">
        <v>0.12476723734807266</v>
      </c>
      <c r="EK47" s="20">
        <v>0.15628749310745849</v>
      </c>
      <c r="EL47" s="438">
        <v>235</v>
      </c>
      <c r="EM47" s="20">
        <v>0.13128491620111732</v>
      </c>
      <c r="EN47" s="20">
        <v>0.11642661934886994</v>
      </c>
      <c r="EO47" s="104">
        <v>0.14772239810789387</v>
      </c>
      <c r="EP47" s="38">
        <v>765</v>
      </c>
      <c r="EQ47" s="20">
        <v>0.12900505902192244</v>
      </c>
      <c r="ER47" s="44">
        <v>785</v>
      </c>
      <c r="ES47" s="20">
        <v>0.13138075313807532</v>
      </c>
      <c r="ET47" s="44">
        <v>795</v>
      </c>
      <c r="EU47" s="20">
        <v>0.13338926174496643</v>
      </c>
      <c r="EV47" s="44">
        <v>785</v>
      </c>
      <c r="EW47" s="20">
        <v>0.13039867109634551</v>
      </c>
      <c r="EX47" s="44">
        <v>740</v>
      </c>
      <c r="EY47" s="20">
        <v>0.12271973466003316</v>
      </c>
      <c r="EZ47" s="44">
        <v>700</v>
      </c>
      <c r="FA47" s="104">
        <v>0.115990057995029</v>
      </c>
      <c r="FB47" s="3">
        <v>360</v>
      </c>
      <c r="FC47" s="3">
        <v>14</v>
      </c>
      <c r="FD47" s="3">
        <v>346</v>
      </c>
      <c r="FE47" s="19">
        <v>0.96111111111111114</v>
      </c>
      <c r="FF47" s="3">
        <v>146</v>
      </c>
      <c r="FG47" s="3">
        <v>181</v>
      </c>
      <c r="FH47" s="19">
        <v>0.42196531791907516</v>
      </c>
      <c r="FI47" s="19">
        <v>0.52312138728323698</v>
      </c>
      <c r="FJ47" s="19">
        <v>0.379</v>
      </c>
      <c r="FK47" s="19">
        <v>0.48277199999999998</v>
      </c>
      <c r="FL47" s="19">
        <v>0.48</v>
      </c>
      <c r="FM47" s="104">
        <v>0.58459000000000005</v>
      </c>
      <c r="FN47" s="438">
        <v>323</v>
      </c>
      <c r="FO47" s="438">
        <v>137</v>
      </c>
      <c r="FP47" s="438">
        <v>56</v>
      </c>
      <c r="FQ47" s="438">
        <v>193</v>
      </c>
      <c r="FR47" s="497">
        <v>0.42414860681114552</v>
      </c>
      <c r="FS47" s="497">
        <v>0.5975232198142415</v>
      </c>
      <c r="FT47" s="497">
        <v>0.37145379781223742</v>
      </c>
      <c r="FU47" s="497">
        <v>0.47862642096783631</v>
      </c>
      <c r="FV47" s="497">
        <v>0.54319946270602504</v>
      </c>
      <c r="FW47" s="104">
        <v>0.64955454171959437</v>
      </c>
      <c r="FX47" s="438">
        <v>237</v>
      </c>
      <c r="FY47" s="438">
        <v>25</v>
      </c>
      <c r="FZ47" s="438">
        <v>212</v>
      </c>
      <c r="GA47" s="497">
        <v>0.89451476793248941</v>
      </c>
      <c r="GB47" s="438">
        <v>78</v>
      </c>
      <c r="GC47" s="438">
        <v>36</v>
      </c>
      <c r="GD47" s="438">
        <v>114</v>
      </c>
      <c r="GE47" s="497">
        <v>0.36792452830188677</v>
      </c>
      <c r="GF47" s="497">
        <v>0.53773584905660377</v>
      </c>
      <c r="GG47" s="497">
        <v>0.30589764138004744</v>
      </c>
      <c r="GH47" s="497">
        <v>0.43465266667489927</v>
      </c>
      <c r="GI47" s="497">
        <v>0.47054728087912667</v>
      </c>
      <c r="GJ47" s="104">
        <v>0.6035812025337457</v>
      </c>
      <c r="GK47" s="3">
        <v>267</v>
      </c>
      <c r="GL47" s="3">
        <v>16</v>
      </c>
      <c r="GM47" s="19">
        <v>5.9925093632958802E-2</v>
      </c>
      <c r="GN47" s="19">
        <v>3.7219155984259546E-2</v>
      </c>
      <c r="GO47" s="19">
        <v>9.5114567873070349E-2</v>
      </c>
      <c r="GP47" s="382" t="s">
        <v>726</v>
      </c>
      <c r="GQ47" s="3">
        <v>339</v>
      </c>
      <c r="GR47" s="3">
        <v>20</v>
      </c>
      <c r="GS47" s="19">
        <v>5.8997050147492625E-2</v>
      </c>
      <c r="GT47" s="19">
        <v>3.8512707119586639E-2</v>
      </c>
      <c r="GU47" s="19">
        <v>8.936406417726861E-2</v>
      </c>
      <c r="GV47" s="3" t="s">
        <v>726</v>
      </c>
      <c r="GW47" s="3">
        <v>316</v>
      </c>
      <c r="GX47" s="3">
        <v>22</v>
      </c>
      <c r="GY47" s="19">
        <v>6.9620253164556958E-2</v>
      </c>
      <c r="GZ47" s="19">
        <v>4.6422461731342048E-2</v>
      </c>
      <c r="HA47" s="19">
        <v>0.10315620451503239</v>
      </c>
      <c r="HB47" s="3" t="s">
        <v>725</v>
      </c>
      <c r="HC47" s="3">
        <v>378</v>
      </c>
      <c r="HD47" s="3">
        <v>25</v>
      </c>
      <c r="HE47" s="19">
        <v>6.6137566137566134E-2</v>
      </c>
      <c r="HF47" s="19">
        <v>4.519599414500295E-2</v>
      </c>
      <c r="HG47" s="19">
        <v>9.5808754231409221E-2</v>
      </c>
      <c r="HH47" s="3" t="s">
        <v>725</v>
      </c>
      <c r="HI47" s="3">
        <v>240</v>
      </c>
      <c r="HJ47" s="3">
        <v>19</v>
      </c>
      <c r="HK47" s="19">
        <v>7.9166666666666663E-2</v>
      </c>
      <c r="HL47" s="19">
        <v>5.1265241860673161E-2</v>
      </c>
      <c r="HM47" s="19">
        <v>0.12032764075680549</v>
      </c>
      <c r="HN47" s="11" t="s">
        <v>725</v>
      </c>
      <c r="HO47" s="11">
        <v>360</v>
      </c>
      <c r="HP47" s="11">
        <v>28</v>
      </c>
      <c r="HQ47" s="497">
        <v>7.7777777777777779E-2</v>
      </c>
      <c r="HR47" s="497">
        <v>5.4357588423295286E-2</v>
      </c>
      <c r="HS47" s="497">
        <v>0.11011365961604588</v>
      </c>
      <c r="HT47" s="8" t="str">
        <f t="shared" si="0"/>
        <v>No Sig diff</v>
      </c>
      <c r="HU47" s="3">
        <v>315</v>
      </c>
      <c r="HV47" s="3">
        <v>42</v>
      </c>
      <c r="HW47" s="19">
        <v>0.13333333333333333</v>
      </c>
      <c r="HX47" s="19">
        <v>0.10017774058878838</v>
      </c>
      <c r="HY47" s="19">
        <v>0.17532425700460882</v>
      </c>
      <c r="HZ47" s="3" t="s">
        <v>726</v>
      </c>
      <c r="IA47" s="3">
        <v>308</v>
      </c>
      <c r="IB47" s="3">
        <v>42</v>
      </c>
      <c r="IC47" s="19">
        <v>0.13636363636363635</v>
      </c>
      <c r="ID47" s="19">
        <v>0.10249195219368433</v>
      </c>
      <c r="IE47" s="19">
        <v>0.17919432246937173</v>
      </c>
      <c r="IF47" s="3" t="s">
        <v>726</v>
      </c>
      <c r="IG47" s="3">
        <v>326</v>
      </c>
      <c r="IH47" s="3">
        <v>47</v>
      </c>
      <c r="II47" s="19">
        <v>0.14417177914110429</v>
      </c>
      <c r="IJ47" s="19">
        <v>0.11018221598092334</v>
      </c>
      <c r="IK47" s="19">
        <v>0.1864495633306093</v>
      </c>
      <c r="IL47" s="3" t="s">
        <v>726</v>
      </c>
      <c r="IM47" s="3">
        <v>315</v>
      </c>
      <c r="IN47" s="3">
        <v>55</v>
      </c>
      <c r="IO47" s="19">
        <v>0.17460317460317459</v>
      </c>
      <c r="IP47" s="19">
        <v>0.13667010655521844</v>
      </c>
      <c r="IQ47" s="19">
        <v>0.22037712074628124</v>
      </c>
      <c r="IR47" s="3" t="s">
        <v>725</v>
      </c>
      <c r="IS47" s="3">
        <v>293</v>
      </c>
      <c r="IT47" s="3">
        <v>57</v>
      </c>
      <c r="IU47" s="19">
        <v>0.19453924914675769</v>
      </c>
      <c r="IV47" s="19">
        <v>0.15328807588387311</v>
      </c>
      <c r="IW47" s="19">
        <v>0.24369642651299653</v>
      </c>
      <c r="IX47" s="580" t="s">
        <v>725</v>
      </c>
      <c r="IY47" s="580">
        <v>329</v>
      </c>
      <c r="IZ47" s="580">
        <v>50</v>
      </c>
      <c r="JA47" s="497">
        <v>0.1519756838905775</v>
      </c>
      <c r="JB47" s="497">
        <v>0.11721635466889055</v>
      </c>
      <c r="JC47" s="497">
        <v>0.1947683938315504</v>
      </c>
      <c r="JD47" s="371" t="str">
        <f t="shared" si="1"/>
        <v>Sig better than Eng.</v>
      </c>
      <c r="JE47" s="3">
        <v>414</v>
      </c>
      <c r="JF47" s="3">
        <v>225</v>
      </c>
      <c r="JG47" s="19">
        <v>0.54347826086956519</v>
      </c>
      <c r="JH47" s="19">
        <v>0.49531688620393644</v>
      </c>
      <c r="JI47" s="19">
        <v>0.59084019380819441</v>
      </c>
      <c r="JJ47" s="3">
        <v>414</v>
      </c>
      <c r="JK47" s="3">
        <v>34</v>
      </c>
      <c r="JL47" s="3">
        <v>82</v>
      </c>
      <c r="JM47" s="383">
        <v>25.341460000000001</v>
      </c>
      <c r="JN47" s="19">
        <v>0.25466294117647054</v>
      </c>
      <c r="JO47" s="3">
        <v>409</v>
      </c>
      <c r="JP47" s="3">
        <v>237</v>
      </c>
      <c r="JQ47" s="19">
        <v>0.5794621026894865</v>
      </c>
      <c r="JR47" s="19">
        <v>0.53109893238651684</v>
      </c>
      <c r="JS47" s="19">
        <v>0.62634649517707219</v>
      </c>
      <c r="JT47" s="3">
        <v>409</v>
      </c>
      <c r="JU47" s="3">
        <v>34</v>
      </c>
      <c r="JV47" s="3">
        <v>81</v>
      </c>
      <c r="JW47" s="383">
        <v>24.654319999999998</v>
      </c>
      <c r="JX47" s="20">
        <v>0.27487294117647065</v>
      </c>
      <c r="JY47" s="44">
        <v>409</v>
      </c>
      <c r="JZ47" s="44">
        <v>245</v>
      </c>
      <c r="KA47" s="20">
        <v>0.59902200488997559</v>
      </c>
      <c r="KB47" s="20">
        <v>0.55081592049420358</v>
      </c>
      <c r="KC47" s="20">
        <v>0.64538530462349952</v>
      </c>
      <c r="KD47" s="438">
        <v>34</v>
      </c>
      <c r="KE47" s="438">
        <v>81</v>
      </c>
      <c r="KF47" s="384">
        <v>22.5</v>
      </c>
      <c r="KG47" s="104">
        <v>0.33900000000000002</v>
      </c>
      <c r="KH47" s="357"/>
      <c r="KI47" s="357"/>
      <c r="KJ47" s="357"/>
      <c r="KK47" s="357"/>
      <c r="KL47" s="357"/>
      <c r="KM47" s="357"/>
      <c r="KN47" s="357"/>
      <c r="KO47" s="357"/>
      <c r="KP47" s="357"/>
      <c r="KQ47" s="357"/>
      <c r="KR47" s="357"/>
      <c r="KS47" s="357"/>
      <c r="KT47" s="357"/>
      <c r="KU47" s="357"/>
      <c r="KV47" s="357"/>
      <c r="KW47" s="360"/>
      <c r="KX47" s="438">
        <v>9</v>
      </c>
      <c r="KY47" s="438">
        <v>133</v>
      </c>
      <c r="KZ47" s="497">
        <v>6.7669172932330823E-2</v>
      </c>
      <c r="LA47" s="497">
        <v>3.6006387177108239E-2</v>
      </c>
      <c r="LB47" s="497">
        <v>0.12360502744039729</v>
      </c>
      <c r="LC47" s="438">
        <v>5</v>
      </c>
      <c r="LD47" s="438">
        <v>133</v>
      </c>
      <c r="LE47" s="497">
        <v>3.7593984962406013E-2</v>
      </c>
      <c r="LF47" s="497">
        <v>1.6162919317876417E-2</v>
      </c>
      <c r="LG47" s="497">
        <v>8.4986680664325187E-2</v>
      </c>
      <c r="LH47" s="438">
        <v>8</v>
      </c>
      <c r="LI47" s="438">
        <v>132</v>
      </c>
      <c r="LJ47" s="497">
        <v>6.0606060606060608E-2</v>
      </c>
      <c r="LK47" s="497">
        <v>3.1026884470063115E-2</v>
      </c>
      <c r="LL47" s="497">
        <v>0.11503646756507763</v>
      </c>
      <c r="LM47" s="438">
        <v>18</v>
      </c>
      <c r="LN47" s="438">
        <v>131</v>
      </c>
      <c r="LO47" s="497">
        <v>0.13740458015267176</v>
      </c>
      <c r="LP47" s="497">
        <v>8.8714815543127615E-2</v>
      </c>
      <c r="LQ47" s="104">
        <v>0.20675409416121956</v>
      </c>
      <c r="LR47" s="3">
        <v>85</v>
      </c>
      <c r="LS47" s="3">
        <v>82</v>
      </c>
      <c r="LT47" s="3">
        <v>82</v>
      </c>
      <c r="LU47" s="3">
        <v>84</v>
      </c>
      <c r="LV47" s="3">
        <v>83</v>
      </c>
      <c r="LW47" s="3">
        <v>97</v>
      </c>
      <c r="LX47" s="3">
        <v>94</v>
      </c>
      <c r="LY47" s="3">
        <v>95</v>
      </c>
      <c r="LZ47" s="3">
        <v>94</v>
      </c>
      <c r="MA47" s="3">
        <v>95</v>
      </c>
      <c r="MB47" s="3">
        <v>97</v>
      </c>
      <c r="MC47" s="3">
        <v>94</v>
      </c>
      <c r="MD47" s="3">
        <v>96</v>
      </c>
      <c r="ME47" s="3">
        <v>112</v>
      </c>
      <c r="MF47" s="3">
        <v>106</v>
      </c>
      <c r="MG47" s="3">
        <v>102</v>
      </c>
      <c r="MH47" s="3">
        <v>98</v>
      </c>
      <c r="MI47" s="3">
        <v>105</v>
      </c>
      <c r="MJ47" s="3">
        <v>107</v>
      </c>
      <c r="MK47" s="3">
        <v>105</v>
      </c>
      <c r="ML47" s="3">
        <v>107</v>
      </c>
      <c r="MM47" s="3">
        <v>105</v>
      </c>
      <c r="MN47" s="8">
        <v>108</v>
      </c>
      <c r="MO47" s="3">
        <v>235</v>
      </c>
      <c r="MP47" s="24">
        <v>0.86799999999999999</v>
      </c>
      <c r="MQ47" s="24">
        <v>8.9999999999999993E-3</v>
      </c>
      <c r="MR47" s="24">
        <v>0.877</v>
      </c>
      <c r="MS47" s="3">
        <v>204</v>
      </c>
      <c r="MT47" s="3">
        <v>2</v>
      </c>
      <c r="MU47" s="3">
        <v>206</v>
      </c>
      <c r="MV47" s="3">
        <v>250</v>
      </c>
      <c r="MW47" s="24">
        <v>0.97199999999999998</v>
      </c>
      <c r="MX47" s="24">
        <v>0.93200000000000005</v>
      </c>
      <c r="MY47" s="24">
        <v>0.96</v>
      </c>
      <c r="MZ47" s="24">
        <v>0.94399999999999995</v>
      </c>
      <c r="NA47" s="24">
        <v>0.93600000000000005</v>
      </c>
      <c r="NB47" s="3">
        <v>243</v>
      </c>
      <c r="NC47" s="3">
        <v>233</v>
      </c>
      <c r="ND47" s="3">
        <v>240</v>
      </c>
      <c r="NE47" s="3">
        <v>236</v>
      </c>
      <c r="NF47" s="3">
        <v>234</v>
      </c>
      <c r="NG47" s="3">
        <v>283</v>
      </c>
      <c r="NH47" s="24">
        <v>0.98199999999999998</v>
      </c>
      <c r="NI47" s="24">
        <v>0.91900000000000004</v>
      </c>
      <c r="NJ47" s="24">
        <v>0.98199999999999998</v>
      </c>
      <c r="NK47" s="24">
        <v>0.97899999999999998</v>
      </c>
      <c r="NL47" s="24">
        <v>0.97899999999999998</v>
      </c>
      <c r="NM47" s="24">
        <v>0.85199999999999998</v>
      </c>
      <c r="NN47" s="24">
        <v>0.95799999999999996</v>
      </c>
      <c r="NO47" s="24">
        <v>0.92900000000000005</v>
      </c>
      <c r="NP47" s="24">
        <v>0.98199999999999998</v>
      </c>
      <c r="NQ47" s="24">
        <v>0.94299999999999995</v>
      </c>
      <c r="NR47" s="3">
        <v>278</v>
      </c>
      <c r="NS47" s="3">
        <v>260</v>
      </c>
      <c r="NT47" s="3">
        <v>278</v>
      </c>
      <c r="NU47" s="3">
        <v>277</v>
      </c>
      <c r="NV47" s="3">
        <v>277</v>
      </c>
      <c r="NW47" s="3">
        <v>241</v>
      </c>
      <c r="NX47" s="3">
        <v>271</v>
      </c>
      <c r="NY47" s="3">
        <v>263</v>
      </c>
      <c r="NZ47" s="3">
        <v>278</v>
      </c>
      <c r="OA47" s="8">
        <v>267</v>
      </c>
    </row>
    <row r="48" spans="1:391" s="4" customFormat="1" ht="12.75" x14ac:dyDescent="0.2">
      <c r="A48" s="4" t="s">
        <v>72</v>
      </c>
      <c r="B48" s="9">
        <v>43</v>
      </c>
      <c r="C48" s="4" t="s">
        <v>262</v>
      </c>
      <c r="D48" s="4" t="s">
        <v>263</v>
      </c>
      <c r="E48" s="4" t="s">
        <v>287</v>
      </c>
      <c r="F48" s="4" t="s">
        <v>287</v>
      </c>
      <c r="G48" s="4" t="s">
        <v>264</v>
      </c>
      <c r="H48" s="4" t="s">
        <v>82</v>
      </c>
      <c r="I48" s="4" t="s">
        <v>82</v>
      </c>
      <c r="J48" s="4" t="s">
        <v>269</v>
      </c>
      <c r="K48" s="4" t="s">
        <v>82</v>
      </c>
      <c r="L48" s="4" t="s">
        <v>272</v>
      </c>
      <c r="M48" s="4" t="s">
        <v>366</v>
      </c>
      <c r="N48" s="4" t="s">
        <v>401</v>
      </c>
      <c r="O48" s="4">
        <v>515199</v>
      </c>
      <c r="P48" s="4">
        <v>104360</v>
      </c>
      <c r="Q48" s="129">
        <v>23275</v>
      </c>
      <c r="R48" s="129">
        <v>80773</v>
      </c>
      <c r="S48" s="401" t="s">
        <v>817</v>
      </c>
      <c r="T48" s="41">
        <v>13320</v>
      </c>
      <c r="U48" s="42">
        <v>13405</v>
      </c>
      <c r="V48" s="42">
        <v>13530</v>
      </c>
      <c r="W48" s="42">
        <v>13660</v>
      </c>
      <c r="X48" s="42">
        <v>13830</v>
      </c>
      <c r="Y48" s="42">
        <v>13930</v>
      </c>
      <c r="Z48" s="42">
        <v>14030</v>
      </c>
      <c r="AA48" s="42">
        <v>14190</v>
      </c>
      <c r="AB48" s="42">
        <v>14215</v>
      </c>
      <c r="AC48" s="42">
        <v>14380</v>
      </c>
      <c r="AD48" s="41">
        <v>890</v>
      </c>
      <c r="AE48" s="42">
        <v>900</v>
      </c>
      <c r="AF48" s="42">
        <v>915</v>
      </c>
      <c r="AG48" s="42">
        <v>950</v>
      </c>
      <c r="AH48" s="42">
        <v>995</v>
      </c>
      <c r="AI48" s="42">
        <v>995</v>
      </c>
      <c r="AJ48" s="42">
        <v>1000</v>
      </c>
      <c r="AK48" s="42">
        <v>1010</v>
      </c>
      <c r="AL48" s="42">
        <v>965</v>
      </c>
      <c r="AM48" s="42">
        <v>974</v>
      </c>
      <c r="AN48" s="16">
        <v>1017</v>
      </c>
      <c r="AO48" s="4">
        <v>849</v>
      </c>
      <c r="AP48" s="4">
        <v>29</v>
      </c>
      <c r="AQ48" s="4">
        <v>67</v>
      </c>
      <c r="AR48" s="4">
        <v>52</v>
      </c>
      <c r="AS48" s="4">
        <v>15</v>
      </c>
      <c r="AT48" s="4">
        <v>5</v>
      </c>
      <c r="AU48" s="4">
        <v>168</v>
      </c>
      <c r="AV48" s="21">
        <v>0.83480825958702065</v>
      </c>
      <c r="AW48" s="22">
        <v>2.8515240904621434E-2</v>
      </c>
      <c r="AX48" s="22">
        <v>6.5880039331366769E-2</v>
      </c>
      <c r="AY48" s="22">
        <v>5.1130776794493606E-2</v>
      </c>
      <c r="AZ48" s="22">
        <v>1.4749262536873156E-2</v>
      </c>
      <c r="BA48" s="22">
        <v>4.9164208456243851E-3</v>
      </c>
      <c r="BB48" s="22">
        <v>0.16519174041297935</v>
      </c>
      <c r="BC48" s="16">
        <v>2577</v>
      </c>
      <c r="BD48" s="4">
        <v>2501</v>
      </c>
      <c r="BE48" s="4">
        <v>76</v>
      </c>
      <c r="BF48" s="4">
        <v>65</v>
      </c>
      <c r="BG48" s="4">
        <v>11</v>
      </c>
      <c r="BH48" s="22">
        <v>0.85526315789473684</v>
      </c>
      <c r="BI48" s="22">
        <v>0.14473684210526316</v>
      </c>
      <c r="BJ48" s="41">
        <v>1993</v>
      </c>
      <c r="BK48" s="22">
        <v>0.66984445559458106</v>
      </c>
      <c r="BL48" s="22">
        <v>0.10386352232814852</v>
      </c>
      <c r="BM48" s="22">
        <v>0.22629202207727045</v>
      </c>
      <c r="BN48" s="41">
        <v>3880</v>
      </c>
      <c r="BO48" s="42">
        <v>292</v>
      </c>
      <c r="BP48" s="42">
        <v>331</v>
      </c>
      <c r="BQ48" s="42">
        <v>171</v>
      </c>
      <c r="BR48" s="42">
        <v>3591</v>
      </c>
      <c r="BS48" s="42">
        <v>1975</v>
      </c>
      <c r="BT48" s="22">
        <v>0.16151898734177214</v>
      </c>
      <c r="BU48" s="41">
        <v>1130</v>
      </c>
      <c r="BV48" s="42">
        <v>1</v>
      </c>
      <c r="BW48" s="42">
        <v>243</v>
      </c>
      <c r="BX48" s="42">
        <v>476</v>
      </c>
      <c r="BY48" s="42">
        <v>134</v>
      </c>
      <c r="BZ48" s="43">
        <v>1984</v>
      </c>
      <c r="CA48" s="42">
        <v>802</v>
      </c>
      <c r="CB48" s="42">
        <v>655</v>
      </c>
      <c r="CC48" s="42">
        <v>145</v>
      </c>
      <c r="CD48" s="42">
        <v>147</v>
      </c>
      <c r="CE48" s="22">
        <v>0.18079800498753118</v>
      </c>
      <c r="CF48" s="105">
        <v>0.18329177057356608</v>
      </c>
      <c r="CG48" s="42">
        <v>140</v>
      </c>
      <c r="CH48" s="42">
        <v>120</v>
      </c>
      <c r="CI48" s="42">
        <v>105</v>
      </c>
      <c r="CJ48" s="42">
        <v>100</v>
      </c>
      <c r="CK48" s="42">
        <v>85</v>
      </c>
      <c r="CL48" s="41">
        <v>476</v>
      </c>
      <c r="CM48" s="42">
        <v>162</v>
      </c>
      <c r="CN48" s="22">
        <v>0.34033613445378152</v>
      </c>
      <c r="CO48" s="43">
        <v>35</v>
      </c>
      <c r="CP48" s="42">
        <v>181</v>
      </c>
      <c r="CQ48" s="42">
        <v>161</v>
      </c>
      <c r="CR48" s="42">
        <v>183</v>
      </c>
      <c r="CS48" s="42">
        <v>166</v>
      </c>
      <c r="CT48" s="42">
        <v>151</v>
      </c>
      <c r="CU48" s="125" t="s">
        <v>474</v>
      </c>
      <c r="CV48" s="42">
        <v>11</v>
      </c>
      <c r="CW48" s="42">
        <v>5</v>
      </c>
      <c r="CX48" s="42">
        <v>10</v>
      </c>
      <c r="CY48" s="42">
        <v>8</v>
      </c>
      <c r="CZ48" s="42">
        <v>8</v>
      </c>
      <c r="DA48" s="134" t="s">
        <v>474</v>
      </c>
      <c r="DB48" s="16">
        <v>17</v>
      </c>
      <c r="DC48" s="16">
        <v>9</v>
      </c>
      <c r="DD48" s="22">
        <v>5.9602649006622516E-2</v>
      </c>
      <c r="DE48" s="22">
        <v>3.167075659834806E-2</v>
      </c>
      <c r="DF48" s="22">
        <v>0.10938616050281703</v>
      </c>
      <c r="DG48" s="16">
        <v>20</v>
      </c>
      <c r="DH48" s="22">
        <v>1.966568338249754E-2</v>
      </c>
      <c r="DI48" s="424">
        <v>4</v>
      </c>
      <c r="DJ48" s="429">
        <v>4</v>
      </c>
      <c r="DK48" s="4">
        <v>315</v>
      </c>
      <c r="DL48" s="22">
        <v>5.4254219772648986E-2</v>
      </c>
      <c r="DM48" s="16">
        <v>175</v>
      </c>
      <c r="DN48" s="4">
        <v>155</v>
      </c>
      <c r="DO48" s="4">
        <v>160</v>
      </c>
      <c r="DP48" s="4">
        <v>135</v>
      </c>
      <c r="DQ48" s="4">
        <v>125</v>
      </c>
      <c r="DR48" s="16">
        <v>125</v>
      </c>
      <c r="DS48" s="22">
        <v>0.13736263736263737</v>
      </c>
      <c r="DT48" s="22">
        <v>0.11651673444217239</v>
      </c>
      <c r="DU48" s="22">
        <v>0.16125733278856444</v>
      </c>
      <c r="DV48" s="4">
        <v>165</v>
      </c>
      <c r="DW48" s="22">
        <v>0.1736842105263158</v>
      </c>
      <c r="DX48" s="22">
        <v>0.15092091805592797</v>
      </c>
      <c r="DY48" s="22">
        <v>0.19907588249565156</v>
      </c>
      <c r="DZ48" s="4">
        <v>160</v>
      </c>
      <c r="EA48" s="22">
        <v>0.17112299465240641</v>
      </c>
      <c r="EB48" s="22">
        <v>0.14834030882261542</v>
      </c>
      <c r="EC48" s="22">
        <v>0.19659701342504152</v>
      </c>
      <c r="ED48" s="4">
        <v>145</v>
      </c>
      <c r="EE48" s="22">
        <v>0.15591397849462366</v>
      </c>
      <c r="EF48" s="22">
        <v>0.1340190253681591</v>
      </c>
      <c r="EG48" s="22">
        <v>0.18063980247160413</v>
      </c>
      <c r="EH48" s="4">
        <v>135</v>
      </c>
      <c r="EI48" s="22">
        <v>0.13989637305699482</v>
      </c>
      <c r="EJ48" s="22">
        <v>0.11943516768138612</v>
      </c>
      <c r="EK48" s="22">
        <v>0.16321320200545925</v>
      </c>
      <c r="EL48" s="439">
        <v>140</v>
      </c>
      <c r="EM48" s="22">
        <v>0.16279069767441862</v>
      </c>
      <c r="EN48" s="22">
        <v>0.13962604907368953</v>
      </c>
      <c r="EO48" s="105">
        <v>0.18895445134381883</v>
      </c>
      <c r="EP48" s="41">
        <v>405</v>
      </c>
      <c r="EQ48" s="22">
        <v>0.13705583756345177</v>
      </c>
      <c r="ER48" s="42">
        <v>485</v>
      </c>
      <c r="ES48" s="22">
        <v>0.16086235489220563</v>
      </c>
      <c r="ET48" s="42">
        <v>455</v>
      </c>
      <c r="EU48" s="22">
        <v>0.15041322314049588</v>
      </c>
      <c r="EV48" s="42">
        <v>440</v>
      </c>
      <c r="EW48" s="22">
        <v>0.14497528830313014</v>
      </c>
      <c r="EX48" s="42">
        <v>410</v>
      </c>
      <c r="EY48" s="22">
        <v>0.13333333333333333</v>
      </c>
      <c r="EZ48" s="42">
        <v>420</v>
      </c>
      <c r="FA48" s="105">
        <v>0.14023372287145242</v>
      </c>
      <c r="FB48" s="4">
        <v>172</v>
      </c>
      <c r="FC48" s="4">
        <v>4</v>
      </c>
      <c r="FD48" s="4">
        <v>168</v>
      </c>
      <c r="FE48" s="22">
        <v>0.97674418604651159</v>
      </c>
      <c r="FF48" s="4">
        <v>70</v>
      </c>
      <c r="FG48" s="4">
        <v>87</v>
      </c>
      <c r="FH48" s="22">
        <v>0.41666666666666669</v>
      </c>
      <c r="FI48" s="22">
        <v>0.5178571428571429</v>
      </c>
      <c r="FJ48" s="22">
        <v>0.34479298206061598</v>
      </c>
      <c r="FK48" s="22">
        <v>0.49226626319780803</v>
      </c>
      <c r="FL48" s="22">
        <v>0.44274583327172728</v>
      </c>
      <c r="FM48" s="105">
        <v>0.59217004274432472</v>
      </c>
      <c r="FN48" s="439">
        <v>142</v>
      </c>
      <c r="FO48" s="439">
        <v>60</v>
      </c>
      <c r="FP48" s="439">
        <v>19</v>
      </c>
      <c r="FQ48" s="439">
        <v>79</v>
      </c>
      <c r="FR48" s="22">
        <v>0.42253521126760563</v>
      </c>
      <c r="FS48" s="22">
        <v>0.55633802816901412</v>
      </c>
      <c r="FT48" s="22">
        <v>0.34438153085241952</v>
      </c>
      <c r="FU48" s="22">
        <v>0.50476973122424373</v>
      </c>
      <c r="FV48" s="22">
        <v>0.47420924282303534</v>
      </c>
      <c r="FW48" s="105">
        <v>0.63549893021211867</v>
      </c>
      <c r="FX48" s="439">
        <v>304</v>
      </c>
      <c r="FY48" s="439">
        <v>26</v>
      </c>
      <c r="FZ48" s="439">
        <v>278</v>
      </c>
      <c r="GA48" s="22">
        <v>0.91447368421052633</v>
      </c>
      <c r="GB48" s="439">
        <v>125</v>
      </c>
      <c r="GC48" s="439">
        <v>42</v>
      </c>
      <c r="GD48" s="439">
        <v>167</v>
      </c>
      <c r="GE48" s="22">
        <v>0.44964028776978415</v>
      </c>
      <c r="GF48" s="22">
        <v>0.60071942446043169</v>
      </c>
      <c r="GG48" s="22">
        <v>0.39224597464486799</v>
      </c>
      <c r="GH48" s="22">
        <v>0.5084073922616188</v>
      </c>
      <c r="GI48" s="22">
        <v>0.5421532586039719</v>
      </c>
      <c r="GJ48" s="105">
        <v>0.65654000758305442</v>
      </c>
      <c r="GK48" s="4">
        <v>130</v>
      </c>
      <c r="GL48" s="4">
        <v>14</v>
      </c>
      <c r="GM48" s="22">
        <v>0.1076923076923077</v>
      </c>
      <c r="GN48" s="22">
        <v>6.5241339616437855E-2</v>
      </c>
      <c r="GO48" s="22">
        <v>0.17266296224380834</v>
      </c>
      <c r="GP48" s="352" t="s">
        <v>725</v>
      </c>
      <c r="GQ48" s="4">
        <v>186</v>
      </c>
      <c r="GR48" s="4">
        <v>13</v>
      </c>
      <c r="GS48" s="22">
        <v>6.9892473118279563E-2</v>
      </c>
      <c r="GT48" s="22">
        <v>4.1297216253746931E-2</v>
      </c>
      <c r="GU48" s="22">
        <v>0.11589425818008303</v>
      </c>
      <c r="GV48" s="4" t="s">
        <v>725</v>
      </c>
      <c r="GW48" s="4">
        <v>159</v>
      </c>
      <c r="GX48" s="4">
        <v>13</v>
      </c>
      <c r="GY48" s="22">
        <v>8.1761006289308172E-2</v>
      </c>
      <c r="GZ48" s="22">
        <v>4.8402298802567148E-2</v>
      </c>
      <c r="HA48" s="22">
        <v>0.13485237747463791</v>
      </c>
      <c r="HB48" s="4" t="s">
        <v>725</v>
      </c>
      <c r="HC48" s="4">
        <v>192</v>
      </c>
      <c r="HD48" s="4">
        <v>25</v>
      </c>
      <c r="HE48" s="22">
        <v>0.13020833333333334</v>
      </c>
      <c r="HF48" s="22">
        <v>8.9774224743510128E-2</v>
      </c>
      <c r="HG48" s="22">
        <v>0.18514947703502674</v>
      </c>
      <c r="HH48" s="4" t="s">
        <v>725</v>
      </c>
      <c r="HI48" s="4">
        <v>114</v>
      </c>
      <c r="HJ48" s="4">
        <v>13</v>
      </c>
      <c r="HK48" s="22">
        <v>0.11403508771929824</v>
      </c>
      <c r="HL48" s="22">
        <v>6.786521821254024E-2</v>
      </c>
      <c r="HM48" s="22">
        <v>0.18536873798024975</v>
      </c>
      <c r="HN48" s="4" t="s">
        <v>725</v>
      </c>
      <c r="HO48" s="4">
        <v>181</v>
      </c>
      <c r="HP48" s="4">
        <v>12</v>
      </c>
      <c r="HQ48" s="22">
        <v>6.6298342541436461E-2</v>
      </c>
      <c r="HR48" s="22">
        <v>3.8328830686219811E-2</v>
      </c>
      <c r="HS48" s="22">
        <v>0.11229462250618219</v>
      </c>
      <c r="HT48" s="9" t="str">
        <f t="shared" si="0"/>
        <v>No Sig diff</v>
      </c>
      <c r="HU48" s="4">
        <v>152</v>
      </c>
      <c r="HV48" s="4">
        <v>20</v>
      </c>
      <c r="HW48" s="22">
        <v>0.13157894736842105</v>
      </c>
      <c r="HX48" s="22">
        <v>8.6817115241413917E-2</v>
      </c>
      <c r="HY48" s="22">
        <v>0.19450378070282012</v>
      </c>
      <c r="HZ48" s="4" t="s">
        <v>725</v>
      </c>
      <c r="IA48" s="4">
        <v>163</v>
      </c>
      <c r="IB48" s="4">
        <v>32</v>
      </c>
      <c r="IC48" s="22">
        <v>0.19631901840490798</v>
      </c>
      <c r="ID48" s="22">
        <v>0.14263444430709368</v>
      </c>
      <c r="IE48" s="22">
        <v>0.26398786228400306</v>
      </c>
      <c r="IF48" s="4" t="s">
        <v>725</v>
      </c>
      <c r="IG48" s="4">
        <v>148</v>
      </c>
      <c r="IH48" s="4">
        <v>17</v>
      </c>
      <c r="II48" s="22">
        <v>0.11486486486486487</v>
      </c>
      <c r="IJ48" s="22">
        <v>7.2964239324355348E-2</v>
      </c>
      <c r="IK48" s="22">
        <v>0.17625266832785691</v>
      </c>
      <c r="IL48" s="4" t="s">
        <v>726</v>
      </c>
      <c r="IM48" s="4">
        <v>146</v>
      </c>
      <c r="IN48" s="4">
        <v>22</v>
      </c>
      <c r="IO48" s="22">
        <v>0.15068493150684931</v>
      </c>
      <c r="IP48" s="22">
        <v>0.10166464144505639</v>
      </c>
      <c r="IQ48" s="22">
        <v>0.21761587809355135</v>
      </c>
      <c r="IR48" s="4" t="s">
        <v>725</v>
      </c>
      <c r="IS48" s="4">
        <v>167</v>
      </c>
      <c r="IT48" s="4">
        <v>28</v>
      </c>
      <c r="IU48" s="22">
        <v>0.16766467065868262</v>
      </c>
      <c r="IV48" s="22">
        <v>0.11862396675614247</v>
      </c>
      <c r="IW48" s="22">
        <v>0.23165083910055798</v>
      </c>
      <c r="IX48" s="581" t="s">
        <v>725</v>
      </c>
      <c r="IY48" s="581">
        <v>151</v>
      </c>
      <c r="IZ48" s="581">
        <v>19</v>
      </c>
      <c r="JA48" s="22">
        <v>0.12582781456953643</v>
      </c>
      <c r="JB48" s="22">
        <v>8.2053702469154652E-2</v>
      </c>
      <c r="JC48" s="22">
        <v>0.18816758800025629</v>
      </c>
      <c r="JD48" s="372" t="str">
        <f t="shared" si="1"/>
        <v>Sig better than Eng.</v>
      </c>
      <c r="JE48" s="4">
        <v>222</v>
      </c>
      <c r="JF48" s="4">
        <v>118</v>
      </c>
      <c r="JG48" s="22">
        <v>0.53153153153153154</v>
      </c>
      <c r="JH48" s="22">
        <v>0.46591247372915356</v>
      </c>
      <c r="JI48" s="22">
        <v>0.59607791578172553</v>
      </c>
      <c r="JJ48" s="4">
        <v>222</v>
      </c>
      <c r="JK48" s="4">
        <v>34</v>
      </c>
      <c r="JL48" s="4">
        <v>44</v>
      </c>
      <c r="JM48" s="385">
        <v>24.886363636363633</v>
      </c>
      <c r="JN48" s="22">
        <v>0.26804812834224606</v>
      </c>
      <c r="JO48" s="4">
        <v>203</v>
      </c>
      <c r="JP48" s="4">
        <v>141</v>
      </c>
      <c r="JQ48" s="22">
        <v>0.69458128078817738</v>
      </c>
      <c r="JR48" s="22">
        <v>0.62809552282698589</v>
      </c>
      <c r="JS48" s="22">
        <v>0.75383951307161123</v>
      </c>
      <c r="JT48" s="4">
        <v>203</v>
      </c>
      <c r="JU48" s="4">
        <v>34</v>
      </c>
      <c r="JV48" s="4">
        <v>40</v>
      </c>
      <c r="JW48" s="385">
        <v>26.025000000000006</v>
      </c>
      <c r="JX48" s="22">
        <v>0.2345588235294116</v>
      </c>
      <c r="JY48" s="42">
        <v>197</v>
      </c>
      <c r="JZ48" s="42">
        <v>133</v>
      </c>
      <c r="KA48" s="22">
        <v>0.67512690355329952</v>
      </c>
      <c r="KB48" s="22">
        <v>0.60692115957551818</v>
      </c>
      <c r="KC48" s="22">
        <v>0.7366334053293373</v>
      </c>
      <c r="KD48" s="439">
        <v>34</v>
      </c>
      <c r="KE48" s="439">
        <v>39</v>
      </c>
      <c r="KF48" s="385">
        <v>25.6</v>
      </c>
      <c r="KG48" s="105">
        <v>0.248</v>
      </c>
      <c r="KH48" s="22">
        <v>0.88145604395604382</v>
      </c>
      <c r="KI48" s="22">
        <v>0.11854395604395604</v>
      </c>
      <c r="KJ48" s="22">
        <v>7.1709958980432961E-2</v>
      </c>
      <c r="KK48" s="22">
        <v>0.19511025818384223</v>
      </c>
      <c r="KL48" s="22">
        <v>0.92870879120879124</v>
      </c>
      <c r="KM48" s="22">
        <v>7.1291208791208788E-2</v>
      </c>
      <c r="KN48" s="22">
        <v>3.8009793445671562E-2</v>
      </c>
      <c r="KO48" s="22">
        <v>0.13939825508010059</v>
      </c>
      <c r="KP48" s="22">
        <v>0.88305860805860803</v>
      </c>
      <c r="KQ48" s="22">
        <v>0.11694139194139194</v>
      </c>
      <c r="KR48" s="22">
        <v>7.1709958980432961E-2</v>
      </c>
      <c r="KS48" s="22">
        <v>0.19511025818384223</v>
      </c>
      <c r="KT48" s="22">
        <v>0.81379731379731379</v>
      </c>
      <c r="KU48" s="22">
        <v>0.18620268620268621</v>
      </c>
      <c r="KV48" s="22">
        <v>0.12319860172367546</v>
      </c>
      <c r="KW48" s="105">
        <v>0.26879865153450394</v>
      </c>
      <c r="KX48" s="439">
        <v>7</v>
      </c>
      <c r="KY48" s="439">
        <v>63</v>
      </c>
      <c r="KZ48" s="22">
        <v>0.1111111111111111</v>
      </c>
      <c r="LA48" s="22">
        <v>5.4875486623837205E-2</v>
      </c>
      <c r="LB48" s="22">
        <v>0.21204655750082518</v>
      </c>
      <c r="LC48" s="439">
        <v>6</v>
      </c>
      <c r="LD48" s="439">
        <v>63</v>
      </c>
      <c r="LE48" s="22">
        <v>9.5238095238095233E-2</v>
      </c>
      <c r="LF48" s="22">
        <v>4.438348427689201E-2</v>
      </c>
      <c r="LG48" s="22">
        <v>0.19261701062836886</v>
      </c>
      <c r="LH48" s="439">
        <v>7</v>
      </c>
      <c r="LI48" s="439">
        <v>63</v>
      </c>
      <c r="LJ48" s="22">
        <v>0.1111111111111111</v>
      </c>
      <c r="LK48" s="22">
        <v>5.4875486623837205E-2</v>
      </c>
      <c r="LL48" s="22">
        <v>0.21204655750082518</v>
      </c>
      <c r="LM48" s="439">
        <v>16</v>
      </c>
      <c r="LN48" s="439">
        <v>63</v>
      </c>
      <c r="LO48" s="22">
        <v>0.25396825396825395</v>
      </c>
      <c r="LP48" s="22">
        <v>0.16280411273321163</v>
      </c>
      <c r="LQ48" s="105">
        <v>0.37341187436606454</v>
      </c>
      <c r="LR48" s="4">
        <v>38</v>
      </c>
      <c r="LS48" s="4">
        <v>36</v>
      </c>
      <c r="LT48" s="4">
        <v>36</v>
      </c>
      <c r="LU48" s="4">
        <v>37</v>
      </c>
      <c r="LV48" s="4">
        <v>36</v>
      </c>
      <c r="LW48" s="4">
        <v>54</v>
      </c>
      <c r="LX48" s="4">
        <v>50</v>
      </c>
      <c r="LY48" s="4">
        <v>51</v>
      </c>
      <c r="LZ48" s="4">
        <v>50</v>
      </c>
      <c r="MA48" s="4">
        <v>52</v>
      </c>
      <c r="MB48" s="4">
        <v>53</v>
      </c>
      <c r="MC48" s="4">
        <v>49</v>
      </c>
      <c r="MD48" s="4">
        <v>52</v>
      </c>
      <c r="ME48" s="4">
        <v>52</v>
      </c>
      <c r="MF48" s="4">
        <v>48</v>
      </c>
      <c r="MG48" s="4">
        <v>47</v>
      </c>
      <c r="MH48" s="4">
        <v>45</v>
      </c>
      <c r="MI48" s="4">
        <v>48</v>
      </c>
      <c r="MJ48" s="4">
        <v>51</v>
      </c>
      <c r="MK48" s="4">
        <v>47</v>
      </c>
      <c r="ML48" s="4">
        <v>50</v>
      </c>
      <c r="MM48" s="4">
        <v>46</v>
      </c>
      <c r="MN48" s="9">
        <v>50</v>
      </c>
      <c r="MO48" s="4">
        <v>286</v>
      </c>
      <c r="MP48" s="25">
        <v>0.88800000000000001</v>
      </c>
      <c r="MQ48" s="25">
        <v>0.01</v>
      </c>
      <c r="MR48" s="25">
        <v>0.88800000000000001</v>
      </c>
      <c r="MS48" s="4">
        <v>254</v>
      </c>
      <c r="MT48" s="4">
        <v>3</v>
      </c>
      <c r="MU48" s="4">
        <v>254</v>
      </c>
      <c r="MV48" s="4">
        <v>299</v>
      </c>
      <c r="MW48" s="25">
        <v>0.98</v>
      </c>
      <c r="MX48" s="25">
        <v>0.94299999999999995</v>
      </c>
      <c r="MY48" s="25">
        <v>0.96699999999999997</v>
      </c>
      <c r="MZ48" s="25">
        <v>0.92300000000000004</v>
      </c>
      <c r="NA48" s="25">
        <v>0.93</v>
      </c>
      <c r="NB48" s="4">
        <v>293</v>
      </c>
      <c r="NC48" s="4">
        <v>282</v>
      </c>
      <c r="ND48" s="4">
        <v>289</v>
      </c>
      <c r="NE48" s="4">
        <v>276</v>
      </c>
      <c r="NF48" s="4">
        <v>278</v>
      </c>
      <c r="NG48" s="4">
        <v>342</v>
      </c>
      <c r="NH48" s="25">
        <v>0.96799999999999997</v>
      </c>
      <c r="NI48" s="25">
        <v>0.94199999999999995</v>
      </c>
      <c r="NJ48" s="25">
        <v>0.96799999999999997</v>
      </c>
      <c r="NK48" s="25">
        <v>0.96499999999999997</v>
      </c>
      <c r="NL48" s="25">
        <v>0.97099999999999997</v>
      </c>
      <c r="NM48" s="25">
        <v>0.91800000000000004</v>
      </c>
      <c r="NN48" s="25">
        <v>0.93899999999999995</v>
      </c>
      <c r="NO48" s="25">
        <v>0.93899999999999995</v>
      </c>
      <c r="NP48" s="25">
        <v>0.97699999999999998</v>
      </c>
      <c r="NQ48" s="25">
        <v>0.90400000000000003</v>
      </c>
      <c r="NR48" s="4">
        <v>331</v>
      </c>
      <c r="NS48" s="4">
        <v>322</v>
      </c>
      <c r="NT48" s="4">
        <v>331</v>
      </c>
      <c r="NU48" s="4">
        <v>330</v>
      </c>
      <c r="NV48" s="4">
        <v>332</v>
      </c>
      <c r="NW48" s="4">
        <v>314</v>
      </c>
      <c r="NX48" s="4">
        <v>321</v>
      </c>
      <c r="NY48" s="4">
        <v>321</v>
      </c>
      <c r="NZ48" s="4">
        <v>334</v>
      </c>
      <c r="OA48" s="9">
        <v>309</v>
      </c>
    </row>
    <row r="49" spans="1:391" s="3" customFormat="1" ht="12.75" x14ac:dyDescent="0.2">
      <c r="A49" s="11" t="s">
        <v>114</v>
      </c>
      <c r="B49" s="8">
        <v>1</v>
      </c>
      <c r="C49" s="11" t="s">
        <v>287</v>
      </c>
      <c r="D49" s="11" t="s">
        <v>287</v>
      </c>
      <c r="E49" s="11" t="s">
        <v>287</v>
      </c>
      <c r="F49" s="11" t="s">
        <v>287</v>
      </c>
      <c r="G49" s="11" t="s">
        <v>287</v>
      </c>
      <c r="H49" s="11" t="s">
        <v>73</v>
      </c>
      <c r="I49" s="11" t="s">
        <v>399</v>
      </c>
      <c r="J49" s="11" t="s">
        <v>269</v>
      </c>
      <c r="K49" s="11" t="s">
        <v>287</v>
      </c>
      <c r="L49" s="11" t="s">
        <v>287</v>
      </c>
      <c r="M49" s="11" t="s">
        <v>287</v>
      </c>
      <c r="N49" s="11" t="s">
        <v>401</v>
      </c>
      <c r="O49" s="128" t="s">
        <v>287</v>
      </c>
      <c r="P49" s="128" t="s">
        <v>287</v>
      </c>
      <c r="Q49" s="128" t="s">
        <v>287</v>
      </c>
      <c r="R49" s="128" t="s">
        <v>287</v>
      </c>
      <c r="S49" s="128" t="s">
        <v>287</v>
      </c>
      <c r="T49" s="38">
        <v>27205</v>
      </c>
      <c r="U49" s="39">
        <v>27465</v>
      </c>
      <c r="V49" s="39">
        <v>27495</v>
      </c>
      <c r="W49" s="39">
        <v>27515</v>
      </c>
      <c r="X49" s="39">
        <v>27770</v>
      </c>
      <c r="Y49" s="39">
        <v>27820</v>
      </c>
      <c r="Z49" s="39">
        <v>27855</v>
      </c>
      <c r="AA49" s="39">
        <v>28125</v>
      </c>
      <c r="AB49" s="39">
        <v>28580</v>
      </c>
      <c r="AC49" s="44">
        <v>28885</v>
      </c>
      <c r="AD49" s="38">
        <v>1455</v>
      </c>
      <c r="AE49" s="39">
        <v>1510</v>
      </c>
      <c r="AF49" s="39">
        <v>1510</v>
      </c>
      <c r="AG49" s="39">
        <v>1565</v>
      </c>
      <c r="AH49" s="39">
        <v>1590</v>
      </c>
      <c r="AI49" s="39">
        <v>1630</v>
      </c>
      <c r="AJ49" s="39">
        <v>1710</v>
      </c>
      <c r="AK49" s="39">
        <v>1770</v>
      </c>
      <c r="AL49" s="39">
        <v>1825</v>
      </c>
      <c r="AM49" s="44">
        <v>1880</v>
      </c>
      <c r="AN49" s="15">
        <v>1696</v>
      </c>
      <c r="AO49" s="3">
        <v>1517</v>
      </c>
      <c r="AP49" s="3">
        <v>34</v>
      </c>
      <c r="AQ49" s="3">
        <v>69</v>
      </c>
      <c r="AR49" s="3">
        <v>50</v>
      </c>
      <c r="AS49" s="3">
        <v>6</v>
      </c>
      <c r="AT49" s="3">
        <v>20</v>
      </c>
      <c r="AU49" s="11">
        <v>179</v>
      </c>
      <c r="AV49" s="18">
        <v>0.8944575471698113</v>
      </c>
      <c r="AW49" s="19">
        <v>2.0047169811320754E-2</v>
      </c>
      <c r="AX49" s="19">
        <v>4.0683962264150941E-2</v>
      </c>
      <c r="AY49" s="19">
        <v>2.9481132075471699E-2</v>
      </c>
      <c r="AZ49" s="19">
        <v>3.5377358490566039E-3</v>
      </c>
      <c r="BA49" s="19">
        <v>1.179245283018868E-2</v>
      </c>
      <c r="BB49" s="20">
        <v>0.1055424528301887</v>
      </c>
      <c r="BC49" s="15">
        <v>4052</v>
      </c>
      <c r="BD49" s="3">
        <v>3973</v>
      </c>
      <c r="BE49" s="3">
        <v>79</v>
      </c>
      <c r="BF49" s="3">
        <v>73</v>
      </c>
      <c r="BG49" s="3">
        <v>6</v>
      </c>
      <c r="BH49" s="19">
        <v>0.92405063291139244</v>
      </c>
      <c r="BI49" s="20">
        <v>7.5949367088607597E-2</v>
      </c>
      <c r="BJ49" s="38">
        <v>3208</v>
      </c>
      <c r="BK49" s="19">
        <v>0.5960099750623441</v>
      </c>
      <c r="BL49" s="19">
        <v>0.20511221945137156</v>
      </c>
      <c r="BM49" s="20">
        <v>0.19887780548628428</v>
      </c>
      <c r="BN49" s="38">
        <v>8149</v>
      </c>
      <c r="BO49" s="39">
        <v>555</v>
      </c>
      <c r="BP49" s="39">
        <v>572</v>
      </c>
      <c r="BQ49" s="39">
        <v>212</v>
      </c>
      <c r="BR49" s="39">
        <v>5787</v>
      </c>
      <c r="BS49" s="39">
        <v>3366</v>
      </c>
      <c r="BT49" s="20">
        <v>0.11913250148544266</v>
      </c>
      <c r="BU49" s="38">
        <v>1740</v>
      </c>
      <c r="BV49" s="39">
        <v>4</v>
      </c>
      <c r="BW49" s="39">
        <v>585</v>
      </c>
      <c r="BX49" s="39">
        <v>790</v>
      </c>
      <c r="BY49" s="39">
        <v>259</v>
      </c>
      <c r="BZ49" s="40">
        <v>3378</v>
      </c>
      <c r="CA49" s="39">
        <v>1346</v>
      </c>
      <c r="CB49" s="39">
        <v>1065</v>
      </c>
      <c r="CC49" s="39">
        <v>279</v>
      </c>
      <c r="CD49" s="39">
        <v>281</v>
      </c>
      <c r="CE49" s="19">
        <v>0.2072808320950966</v>
      </c>
      <c r="CF49" s="104">
        <v>0.20876671619613671</v>
      </c>
      <c r="CG49" s="39">
        <v>270</v>
      </c>
      <c r="CH49" s="39">
        <v>220</v>
      </c>
      <c r="CI49" s="39">
        <v>220</v>
      </c>
      <c r="CJ49" s="39">
        <v>195</v>
      </c>
      <c r="CK49" s="44">
        <v>210</v>
      </c>
      <c r="CL49" s="38">
        <v>789</v>
      </c>
      <c r="CM49" s="39">
        <v>307</v>
      </c>
      <c r="CN49" s="19">
        <v>0.38910012674271227</v>
      </c>
      <c r="CO49" s="40">
        <v>64</v>
      </c>
      <c r="CP49" s="122">
        <v>257</v>
      </c>
      <c r="CQ49" s="122">
        <v>294</v>
      </c>
      <c r="CR49" s="122">
        <v>274</v>
      </c>
      <c r="CS49" s="122">
        <v>316</v>
      </c>
      <c r="CT49" s="122">
        <v>317</v>
      </c>
      <c r="CU49" s="120" t="s">
        <v>474</v>
      </c>
      <c r="CV49" s="39">
        <v>17</v>
      </c>
      <c r="CW49" s="39">
        <v>13</v>
      </c>
      <c r="CX49" s="39">
        <v>12</v>
      </c>
      <c r="CY49" s="39">
        <v>11</v>
      </c>
      <c r="CZ49" s="39">
        <v>13</v>
      </c>
      <c r="DA49" s="135" t="s">
        <v>474</v>
      </c>
      <c r="DB49" s="15">
        <v>24</v>
      </c>
      <c r="DC49" s="15">
        <v>21</v>
      </c>
      <c r="DD49" s="19">
        <v>6.6246056782334389E-2</v>
      </c>
      <c r="DE49" s="19">
        <v>4.373390669612897E-2</v>
      </c>
      <c r="DF49" s="20">
        <v>9.9144943777846523E-2</v>
      </c>
      <c r="DG49" s="15">
        <v>48</v>
      </c>
      <c r="DH49" s="20">
        <v>2.8301886792452831E-2</v>
      </c>
      <c r="DI49" s="470" t="s">
        <v>287</v>
      </c>
      <c r="DJ49" s="471" t="s">
        <v>287</v>
      </c>
      <c r="DK49" s="3">
        <v>645</v>
      </c>
      <c r="DL49" s="20">
        <v>5.3580328958298722E-2</v>
      </c>
      <c r="DM49" s="15">
        <v>380</v>
      </c>
      <c r="DN49" s="3">
        <v>375</v>
      </c>
      <c r="DO49" s="3">
        <v>370</v>
      </c>
      <c r="DP49" s="3">
        <v>340</v>
      </c>
      <c r="DQ49" s="11">
        <v>295</v>
      </c>
      <c r="DR49" s="15">
        <v>320</v>
      </c>
      <c r="DS49" s="19">
        <v>0.20578778135048231</v>
      </c>
      <c r="DT49" s="19">
        <v>0.18643074241511742</v>
      </c>
      <c r="DU49" s="19">
        <v>0.2265948768212209</v>
      </c>
      <c r="DV49" s="3">
        <v>350</v>
      </c>
      <c r="DW49" s="19">
        <v>0.22364217252396165</v>
      </c>
      <c r="DX49" s="19">
        <v>0.20368881790318874</v>
      </c>
      <c r="DY49" s="19">
        <v>0.24494890445135387</v>
      </c>
      <c r="DZ49" s="3">
        <v>350</v>
      </c>
      <c r="EA49" s="19">
        <v>0.21806853582554517</v>
      </c>
      <c r="EB49" s="19">
        <v>0.19855275198917474</v>
      </c>
      <c r="EC49" s="19">
        <v>0.2389306650136547</v>
      </c>
      <c r="ED49" s="3">
        <v>340</v>
      </c>
      <c r="EE49" s="19">
        <v>0.20606060606060606</v>
      </c>
      <c r="EF49" s="19">
        <v>0.18723778895097926</v>
      </c>
      <c r="EG49" s="19">
        <v>0.22624891811725537</v>
      </c>
      <c r="EH49" s="3">
        <v>345</v>
      </c>
      <c r="EI49" s="20">
        <v>0.2</v>
      </c>
      <c r="EJ49" s="20">
        <v>0.18179964380999059</v>
      </c>
      <c r="EK49" s="20">
        <v>0.21953354685399823</v>
      </c>
      <c r="EL49" s="438">
        <v>310</v>
      </c>
      <c r="EM49" s="20">
        <v>0.17867435158501441</v>
      </c>
      <c r="EN49" s="20">
        <v>0.16136466706929228</v>
      </c>
      <c r="EO49" s="104">
        <v>0.19740378514129159</v>
      </c>
      <c r="EP49" s="38">
        <v>935</v>
      </c>
      <c r="EQ49" s="20">
        <v>0.18551587301587302</v>
      </c>
      <c r="ER49" s="44">
        <v>975</v>
      </c>
      <c r="ES49" s="20">
        <v>0.19306930693069307</v>
      </c>
      <c r="ET49" s="44">
        <v>905</v>
      </c>
      <c r="EU49" s="20">
        <v>0.1802788844621514</v>
      </c>
      <c r="EV49" s="44">
        <v>895</v>
      </c>
      <c r="EW49" s="20">
        <v>0.1781094527363184</v>
      </c>
      <c r="EX49" s="44">
        <v>930</v>
      </c>
      <c r="EY49" s="20">
        <v>0.18058252427184465</v>
      </c>
      <c r="EZ49" s="44">
        <v>865</v>
      </c>
      <c r="FA49" s="104">
        <v>0.16367076631977295</v>
      </c>
      <c r="FB49" s="3">
        <v>319</v>
      </c>
      <c r="FC49" s="3">
        <v>20</v>
      </c>
      <c r="FD49" s="3">
        <v>299</v>
      </c>
      <c r="FE49" s="19">
        <v>0.93730407523510972</v>
      </c>
      <c r="FF49" s="3">
        <v>124</v>
      </c>
      <c r="FG49" s="3">
        <v>166</v>
      </c>
      <c r="FH49" s="19">
        <v>0.41471571906354515</v>
      </c>
      <c r="FI49" s="19">
        <v>0.55518394648829428</v>
      </c>
      <c r="FJ49" s="19">
        <v>0.36029897736062799</v>
      </c>
      <c r="FK49" s="19">
        <v>0.47129607505194154</v>
      </c>
      <c r="FL49" s="19">
        <v>0.49851037608616161</v>
      </c>
      <c r="FM49" s="104">
        <v>0.61045753117629342</v>
      </c>
      <c r="FN49" s="438">
        <v>256</v>
      </c>
      <c r="FO49" s="438">
        <v>103</v>
      </c>
      <c r="FP49" s="438">
        <v>48</v>
      </c>
      <c r="FQ49" s="438">
        <v>151</v>
      </c>
      <c r="FR49" s="497">
        <v>0.40234375</v>
      </c>
      <c r="FS49" s="497">
        <v>0.58984375</v>
      </c>
      <c r="FT49" s="497">
        <v>0.34414640417856113</v>
      </c>
      <c r="FU49" s="497">
        <v>0.46342856777961688</v>
      </c>
      <c r="FV49" s="497">
        <v>0.52869582953128547</v>
      </c>
      <c r="FW49" s="104">
        <v>0.64833519626719083</v>
      </c>
      <c r="FX49" s="438">
        <v>391</v>
      </c>
      <c r="FY49" s="438">
        <v>52</v>
      </c>
      <c r="FZ49" s="438">
        <v>339</v>
      </c>
      <c r="GA49" s="497">
        <v>0.86700767263427114</v>
      </c>
      <c r="GB49" s="438">
        <v>142</v>
      </c>
      <c r="GC49" s="438">
        <v>59</v>
      </c>
      <c r="GD49" s="438">
        <v>201</v>
      </c>
      <c r="GE49" s="497">
        <v>0.41887905604719766</v>
      </c>
      <c r="GF49" s="497">
        <v>0.59292035398230092</v>
      </c>
      <c r="GG49" s="497">
        <v>0.3675550205996635</v>
      </c>
      <c r="GH49" s="497">
        <v>0.47202097412049382</v>
      </c>
      <c r="GI49" s="497">
        <v>0.53986447680183047</v>
      </c>
      <c r="GJ49" s="104">
        <v>0.64389392924598932</v>
      </c>
      <c r="GK49" s="3">
        <v>213</v>
      </c>
      <c r="GL49" s="3">
        <v>10</v>
      </c>
      <c r="GM49" s="19">
        <v>4.6948356807511735E-2</v>
      </c>
      <c r="GN49" s="19">
        <v>2.5698400422747351E-2</v>
      </c>
      <c r="GO49" s="19">
        <v>8.425040249694056E-2</v>
      </c>
      <c r="GP49" s="353" t="s">
        <v>726</v>
      </c>
      <c r="GQ49" s="3">
        <v>276</v>
      </c>
      <c r="GR49" s="3">
        <v>15</v>
      </c>
      <c r="GS49" s="19">
        <v>5.434782608695652E-2</v>
      </c>
      <c r="GT49" s="19">
        <v>3.3208743744781791E-2</v>
      </c>
      <c r="GU49" s="19">
        <v>8.7722082456984568E-2</v>
      </c>
      <c r="GV49" s="3" t="s">
        <v>726</v>
      </c>
      <c r="GW49" s="3">
        <v>224</v>
      </c>
      <c r="GX49" s="3">
        <v>22</v>
      </c>
      <c r="GY49" s="19">
        <v>9.8214285714285712E-2</v>
      </c>
      <c r="GZ49" s="19">
        <v>6.5756221573603557E-2</v>
      </c>
      <c r="HA49" s="19">
        <v>0.14422074692160006</v>
      </c>
      <c r="HB49" s="3" t="s">
        <v>725</v>
      </c>
      <c r="HC49" s="3">
        <v>279</v>
      </c>
      <c r="HD49" s="3">
        <v>28</v>
      </c>
      <c r="HE49" s="19">
        <v>0.1003584229390681</v>
      </c>
      <c r="HF49" s="19">
        <v>7.0350311392395601E-2</v>
      </c>
      <c r="HG49" s="19">
        <v>0.14122213300879916</v>
      </c>
      <c r="HH49" s="3" t="s">
        <v>725</v>
      </c>
      <c r="HI49" s="3">
        <v>198</v>
      </c>
      <c r="HJ49" s="3">
        <v>21</v>
      </c>
      <c r="HK49" s="19">
        <v>0.10606060606060606</v>
      </c>
      <c r="HL49" s="19">
        <v>7.0422539851911908E-2</v>
      </c>
      <c r="HM49" s="19">
        <v>0.15669362889029573</v>
      </c>
      <c r="HN49" s="11" t="s">
        <v>725</v>
      </c>
      <c r="HO49" s="11">
        <v>294</v>
      </c>
      <c r="HP49" s="11">
        <v>12</v>
      </c>
      <c r="HQ49" s="497">
        <v>4.0816326530612242E-2</v>
      </c>
      <c r="HR49" s="497">
        <v>2.3500330981513766E-2</v>
      </c>
      <c r="HS49" s="497">
        <v>6.9977114807707866E-2</v>
      </c>
      <c r="HT49" s="8" t="str">
        <f t="shared" si="0"/>
        <v>Sig better than Eng.</v>
      </c>
      <c r="HU49" s="3">
        <v>238</v>
      </c>
      <c r="HV49" s="3">
        <v>44</v>
      </c>
      <c r="HW49" s="19">
        <v>0.18487394957983194</v>
      </c>
      <c r="HX49" s="19">
        <v>0.14069884589089099</v>
      </c>
      <c r="HY49" s="19">
        <v>0.23906010556658902</v>
      </c>
      <c r="HZ49" s="3" t="s">
        <v>725</v>
      </c>
      <c r="IA49" s="3">
        <v>214</v>
      </c>
      <c r="IB49" s="3">
        <v>46</v>
      </c>
      <c r="IC49" s="19">
        <v>0.21495327102803738</v>
      </c>
      <c r="ID49" s="19">
        <v>0.16519838423066768</v>
      </c>
      <c r="IE49" s="19">
        <v>0.2747612971795706</v>
      </c>
      <c r="IF49" s="3" t="s">
        <v>725</v>
      </c>
      <c r="IG49" s="3">
        <v>218</v>
      </c>
      <c r="IH49" s="3">
        <v>36</v>
      </c>
      <c r="II49" s="19">
        <v>0.16513761467889909</v>
      </c>
      <c r="IJ49" s="19">
        <v>0.12173288009530026</v>
      </c>
      <c r="IK49" s="19">
        <v>0.22013946073704996</v>
      </c>
      <c r="IL49" s="3" t="s">
        <v>725</v>
      </c>
      <c r="IM49" s="3">
        <v>215</v>
      </c>
      <c r="IN49" s="3">
        <v>46</v>
      </c>
      <c r="IO49" s="19">
        <v>0.21395348837209302</v>
      </c>
      <c r="IP49" s="19">
        <v>0.16440969363966532</v>
      </c>
      <c r="IQ49" s="19">
        <v>0.27353958405739576</v>
      </c>
      <c r="IR49" s="3" t="s">
        <v>725</v>
      </c>
      <c r="IS49" s="3">
        <v>228</v>
      </c>
      <c r="IT49" s="3">
        <v>31</v>
      </c>
      <c r="IU49" s="19">
        <v>0.13596491228070176</v>
      </c>
      <c r="IV49" s="19">
        <v>9.7466711078696797E-2</v>
      </c>
      <c r="IW49" s="19">
        <v>0.18652675219404694</v>
      </c>
      <c r="IX49" s="11" t="s">
        <v>726</v>
      </c>
      <c r="IY49" s="11">
        <v>233</v>
      </c>
      <c r="IZ49" s="11">
        <v>45</v>
      </c>
      <c r="JA49" s="497">
        <v>0.19313304721030042</v>
      </c>
      <c r="JB49" s="497">
        <v>0.14758992748754876</v>
      </c>
      <c r="JC49" s="497">
        <v>0.24863064676477759</v>
      </c>
      <c r="JD49" s="8" t="str">
        <f t="shared" si="1"/>
        <v>Sig better than Eng.</v>
      </c>
      <c r="JE49" s="3">
        <v>314</v>
      </c>
      <c r="JF49" s="3">
        <v>156</v>
      </c>
      <c r="JG49" s="19">
        <v>0.49681528662420382</v>
      </c>
      <c r="JH49" s="19">
        <v>0.44188651347485403</v>
      </c>
      <c r="JI49" s="19">
        <v>0.55182104120532927</v>
      </c>
      <c r="JJ49" s="3">
        <v>314</v>
      </c>
      <c r="JK49" s="3">
        <v>34</v>
      </c>
      <c r="JL49" s="3">
        <v>62</v>
      </c>
      <c r="JM49" s="383">
        <v>22.870967741935495</v>
      </c>
      <c r="JN49" s="19">
        <v>0.32732447817836779</v>
      </c>
      <c r="JO49" s="3">
        <v>294</v>
      </c>
      <c r="JP49" s="3">
        <v>174</v>
      </c>
      <c r="JQ49" s="19">
        <v>0.59183673469387754</v>
      </c>
      <c r="JR49" s="19">
        <v>0.53482179706187938</v>
      </c>
      <c r="JS49" s="19">
        <v>0.64648271378027622</v>
      </c>
      <c r="JT49" s="3">
        <v>294</v>
      </c>
      <c r="JU49" s="3">
        <v>34</v>
      </c>
      <c r="JV49" s="3">
        <v>58</v>
      </c>
      <c r="JW49" s="383">
        <v>25.379310344827587</v>
      </c>
      <c r="JX49" s="20">
        <v>0.25354969574036507</v>
      </c>
      <c r="JY49" s="44">
        <v>333</v>
      </c>
      <c r="JZ49" s="44">
        <v>228</v>
      </c>
      <c r="KA49" s="20">
        <v>0.68468468468468469</v>
      </c>
      <c r="KB49" s="20">
        <v>0.63291420545379795</v>
      </c>
      <c r="KC49" s="20">
        <v>0.73224274532842382</v>
      </c>
      <c r="KD49" s="438">
        <v>34</v>
      </c>
      <c r="KE49" s="438">
        <v>66</v>
      </c>
      <c r="KF49" s="384">
        <v>24.6</v>
      </c>
      <c r="KG49" s="104">
        <v>0.27500000000000002</v>
      </c>
      <c r="KH49" s="19"/>
      <c r="KI49" s="19"/>
      <c r="KJ49" s="19"/>
      <c r="KK49" s="19"/>
      <c r="KL49" s="19"/>
      <c r="KM49" s="19"/>
      <c r="KN49" s="19"/>
      <c r="KO49" s="19"/>
      <c r="KP49" s="19"/>
      <c r="KQ49" s="19"/>
      <c r="KR49" s="19"/>
      <c r="KS49" s="19"/>
      <c r="KT49" s="19"/>
      <c r="KU49" s="19"/>
      <c r="KV49" s="19"/>
      <c r="KW49" s="104"/>
      <c r="KX49" s="438">
        <v>12</v>
      </c>
      <c r="KY49" s="438">
        <v>81</v>
      </c>
      <c r="KZ49" s="497">
        <v>0.14814814814814814</v>
      </c>
      <c r="LA49" s="497">
        <v>8.6827082099597538E-2</v>
      </c>
      <c r="LB49" s="497">
        <v>0.241331570612102</v>
      </c>
      <c r="LC49" s="438">
        <v>8</v>
      </c>
      <c r="LD49" s="438">
        <v>81</v>
      </c>
      <c r="LE49" s="497">
        <v>9.8765432098765427E-2</v>
      </c>
      <c r="LF49" s="497">
        <v>5.0900116268798354E-2</v>
      </c>
      <c r="LG49" s="497">
        <v>0.18296501401647305</v>
      </c>
      <c r="LH49" s="438">
        <v>10</v>
      </c>
      <c r="LI49" s="438">
        <v>81</v>
      </c>
      <c r="LJ49" s="497">
        <v>0.12345679012345678</v>
      </c>
      <c r="LK49" s="497">
        <v>6.8461159118717613E-2</v>
      </c>
      <c r="LL49" s="497">
        <v>0.21255073237976788</v>
      </c>
      <c r="LM49" s="438">
        <v>17</v>
      </c>
      <c r="LN49" s="438">
        <v>80</v>
      </c>
      <c r="LO49" s="497">
        <v>0.21249999999999999</v>
      </c>
      <c r="LP49" s="497">
        <v>0.13712386717696148</v>
      </c>
      <c r="LQ49" s="104">
        <v>0.31422155730596651</v>
      </c>
      <c r="LR49" s="3">
        <v>93</v>
      </c>
      <c r="LS49" s="3">
        <v>85</v>
      </c>
      <c r="LT49" s="3">
        <v>86</v>
      </c>
      <c r="LU49" s="3">
        <v>88</v>
      </c>
      <c r="LV49" s="3">
        <v>86</v>
      </c>
      <c r="LW49" s="3">
        <v>66</v>
      </c>
      <c r="LX49" s="3">
        <v>64</v>
      </c>
      <c r="LY49" s="3">
        <v>65</v>
      </c>
      <c r="LZ49" s="3">
        <v>62</v>
      </c>
      <c r="MA49" s="3">
        <v>65</v>
      </c>
      <c r="MB49" s="3">
        <v>65</v>
      </c>
      <c r="MC49" s="3">
        <v>62</v>
      </c>
      <c r="MD49" s="3">
        <v>65</v>
      </c>
      <c r="ME49" s="3">
        <v>71</v>
      </c>
      <c r="MF49" s="3">
        <v>67</v>
      </c>
      <c r="MG49" s="3">
        <v>67</v>
      </c>
      <c r="MH49" s="3">
        <v>64</v>
      </c>
      <c r="MI49" s="3">
        <v>67</v>
      </c>
      <c r="MJ49" s="3">
        <v>68</v>
      </c>
      <c r="MK49" s="3">
        <v>63</v>
      </c>
      <c r="ML49" s="3">
        <v>66</v>
      </c>
      <c r="MM49" s="3">
        <v>63</v>
      </c>
      <c r="MN49" s="8">
        <v>68</v>
      </c>
      <c r="MO49" s="3">
        <v>397</v>
      </c>
      <c r="MP49" s="24">
        <v>0.95499999999999996</v>
      </c>
      <c r="MQ49" s="24">
        <v>8.0000000000000002E-3</v>
      </c>
      <c r="MR49" s="24">
        <v>0.94199999999999995</v>
      </c>
      <c r="MS49" s="3">
        <v>379</v>
      </c>
      <c r="MT49" s="3">
        <v>3</v>
      </c>
      <c r="MU49" s="3">
        <v>374</v>
      </c>
      <c r="MV49" s="3">
        <v>439</v>
      </c>
      <c r="MW49" s="24">
        <v>0.95899999999999996</v>
      </c>
      <c r="MX49" s="24">
        <v>0.91600000000000004</v>
      </c>
      <c r="MY49" s="24">
        <v>0.95</v>
      </c>
      <c r="MZ49" s="24">
        <v>0.92700000000000005</v>
      </c>
      <c r="NA49" s="24">
        <v>0.92500000000000004</v>
      </c>
      <c r="NB49" s="3">
        <v>421</v>
      </c>
      <c r="NC49" s="3">
        <v>402</v>
      </c>
      <c r="ND49" s="3">
        <v>417</v>
      </c>
      <c r="NE49" s="3">
        <v>407</v>
      </c>
      <c r="NF49" s="3">
        <v>406</v>
      </c>
      <c r="NG49" s="3">
        <v>416</v>
      </c>
      <c r="NH49" s="24">
        <v>0.97099999999999997</v>
      </c>
      <c r="NI49" s="24">
        <v>0.93</v>
      </c>
      <c r="NJ49" s="24">
        <v>0.97099999999999997</v>
      </c>
      <c r="NK49" s="24">
        <v>0.97099999999999997</v>
      </c>
      <c r="NL49" s="24">
        <v>0.97399999999999998</v>
      </c>
      <c r="NM49" s="24">
        <v>0.91300000000000003</v>
      </c>
      <c r="NN49" s="24">
        <v>0.95699999999999996</v>
      </c>
      <c r="NO49" s="24">
        <v>0.95</v>
      </c>
      <c r="NP49" s="24">
        <v>0.97399999999999998</v>
      </c>
      <c r="NQ49" s="24">
        <v>0.93799999999999994</v>
      </c>
      <c r="NR49" s="3">
        <v>404</v>
      </c>
      <c r="NS49" s="3">
        <v>387</v>
      </c>
      <c r="NT49" s="3">
        <v>404</v>
      </c>
      <c r="NU49" s="3">
        <v>404</v>
      </c>
      <c r="NV49" s="3">
        <v>405</v>
      </c>
      <c r="NW49" s="3">
        <v>380</v>
      </c>
      <c r="NX49" s="3">
        <v>398</v>
      </c>
      <c r="NY49" s="3">
        <v>395</v>
      </c>
      <c r="NZ49" s="3">
        <v>405</v>
      </c>
      <c r="OA49" s="8">
        <v>390</v>
      </c>
    </row>
    <row r="50" spans="1:391" s="3" customFormat="1" ht="12.75" x14ac:dyDescent="0.2">
      <c r="A50" s="11" t="s">
        <v>115</v>
      </c>
      <c r="B50" s="8">
        <v>2</v>
      </c>
      <c r="C50" s="11" t="s">
        <v>287</v>
      </c>
      <c r="D50" s="11" t="s">
        <v>287</v>
      </c>
      <c r="E50" s="11" t="s">
        <v>287</v>
      </c>
      <c r="F50" s="11" t="s">
        <v>287</v>
      </c>
      <c r="G50" s="11" t="s">
        <v>287</v>
      </c>
      <c r="H50" s="11" t="s">
        <v>74</v>
      </c>
      <c r="I50" s="11" t="s">
        <v>399</v>
      </c>
      <c r="J50" s="11" t="s">
        <v>269</v>
      </c>
      <c r="K50" s="11" t="s">
        <v>287</v>
      </c>
      <c r="L50" s="11" t="s">
        <v>287</v>
      </c>
      <c r="M50" s="11" t="s">
        <v>287</v>
      </c>
      <c r="N50" s="11" t="s">
        <v>401</v>
      </c>
      <c r="O50" s="128" t="s">
        <v>287</v>
      </c>
      <c r="P50" s="128" t="s">
        <v>287</v>
      </c>
      <c r="Q50" s="128" t="s">
        <v>287</v>
      </c>
      <c r="R50" s="128" t="s">
        <v>287</v>
      </c>
      <c r="S50" s="128" t="s">
        <v>287</v>
      </c>
      <c r="T50" s="38">
        <v>29685</v>
      </c>
      <c r="U50" s="39">
        <v>29960</v>
      </c>
      <c r="V50" s="39">
        <v>30165</v>
      </c>
      <c r="W50" s="39">
        <v>30300</v>
      </c>
      <c r="X50" s="39">
        <v>30380</v>
      </c>
      <c r="Y50" s="39">
        <v>30535</v>
      </c>
      <c r="Z50" s="39">
        <v>30635</v>
      </c>
      <c r="AA50" s="39">
        <v>30915</v>
      </c>
      <c r="AB50" s="39">
        <v>31085</v>
      </c>
      <c r="AC50" s="44">
        <v>31470</v>
      </c>
      <c r="AD50" s="38">
        <v>1435</v>
      </c>
      <c r="AE50" s="39">
        <v>1470</v>
      </c>
      <c r="AF50" s="39">
        <v>1535</v>
      </c>
      <c r="AG50" s="39">
        <v>1520</v>
      </c>
      <c r="AH50" s="39">
        <v>1640</v>
      </c>
      <c r="AI50" s="39">
        <v>1725</v>
      </c>
      <c r="AJ50" s="39">
        <v>1755</v>
      </c>
      <c r="AK50" s="39">
        <v>1805</v>
      </c>
      <c r="AL50" s="39">
        <v>1840</v>
      </c>
      <c r="AM50" s="44">
        <v>1924</v>
      </c>
      <c r="AN50" s="15">
        <v>1725</v>
      </c>
      <c r="AO50" s="3">
        <v>1543</v>
      </c>
      <c r="AP50" s="3">
        <v>60</v>
      </c>
      <c r="AQ50" s="3">
        <v>74</v>
      </c>
      <c r="AR50" s="3">
        <v>31</v>
      </c>
      <c r="AS50" s="3">
        <v>7</v>
      </c>
      <c r="AT50" s="3">
        <v>10</v>
      </c>
      <c r="AU50" s="11">
        <v>182</v>
      </c>
      <c r="AV50" s="18">
        <v>0.89449275362318836</v>
      </c>
      <c r="AW50" s="19">
        <v>3.4782608695652174E-2</v>
      </c>
      <c r="AX50" s="19">
        <v>4.2898550724637684E-2</v>
      </c>
      <c r="AY50" s="19">
        <v>1.7971014492753623E-2</v>
      </c>
      <c r="AZ50" s="19">
        <v>4.0579710144927538E-3</v>
      </c>
      <c r="BA50" s="19">
        <v>5.7971014492753624E-3</v>
      </c>
      <c r="BB50" s="20">
        <v>0.10550724637681164</v>
      </c>
      <c r="BC50" s="15">
        <v>4003</v>
      </c>
      <c r="BD50" s="3">
        <v>3955</v>
      </c>
      <c r="BE50" s="3">
        <v>48</v>
      </c>
      <c r="BF50" s="3">
        <v>39</v>
      </c>
      <c r="BG50" s="3">
        <v>9</v>
      </c>
      <c r="BH50" s="19">
        <v>0.8125</v>
      </c>
      <c r="BI50" s="20">
        <v>0.1875</v>
      </c>
      <c r="BJ50" s="38">
        <v>3211</v>
      </c>
      <c r="BK50" s="19">
        <v>0.62099034568670197</v>
      </c>
      <c r="BL50" s="19">
        <v>0.16256617876051074</v>
      </c>
      <c r="BM50" s="20">
        <v>0.21644347555278728</v>
      </c>
      <c r="BN50" s="38">
        <v>9097</v>
      </c>
      <c r="BO50" s="39">
        <v>589</v>
      </c>
      <c r="BP50" s="39">
        <v>517</v>
      </c>
      <c r="BQ50" s="39">
        <v>247</v>
      </c>
      <c r="BR50" s="39">
        <v>5743</v>
      </c>
      <c r="BS50" s="39">
        <v>3320</v>
      </c>
      <c r="BT50" s="20">
        <v>0.13042168674698795</v>
      </c>
      <c r="BU50" s="38">
        <v>1712</v>
      </c>
      <c r="BV50" s="39">
        <v>2</v>
      </c>
      <c r="BW50" s="39">
        <v>565</v>
      </c>
      <c r="BX50" s="39">
        <v>802</v>
      </c>
      <c r="BY50" s="39">
        <v>267</v>
      </c>
      <c r="BZ50" s="40">
        <v>3348</v>
      </c>
      <c r="CA50" s="39">
        <v>1366</v>
      </c>
      <c r="CB50" s="39">
        <v>1098</v>
      </c>
      <c r="CC50" s="39">
        <v>260</v>
      </c>
      <c r="CD50" s="39">
        <v>268</v>
      </c>
      <c r="CE50" s="19">
        <v>0.19033674963396779</v>
      </c>
      <c r="CF50" s="104">
        <v>0.19619326500732065</v>
      </c>
      <c r="CG50" s="39">
        <v>270</v>
      </c>
      <c r="CH50" s="39">
        <v>275</v>
      </c>
      <c r="CI50" s="39">
        <v>250</v>
      </c>
      <c r="CJ50" s="39">
        <v>200</v>
      </c>
      <c r="CK50" s="44">
        <v>205</v>
      </c>
      <c r="CL50" s="38">
        <v>802</v>
      </c>
      <c r="CM50" s="39">
        <v>325</v>
      </c>
      <c r="CN50" s="19">
        <v>0.40523690773067333</v>
      </c>
      <c r="CO50" s="40">
        <v>92</v>
      </c>
      <c r="CP50" s="122">
        <v>351</v>
      </c>
      <c r="CQ50" s="122">
        <v>348</v>
      </c>
      <c r="CR50" s="122">
        <v>344</v>
      </c>
      <c r="CS50" s="122">
        <v>377</v>
      </c>
      <c r="CT50" s="122">
        <v>371</v>
      </c>
      <c r="CU50" s="120" t="s">
        <v>474</v>
      </c>
      <c r="CV50" s="39">
        <v>23</v>
      </c>
      <c r="CW50" s="39">
        <v>28</v>
      </c>
      <c r="CX50" s="39">
        <v>14</v>
      </c>
      <c r="CY50" s="39">
        <v>21</v>
      </c>
      <c r="CZ50" s="39">
        <v>11</v>
      </c>
      <c r="DA50" s="135" t="s">
        <v>474</v>
      </c>
      <c r="DB50" s="15">
        <v>27</v>
      </c>
      <c r="DC50" s="15">
        <v>22</v>
      </c>
      <c r="DD50" s="19">
        <v>5.9299191374663072E-2</v>
      </c>
      <c r="DE50" s="19">
        <v>3.9483053394127665E-2</v>
      </c>
      <c r="DF50" s="20">
        <v>8.8148129589767241E-2</v>
      </c>
      <c r="DG50" s="15">
        <v>31</v>
      </c>
      <c r="DH50" s="20">
        <v>1.7971014492753623E-2</v>
      </c>
      <c r="DI50" s="470" t="s">
        <v>287</v>
      </c>
      <c r="DJ50" s="471" t="s">
        <v>287</v>
      </c>
      <c r="DK50" s="3">
        <v>644</v>
      </c>
      <c r="DL50" s="20">
        <v>4.6592388945159893E-2</v>
      </c>
      <c r="DM50" s="15">
        <v>380</v>
      </c>
      <c r="DN50" s="3">
        <v>340</v>
      </c>
      <c r="DO50" s="3">
        <v>355</v>
      </c>
      <c r="DP50" s="3">
        <v>335</v>
      </c>
      <c r="DQ50" s="11">
        <v>295</v>
      </c>
      <c r="DR50" s="15">
        <v>320</v>
      </c>
      <c r="DS50" s="19">
        <v>0.20645161290322581</v>
      </c>
      <c r="DT50" s="19">
        <v>0.18703903485072806</v>
      </c>
      <c r="DU50" s="19">
        <v>0.22731563123556947</v>
      </c>
      <c r="DV50" s="3">
        <v>345</v>
      </c>
      <c r="DW50" s="19">
        <v>0.20909090909090908</v>
      </c>
      <c r="DX50" s="19">
        <v>0.19015605898113824</v>
      </c>
      <c r="DY50" s="19">
        <v>0.22937717688020737</v>
      </c>
      <c r="DZ50" s="3">
        <v>330</v>
      </c>
      <c r="EA50" s="19">
        <v>0.19298245614035087</v>
      </c>
      <c r="EB50" s="19">
        <v>0.17497423387895666</v>
      </c>
      <c r="EC50" s="19">
        <v>0.21236699620045099</v>
      </c>
      <c r="ED50" s="3">
        <v>335</v>
      </c>
      <c r="EE50" s="19">
        <v>0.19252873563218389</v>
      </c>
      <c r="EF50" s="19">
        <v>0.17468794766441104</v>
      </c>
      <c r="EG50" s="19">
        <v>0.21172416303078498</v>
      </c>
      <c r="EH50" s="3">
        <v>310</v>
      </c>
      <c r="EI50" s="20">
        <v>0.17222222222222222</v>
      </c>
      <c r="EJ50" s="20">
        <v>0.15548217966760686</v>
      </c>
      <c r="EK50" s="20">
        <v>0.19035833517927214</v>
      </c>
      <c r="EL50" s="438">
        <v>300</v>
      </c>
      <c r="EM50" s="20">
        <v>0.17094017094017094</v>
      </c>
      <c r="EN50" s="20">
        <v>0.15405079339494945</v>
      </c>
      <c r="EO50" s="104">
        <v>0.1892669375991623</v>
      </c>
      <c r="EP50" s="38">
        <v>880</v>
      </c>
      <c r="EQ50" s="20">
        <v>0.17959183673469387</v>
      </c>
      <c r="ER50" s="44">
        <v>985</v>
      </c>
      <c r="ES50" s="20">
        <v>0.19621513944223107</v>
      </c>
      <c r="ET50" s="44">
        <v>855</v>
      </c>
      <c r="EU50" s="20">
        <v>0.16830708661417323</v>
      </c>
      <c r="EV50" s="44">
        <v>870</v>
      </c>
      <c r="EW50" s="20">
        <v>0.17125984251968504</v>
      </c>
      <c r="EX50" s="44">
        <v>785</v>
      </c>
      <c r="EY50" s="20">
        <v>0.15287244401168451</v>
      </c>
      <c r="EZ50" s="44">
        <v>760</v>
      </c>
      <c r="FA50" s="104">
        <v>0.14785992217898833</v>
      </c>
      <c r="FB50" s="3">
        <v>379</v>
      </c>
      <c r="FC50" s="3">
        <v>26</v>
      </c>
      <c r="FD50" s="3">
        <v>353</v>
      </c>
      <c r="FE50" s="19">
        <v>0.93139841688654357</v>
      </c>
      <c r="FF50" s="3">
        <v>131</v>
      </c>
      <c r="FG50" s="3">
        <v>163</v>
      </c>
      <c r="FH50" s="19">
        <v>0.37110481586402266</v>
      </c>
      <c r="FI50" s="19">
        <v>0.46175637393767704</v>
      </c>
      <c r="FJ50" s="19">
        <v>0.32234894432887634</v>
      </c>
      <c r="FK50" s="19">
        <v>0.42263584443210189</v>
      </c>
      <c r="FL50" s="19">
        <v>0.41044073960374611</v>
      </c>
      <c r="FM50" s="104">
        <v>0.51389540651214849</v>
      </c>
      <c r="FN50" s="438">
        <v>265</v>
      </c>
      <c r="FO50" s="438">
        <v>84</v>
      </c>
      <c r="FP50" s="438">
        <v>34</v>
      </c>
      <c r="FQ50" s="438">
        <v>118</v>
      </c>
      <c r="FR50" s="497">
        <v>0.31698113207547168</v>
      </c>
      <c r="FS50" s="497">
        <v>0.44528301886792454</v>
      </c>
      <c r="FT50" s="497">
        <v>0.26391457050487149</v>
      </c>
      <c r="FU50" s="497">
        <v>0.37527798400103568</v>
      </c>
      <c r="FV50" s="497">
        <v>0.38665051340640849</v>
      </c>
      <c r="FW50" s="104">
        <v>0.50547921938401741</v>
      </c>
      <c r="FX50" s="438">
        <v>276</v>
      </c>
      <c r="FY50" s="438">
        <v>73</v>
      </c>
      <c r="FZ50" s="438">
        <v>203</v>
      </c>
      <c r="GA50" s="497">
        <v>0.73550724637681164</v>
      </c>
      <c r="GB50" s="438">
        <v>53</v>
      </c>
      <c r="GC50" s="438">
        <v>25</v>
      </c>
      <c r="GD50" s="438">
        <v>78</v>
      </c>
      <c r="GE50" s="497">
        <v>0.26108374384236455</v>
      </c>
      <c r="GF50" s="497">
        <v>0.38423645320197042</v>
      </c>
      <c r="GG50" s="497">
        <v>0.2054994020218113</v>
      </c>
      <c r="GH50" s="497">
        <v>0.3255423893432024</v>
      </c>
      <c r="GI50" s="497">
        <v>0.3200634580363898</v>
      </c>
      <c r="GJ50" s="104">
        <v>0.4527093687074828</v>
      </c>
      <c r="GK50" s="3">
        <v>264</v>
      </c>
      <c r="GL50" s="3">
        <v>17</v>
      </c>
      <c r="GM50" s="19">
        <v>6.4393939393939392E-2</v>
      </c>
      <c r="GN50" s="19">
        <v>4.0589617518918868E-2</v>
      </c>
      <c r="GO50" s="19">
        <v>0.10069343472889242</v>
      </c>
      <c r="GP50" s="353" t="s">
        <v>725</v>
      </c>
      <c r="GQ50" s="3">
        <v>287</v>
      </c>
      <c r="GR50" s="3">
        <v>27</v>
      </c>
      <c r="GS50" s="19">
        <v>9.4076655052264813E-2</v>
      </c>
      <c r="GT50" s="19">
        <v>6.5461356844761939E-2</v>
      </c>
      <c r="GU50" s="19">
        <v>0.13341489365690332</v>
      </c>
      <c r="GV50" s="3" t="s">
        <v>725</v>
      </c>
      <c r="GW50" s="3">
        <v>272</v>
      </c>
      <c r="GX50" s="3">
        <v>29</v>
      </c>
      <c r="GY50" s="19">
        <v>0.10661764705882353</v>
      </c>
      <c r="GZ50" s="19">
        <v>7.5265326856754355E-2</v>
      </c>
      <c r="HA50" s="19">
        <v>0.14892671115335882</v>
      </c>
      <c r="HB50" s="3" t="s">
        <v>725</v>
      </c>
      <c r="HC50" s="3">
        <v>315</v>
      </c>
      <c r="HD50" s="3">
        <v>22</v>
      </c>
      <c r="HE50" s="19">
        <v>6.9841269841269843E-2</v>
      </c>
      <c r="HF50" s="19">
        <v>4.6571287675486066E-2</v>
      </c>
      <c r="HG50" s="19">
        <v>0.10347651036698424</v>
      </c>
      <c r="HH50" s="3" t="s">
        <v>725</v>
      </c>
      <c r="HI50" s="3">
        <v>181</v>
      </c>
      <c r="HJ50" s="3">
        <v>19</v>
      </c>
      <c r="HK50" s="19">
        <v>0.10497237569060773</v>
      </c>
      <c r="HL50" s="19">
        <v>6.8237879338407095E-2</v>
      </c>
      <c r="HM50" s="19">
        <v>0.15812615764575522</v>
      </c>
      <c r="HN50" s="11" t="s">
        <v>725</v>
      </c>
      <c r="HO50" s="11">
        <v>334</v>
      </c>
      <c r="HP50" s="11">
        <v>33</v>
      </c>
      <c r="HQ50" s="497">
        <v>9.880239520958084E-2</v>
      </c>
      <c r="HR50" s="497">
        <v>7.121998422242147E-2</v>
      </c>
      <c r="HS50" s="497">
        <v>0.1355085181481587</v>
      </c>
      <c r="HT50" s="8" t="str">
        <f t="shared" si="0"/>
        <v>No Sig diff</v>
      </c>
      <c r="HU50" s="3">
        <v>244</v>
      </c>
      <c r="HV50" s="3">
        <v>45</v>
      </c>
      <c r="HW50" s="19">
        <v>0.18442622950819673</v>
      </c>
      <c r="HX50" s="19">
        <v>0.14078630607299766</v>
      </c>
      <c r="HY50" s="19">
        <v>0.23784872644827881</v>
      </c>
      <c r="HZ50" s="3" t="s">
        <v>725</v>
      </c>
      <c r="IA50" s="3">
        <v>254</v>
      </c>
      <c r="IB50" s="3">
        <v>33</v>
      </c>
      <c r="IC50" s="19">
        <v>0.12992125984251968</v>
      </c>
      <c r="ID50" s="19">
        <v>9.4027695335937009E-2</v>
      </c>
      <c r="IE50" s="19">
        <v>0.17684208309353841</v>
      </c>
      <c r="IF50" s="3" t="s">
        <v>726</v>
      </c>
      <c r="IG50" s="3">
        <v>222</v>
      </c>
      <c r="IH50" s="3">
        <v>39</v>
      </c>
      <c r="II50" s="19">
        <v>0.17567567567567569</v>
      </c>
      <c r="IJ50" s="19">
        <v>0.13125584687818342</v>
      </c>
      <c r="IK50" s="19">
        <v>0.23112871815277405</v>
      </c>
      <c r="IL50" s="3" t="s">
        <v>725</v>
      </c>
      <c r="IM50" s="3">
        <v>246</v>
      </c>
      <c r="IN50" s="3">
        <v>32</v>
      </c>
      <c r="IO50" s="19">
        <v>0.13008130081300814</v>
      </c>
      <c r="IP50" s="19">
        <v>9.3670872414040679E-2</v>
      </c>
      <c r="IQ50" s="19">
        <v>0.1778671627099957</v>
      </c>
      <c r="IR50" s="3" t="s">
        <v>726</v>
      </c>
      <c r="IS50" s="3">
        <v>254</v>
      </c>
      <c r="IT50" s="3">
        <v>42</v>
      </c>
      <c r="IU50" s="19">
        <v>0.16535433070866143</v>
      </c>
      <c r="IV50" s="19">
        <v>0.1247216685347977</v>
      </c>
      <c r="IW50" s="19">
        <v>0.21595845025781304</v>
      </c>
      <c r="IX50" s="11" t="s">
        <v>725</v>
      </c>
      <c r="IY50" s="11">
        <v>241</v>
      </c>
      <c r="IZ50" s="11">
        <v>36</v>
      </c>
      <c r="JA50" s="497">
        <v>0.14937759336099585</v>
      </c>
      <c r="JB50" s="497">
        <v>0.10989158431644629</v>
      </c>
      <c r="JC50" s="497">
        <v>0.19986583661215329</v>
      </c>
      <c r="JD50" s="8" t="str">
        <f t="shared" si="1"/>
        <v>Sig better than Eng.</v>
      </c>
      <c r="JE50" s="3">
        <v>347</v>
      </c>
      <c r="JF50" s="3">
        <v>171</v>
      </c>
      <c r="JG50" s="19">
        <v>0.49279538904899134</v>
      </c>
      <c r="JH50" s="19">
        <v>0.4405602602109211</v>
      </c>
      <c r="JI50" s="19">
        <v>0.54518828838762023</v>
      </c>
      <c r="JJ50" s="3">
        <v>347</v>
      </c>
      <c r="JK50" s="3">
        <v>34</v>
      </c>
      <c r="JL50" s="3">
        <v>69</v>
      </c>
      <c r="JM50" s="383">
        <v>21.420289855072468</v>
      </c>
      <c r="JN50" s="19">
        <v>0.36999147485080974</v>
      </c>
      <c r="JO50" s="3">
        <v>335</v>
      </c>
      <c r="JP50" s="3">
        <v>184</v>
      </c>
      <c r="JQ50" s="19">
        <v>0.54925373134328359</v>
      </c>
      <c r="JR50" s="19">
        <v>0.49571356302278635</v>
      </c>
      <c r="JS50" s="19">
        <v>0.60167711672122548</v>
      </c>
      <c r="JT50" s="3">
        <v>335</v>
      </c>
      <c r="JU50" s="3">
        <v>34</v>
      </c>
      <c r="JV50" s="3">
        <v>66</v>
      </c>
      <c r="JW50" s="383">
        <v>21.621212121212125</v>
      </c>
      <c r="JX50" s="20">
        <v>0.36408199643493749</v>
      </c>
      <c r="JY50" s="44">
        <v>366</v>
      </c>
      <c r="JZ50" s="44">
        <v>245</v>
      </c>
      <c r="KA50" s="20">
        <v>0.6693989071038251</v>
      </c>
      <c r="KB50" s="20">
        <v>0.61966304980983655</v>
      </c>
      <c r="KC50" s="20">
        <v>0.71561574882835899</v>
      </c>
      <c r="KD50" s="438">
        <v>34</v>
      </c>
      <c r="KE50" s="438">
        <v>73</v>
      </c>
      <c r="KF50" s="384">
        <v>24.3</v>
      </c>
      <c r="KG50" s="104">
        <v>0.28599999999999998</v>
      </c>
      <c r="KH50" s="19"/>
      <c r="KI50" s="19"/>
      <c r="KJ50" s="19"/>
      <c r="KK50" s="19"/>
      <c r="KL50" s="19"/>
      <c r="KM50" s="19"/>
      <c r="KN50" s="19"/>
      <c r="KO50" s="19"/>
      <c r="KP50" s="19"/>
      <c r="KQ50" s="19"/>
      <c r="KR50" s="19"/>
      <c r="KS50" s="19"/>
      <c r="KT50" s="19"/>
      <c r="KU50" s="19"/>
      <c r="KV50" s="19"/>
      <c r="KW50" s="104"/>
      <c r="KX50" s="438">
        <v>13</v>
      </c>
      <c r="KY50" s="438">
        <v>79</v>
      </c>
      <c r="KZ50" s="497">
        <v>0.16455696202531644</v>
      </c>
      <c r="LA50" s="497">
        <v>9.8767072002203596E-2</v>
      </c>
      <c r="LB50" s="497">
        <v>0.26145665227194698</v>
      </c>
      <c r="LC50" s="438">
        <v>8</v>
      </c>
      <c r="LD50" s="438">
        <v>80</v>
      </c>
      <c r="LE50" s="497">
        <v>0.1</v>
      </c>
      <c r="LF50" s="497">
        <v>5.1547615567380821E-2</v>
      </c>
      <c r="LG50" s="497">
        <v>0.18510688806104081</v>
      </c>
      <c r="LH50" s="438">
        <v>10</v>
      </c>
      <c r="LI50" s="438">
        <v>79</v>
      </c>
      <c r="LJ50" s="497">
        <v>0.12658227848101267</v>
      </c>
      <c r="LK50" s="497">
        <v>7.0232634696755142E-2</v>
      </c>
      <c r="LL50" s="497">
        <v>0.21756358666503511</v>
      </c>
      <c r="LM50" s="438">
        <v>12</v>
      </c>
      <c r="LN50" s="438">
        <v>79</v>
      </c>
      <c r="LO50" s="497">
        <v>0.15189873417721519</v>
      </c>
      <c r="LP50" s="497">
        <v>8.908267892631741E-2</v>
      </c>
      <c r="LQ50" s="104">
        <v>0.24699854437704641</v>
      </c>
      <c r="LR50" s="3">
        <v>96</v>
      </c>
      <c r="LS50" s="3">
        <v>94</v>
      </c>
      <c r="LT50" s="3">
        <v>94</v>
      </c>
      <c r="LU50" s="3">
        <v>95</v>
      </c>
      <c r="LV50" s="3">
        <v>94</v>
      </c>
      <c r="LW50" s="3">
        <v>106</v>
      </c>
      <c r="LX50" s="3">
        <v>101</v>
      </c>
      <c r="LY50" s="3">
        <v>104</v>
      </c>
      <c r="LZ50" s="3">
        <v>100</v>
      </c>
      <c r="MA50" s="3">
        <v>103</v>
      </c>
      <c r="MB50" s="3">
        <v>105</v>
      </c>
      <c r="MC50" s="3">
        <v>102</v>
      </c>
      <c r="MD50" s="3">
        <v>104</v>
      </c>
      <c r="ME50" s="3">
        <v>88</v>
      </c>
      <c r="MF50" s="3">
        <v>84</v>
      </c>
      <c r="MG50" s="3">
        <v>82</v>
      </c>
      <c r="MH50" s="3">
        <v>80</v>
      </c>
      <c r="MI50" s="3">
        <v>82</v>
      </c>
      <c r="MJ50" s="3">
        <v>83</v>
      </c>
      <c r="MK50" s="3">
        <v>82</v>
      </c>
      <c r="ML50" s="3">
        <v>84</v>
      </c>
      <c r="MM50" s="3">
        <v>83</v>
      </c>
      <c r="MN50" s="8">
        <v>83</v>
      </c>
      <c r="MO50" s="3">
        <v>324</v>
      </c>
      <c r="MP50" s="24">
        <v>0.96</v>
      </c>
      <c r="MQ50" s="24">
        <v>0</v>
      </c>
      <c r="MR50" s="24">
        <v>0.96</v>
      </c>
      <c r="MS50" s="3">
        <v>311</v>
      </c>
      <c r="MT50" s="3">
        <v>0</v>
      </c>
      <c r="MU50" s="3">
        <v>311</v>
      </c>
      <c r="MV50" s="3">
        <v>296</v>
      </c>
      <c r="MW50" s="24">
        <v>0.98299999999999998</v>
      </c>
      <c r="MX50" s="24">
        <v>0.95599999999999996</v>
      </c>
      <c r="MY50" s="24">
        <v>0.97599999999999998</v>
      </c>
      <c r="MZ50" s="24">
        <v>0.95299999999999996</v>
      </c>
      <c r="NA50" s="24">
        <v>0.94899999999999995</v>
      </c>
      <c r="NB50" s="3">
        <v>291</v>
      </c>
      <c r="NC50" s="3">
        <v>283</v>
      </c>
      <c r="ND50" s="3">
        <v>289</v>
      </c>
      <c r="NE50" s="3">
        <v>282</v>
      </c>
      <c r="NF50" s="3">
        <v>281</v>
      </c>
      <c r="NG50" s="3">
        <v>328</v>
      </c>
      <c r="NH50" s="24">
        <v>0.96599999999999997</v>
      </c>
      <c r="NI50" s="24">
        <v>0.93899999999999995</v>
      </c>
      <c r="NJ50" s="24">
        <v>0.96599999999999997</v>
      </c>
      <c r="NK50" s="24">
        <v>0.96599999999999997</v>
      </c>
      <c r="NL50" s="24">
        <v>0.96599999999999997</v>
      </c>
      <c r="NM50" s="24">
        <v>0.88700000000000001</v>
      </c>
      <c r="NN50" s="24">
        <v>0.94799999999999995</v>
      </c>
      <c r="NO50" s="24">
        <v>0.94199999999999995</v>
      </c>
      <c r="NP50" s="24">
        <v>0.97299999999999998</v>
      </c>
      <c r="NQ50" s="24">
        <v>0.90500000000000003</v>
      </c>
      <c r="NR50" s="3">
        <v>317</v>
      </c>
      <c r="NS50" s="3">
        <v>308</v>
      </c>
      <c r="NT50" s="3">
        <v>317</v>
      </c>
      <c r="NU50" s="3">
        <v>317</v>
      </c>
      <c r="NV50" s="3">
        <v>317</v>
      </c>
      <c r="NW50" s="3">
        <v>291</v>
      </c>
      <c r="NX50" s="3">
        <v>311</v>
      </c>
      <c r="NY50" s="3">
        <v>309</v>
      </c>
      <c r="NZ50" s="3">
        <v>319</v>
      </c>
      <c r="OA50" s="8">
        <v>297</v>
      </c>
    </row>
    <row r="51" spans="1:391" s="3" customFormat="1" ht="12.75" x14ac:dyDescent="0.2">
      <c r="A51" s="11" t="s">
        <v>116</v>
      </c>
      <c r="B51" s="8">
        <v>3</v>
      </c>
      <c r="C51" s="11" t="s">
        <v>287</v>
      </c>
      <c r="D51" s="11" t="s">
        <v>287</v>
      </c>
      <c r="E51" s="11" t="s">
        <v>287</v>
      </c>
      <c r="F51" s="11" t="s">
        <v>287</v>
      </c>
      <c r="G51" s="11" t="s">
        <v>287</v>
      </c>
      <c r="H51" s="11" t="s">
        <v>75</v>
      </c>
      <c r="I51" s="11" t="s">
        <v>83</v>
      </c>
      <c r="J51" s="11" t="s">
        <v>269</v>
      </c>
      <c r="K51" s="11" t="s">
        <v>287</v>
      </c>
      <c r="L51" s="11" t="s">
        <v>287</v>
      </c>
      <c r="M51" s="11" t="s">
        <v>287</v>
      </c>
      <c r="N51" s="11" t="s">
        <v>829</v>
      </c>
      <c r="O51" s="128" t="s">
        <v>287</v>
      </c>
      <c r="P51" s="128" t="s">
        <v>287</v>
      </c>
      <c r="Q51" s="128" t="s">
        <v>287</v>
      </c>
      <c r="R51" s="128" t="s">
        <v>287</v>
      </c>
      <c r="S51" s="128" t="s">
        <v>287</v>
      </c>
      <c r="T51" s="38">
        <v>53925</v>
      </c>
      <c r="U51" s="39">
        <v>54555</v>
      </c>
      <c r="V51" s="39">
        <v>54965</v>
      </c>
      <c r="W51" s="39">
        <v>55265</v>
      </c>
      <c r="X51" s="39">
        <v>55595</v>
      </c>
      <c r="Y51" s="39">
        <v>55840</v>
      </c>
      <c r="Z51" s="39">
        <v>56205</v>
      </c>
      <c r="AA51" s="39">
        <v>56680</v>
      </c>
      <c r="AB51" s="39">
        <v>57130</v>
      </c>
      <c r="AC51" s="44">
        <v>57705</v>
      </c>
      <c r="AD51" s="38">
        <v>2700</v>
      </c>
      <c r="AE51" s="39">
        <v>2735</v>
      </c>
      <c r="AF51" s="39">
        <v>2740</v>
      </c>
      <c r="AG51" s="39">
        <v>2760</v>
      </c>
      <c r="AH51" s="39">
        <v>2835</v>
      </c>
      <c r="AI51" s="39">
        <v>2865</v>
      </c>
      <c r="AJ51" s="39">
        <v>2935</v>
      </c>
      <c r="AK51" s="39">
        <v>3070</v>
      </c>
      <c r="AL51" s="39">
        <v>3090</v>
      </c>
      <c r="AM51" s="44">
        <v>3120</v>
      </c>
      <c r="AN51" s="15">
        <v>2890</v>
      </c>
      <c r="AO51" s="3">
        <v>2559</v>
      </c>
      <c r="AP51" s="3">
        <v>147</v>
      </c>
      <c r="AQ51" s="3">
        <v>111</v>
      </c>
      <c r="AR51" s="3">
        <v>57</v>
      </c>
      <c r="AS51" s="3">
        <v>10</v>
      </c>
      <c r="AT51" s="3">
        <v>6</v>
      </c>
      <c r="AU51" s="11">
        <v>331</v>
      </c>
      <c r="AV51" s="18">
        <v>0.88546712802768168</v>
      </c>
      <c r="AW51" s="19">
        <v>5.0865051903114189E-2</v>
      </c>
      <c r="AX51" s="19">
        <v>3.8408304498269895E-2</v>
      </c>
      <c r="AY51" s="19">
        <v>1.9723183391003461E-2</v>
      </c>
      <c r="AZ51" s="19">
        <v>3.4602076124567475E-3</v>
      </c>
      <c r="BA51" s="19">
        <v>2.0761245674740486E-3</v>
      </c>
      <c r="BB51" s="20">
        <v>0.11453287197231832</v>
      </c>
      <c r="BC51" s="15">
        <v>7538</v>
      </c>
      <c r="BD51" s="3">
        <v>7332</v>
      </c>
      <c r="BE51" s="3">
        <v>206</v>
      </c>
      <c r="BF51" s="3">
        <v>166</v>
      </c>
      <c r="BG51" s="3">
        <v>40</v>
      </c>
      <c r="BH51" s="19">
        <v>0.80582524271844658</v>
      </c>
      <c r="BI51" s="20">
        <v>0.1941747572815534</v>
      </c>
      <c r="BJ51" s="38">
        <v>5674</v>
      </c>
      <c r="BK51" s="19">
        <v>0.57737046175537543</v>
      </c>
      <c r="BL51" s="19">
        <v>0.1473387381036306</v>
      </c>
      <c r="BM51" s="20">
        <v>0.275290800140994</v>
      </c>
      <c r="BN51" s="38">
        <v>16581</v>
      </c>
      <c r="BO51" s="39">
        <v>987</v>
      </c>
      <c r="BP51" s="39">
        <v>889</v>
      </c>
      <c r="BQ51" s="39">
        <v>436</v>
      </c>
      <c r="BR51" s="39">
        <v>10574</v>
      </c>
      <c r="BS51" s="39">
        <v>6051</v>
      </c>
      <c r="BT51" s="20">
        <v>0.14344736407205422</v>
      </c>
      <c r="BU51" s="38">
        <v>3197</v>
      </c>
      <c r="BV51" s="39">
        <v>3</v>
      </c>
      <c r="BW51" s="39">
        <v>898</v>
      </c>
      <c r="BX51" s="39">
        <v>1483</v>
      </c>
      <c r="BY51" s="39">
        <v>498</v>
      </c>
      <c r="BZ51" s="40">
        <v>6079</v>
      </c>
      <c r="CA51" s="39">
        <v>2333</v>
      </c>
      <c r="CB51" s="39">
        <v>1845</v>
      </c>
      <c r="CC51" s="39">
        <v>482</v>
      </c>
      <c r="CD51" s="39">
        <v>488</v>
      </c>
      <c r="CE51" s="19">
        <v>0.20660094299185597</v>
      </c>
      <c r="CF51" s="104">
        <v>0.20917273896270897</v>
      </c>
      <c r="CG51" s="39">
        <v>455</v>
      </c>
      <c r="CH51" s="39">
        <v>430</v>
      </c>
      <c r="CI51" s="39">
        <v>370</v>
      </c>
      <c r="CJ51" s="39">
        <v>360</v>
      </c>
      <c r="CK51" s="44">
        <v>310</v>
      </c>
      <c r="CL51" s="38">
        <v>1482</v>
      </c>
      <c r="CM51" s="39">
        <v>508</v>
      </c>
      <c r="CN51" s="19">
        <v>0.34278002699055332</v>
      </c>
      <c r="CO51" s="40">
        <v>137</v>
      </c>
      <c r="CP51" s="122">
        <v>572</v>
      </c>
      <c r="CQ51" s="122">
        <v>579</v>
      </c>
      <c r="CR51" s="122">
        <v>640</v>
      </c>
      <c r="CS51" s="122">
        <v>629</v>
      </c>
      <c r="CT51" s="122">
        <v>560</v>
      </c>
      <c r="CU51" s="120" t="s">
        <v>474</v>
      </c>
      <c r="CV51" s="39">
        <v>43</v>
      </c>
      <c r="CW51" s="39">
        <v>32</v>
      </c>
      <c r="CX51" s="39">
        <v>46</v>
      </c>
      <c r="CY51" s="39">
        <v>32</v>
      </c>
      <c r="CZ51" s="39">
        <v>26</v>
      </c>
      <c r="DA51" s="135" t="s">
        <v>474</v>
      </c>
      <c r="DB51" s="15">
        <v>55</v>
      </c>
      <c r="DC51" s="15">
        <v>38</v>
      </c>
      <c r="DD51" s="19">
        <v>6.7857142857142852E-2</v>
      </c>
      <c r="DE51" s="19">
        <v>4.9834490003291265E-2</v>
      </c>
      <c r="DF51" s="20">
        <v>9.1768184953756049E-2</v>
      </c>
      <c r="DG51" s="15">
        <v>53</v>
      </c>
      <c r="DH51" s="20">
        <v>1.8345448251990307E-2</v>
      </c>
      <c r="DI51" s="470" t="s">
        <v>287</v>
      </c>
      <c r="DJ51" s="471" t="s">
        <v>287</v>
      </c>
      <c r="DK51" s="3">
        <v>1108</v>
      </c>
      <c r="DL51" s="20">
        <v>4.3713259951868068E-2</v>
      </c>
      <c r="DM51" s="15">
        <v>605</v>
      </c>
      <c r="DN51" s="3">
        <v>655</v>
      </c>
      <c r="DO51" s="3">
        <v>650</v>
      </c>
      <c r="DP51" s="3">
        <v>610</v>
      </c>
      <c r="DQ51" s="11">
        <v>530</v>
      </c>
      <c r="DR51" s="15">
        <v>540</v>
      </c>
      <c r="DS51" s="19">
        <v>0.19424460431654678</v>
      </c>
      <c r="DT51" s="19">
        <v>0.17996437044752092</v>
      </c>
      <c r="DU51" s="19">
        <v>0.20936866983266683</v>
      </c>
      <c r="DV51" s="3">
        <v>585</v>
      </c>
      <c r="DW51" s="19">
        <v>0.20744680851063829</v>
      </c>
      <c r="DX51" s="19">
        <v>0.19288417998609383</v>
      </c>
      <c r="DY51" s="19">
        <v>0.22280539605367403</v>
      </c>
      <c r="DZ51" s="3">
        <v>600</v>
      </c>
      <c r="EA51" s="19">
        <v>0.20942408376963351</v>
      </c>
      <c r="EB51" s="19">
        <v>0.19491859679414683</v>
      </c>
      <c r="EC51" s="19">
        <v>0.22470774927642403</v>
      </c>
      <c r="ED51" s="3">
        <v>625</v>
      </c>
      <c r="EE51" s="19">
        <v>0.21551724137931033</v>
      </c>
      <c r="EF51" s="19">
        <v>0.20093357276125537</v>
      </c>
      <c r="EG51" s="19">
        <v>0.23085358800540132</v>
      </c>
      <c r="EH51" s="3">
        <v>610</v>
      </c>
      <c r="EI51" s="20">
        <v>0.20265780730897009</v>
      </c>
      <c r="EJ51" s="20">
        <v>0.18868047509518449</v>
      </c>
      <c r="EK51" s="20">
        <v>0.21739312749556988</v>
      </c>
      <c r="EL51" s="438">
        <v>575</v>
      </c>
      <c r="EM51" s="20">
        <v>0.19458544839255498</v>
      </c>
      <c r="EN51" s="20">
        <v>0.18071210177949917</v>
      </c>
      <c r="EO51" s="104">
        <v>0.20925183338875442</v>
      </c>
      <c r="EP51" s="38">
        <v>1690</v>
      </c>
      <c r="EQ51" s="20">
        <v>0.18181818181818182</v>
      </c>
      <c r="ER51" s="44">
        <v>1805</v>
      </c>
      <c r="ES51" s="20">
        <v>0.19191919191919191</v>
      </c>
      <c r="ET51" s="44">
        <v>1735</v>
      </c>
      <c r="EU51" s="20">
        <v>0.18379237288135594</v>
      </c>
      <c r="EV51" s="44">
        <v>1745</v>
      </c>
      <c r="EW51" s="20">
        <v>0.1842661034846885</v>
      </c>
      <c r="EX51" s="44">
        <v>1655</v>
      </c>
      <c r="EY51" s="20">
        <v>0.17239583333333333</v>
      </c>
      <c r="EZ51" s="44">
        <v>1530</v>
      </c>
      <c r="FA51" s="104">
        <v>0.15962441314553991</v>
      </c>
      <c r="FB51" s="3">
        <v>588</v>
      </c>
      <c r="FC51" s="3">
        <v>23</v>
      </c>
      <c r="FD51" s="3">
        <v>565</v>
      </c>
      <c r="FE51" s="19">
        <v>0.96088435374149661</v>
      </c>
      <c r="FF51" s="3">
        <v>207</v>
      </c>
      <c r="FG51" s="3">
        <v>263</v>
      </c>
      <c r="FH51" s="19">
        <v>0.36637168141592918</v>
      </c>
      <c r="FI51" s="19">
        <v>0.46548672566371679</v>
      </c>
      <c r="FJ51" s="19">
        <v>0.32766968695072873</v>
      </c>
      <c r="FK51" s="19">
        <v>0.40687849399049719</v>
      </c>
      <c r="FL51" s="19">
        <v>0.42472843243816932</v>
      </c>
      <c r="FM51" s="104">
        <v>0.50671116396386917</v>
      </c>
      <c r="FN51" s="438">
        <v>518</v>
      </c>
      <c r="FO51" s="438">
        <v>184</v>
      </c>
      <c r="FP51" s="438">
        <v>50</v>
      </c>
      <c r="FQ51" s="438">
        <v>234</v>
      </c>
      <c r="FR51" s="497">
        <v>0.35521235521235522</v>
      </c>
      <c r="FS51" s="497">
        <v>0.45173745173745172</v>
      </c>
      <c r="FT51" s="497">
        <v>0.31520320001766267</v>
      </c>
      <c r="FU51" s="497">
        <v>0.39735317612963705</v>
      </c>
      <c r="FV51" s="497">
        <v>0.40939240508838509</v>
      </c>
      <c r="FW51" s="104">
        <v>0.49479305362738152</v>
      </c>
      <c r="FX51" s="438">
        <v>571</v>
      </c>
      <c r="FY51" s="438">
        <v>53</v>
      </c>
      <c r="FZ51" s="438">
        <v>518</v>
      </c>
      <c r="GA51" s="497">
        <v>0.90718038528896672</v>
      </c>
      <c r="GB51" s="438">
        <v>186</v>
      </c>
      <c r="GC51" s="438">
        <v>51</v>
      </c>
      <c r="GD51" s="438">
        <v>237</v>
      </c>
      <c r="GE51" s="497">
        <v>0.35907335907335908</v>
      </c>
      <c r="GF51" s="497">
        <v>0.4575289575289575</v>
      </c>
      <c r="GG51" s="497">
        <v>0.31893777497973014</v>
      </c>
      <c r="GH51" s="497">
        <v>0.40128376447030822</v>
      </c>
      <c r="GI51" s="497">
        <v>0.41509633904828613</v>
      </c>
      <c r="GJ51" s="104">
        <v>0.50058686462158852</v>
      </c>
      <c r="GK51" s="3">
        <v>416</v>
      </c>
      <c r="GL51" s="3">
        <v>22</v>
      </c>
      <c r="GM51" s="19">
        <v>5.2884615384615384E-2</v>
      </c>
      <c r="GN51" s="19">
        <v>3.5180459502092254E-2</v>
      </c>
      <c r="GO51" s="19">
        <v>7.877078998879293E-2</v>
      </c>
      <c r="GP51" s="353" t="s">
        <v>726</v>
      </c>
      <c r="GQ51" s="3">
        <v>472</v>
      </c>
      <c r="GR51" s="3">
        <v>40</v>
      </c>
      <c r="GS51" s="19">
        <v>8.4745762711864403E-2</v>
      </c>
      <c r="GT51" s="19">
        <v>6.2851118482604509E-2</v>
      </c>
      <c r="GU51" s="19">
        <v>0.1133450856659019</v>
      </c>
      <c r="GV51" s="3" t="s">
        <v>725</v>
      </c>
      <c r="GW51" s="3">
        <v>364</v>
      </c>
      <c r="GX51" s="3">
        <v>27</v>
      </c>
      <c r="GY51" s="19">
        <v>7.4175824175824176E-2</v>
      </c>
      <c r="GZ51" s="19">
        <v>5.1475936681714074E-2</v>
      </c>
      <c r="HA51" s="19">
        <v>0.10576968485897578</v>
      </c>
      <c r="HB51" s="3" t="s">
        <v>725</v>
      </c>
      <c r="HC51" s="3">
        <v>513</v>
      </c>
      <c r="HD51" s="3">
        <v>47</v>
      </c>
      <c r="HE51" s="19">
        <v>9.1617933723196876E-2</v>
      </c>
      <c r="HF51" s="19">
        <v>6.9597686036753315E-2</v>
      </c>
      <c r="HG51" s="19">
        <v>0.11970883562647475</v>
      </c>
      <c r="HH51" s="3" t="s">
        <v>725</v>
      </c>
      <c r="HI51" s="3">
        <v>350</v>
      </c>
      <c r="HJ51" s="3">
        <v>36</v>
      </c>
      <c r="HK51" s="19">
        <v>0.10285714285714286</v>
      </c>
      <c r="HL51" s="19">
        <v>7.5225073935989512E-2</v>
      </c>
      <c r="HM51" s="19">
        <v>0.13911232754732872</v>
      </c>
      <c r="HN51" s="11" t="s">
        <v>725</v>
      </c>
      <c r="HO51" s="11">
        <v>524</v>
      </c>
      <c r="HP51" s="11">
        <v>55</v>
      </c>
      <c r="HQ51" s="497">
        <v>0.1049618320610687</v>
      </c>
      <c r="HR51" s="497">
        <v>8.1531554702597084E-2</v>
      </c>
      <c r="HS51" s="497">
        <v>0.13414202856431653</v>
      </c>
      <c r="HT51" s="8" t="str">
        <f t="shared" si="0"/>
        <v>No Sig diff</v>
      </c>
      <c r="HU51" s="3">
        <v>486</v>
      </c>
      <c r="HV51" s="3">
        <v>73</v>
      </c>
      <c r="HW51" s="19">
        <v>0.15020576131687244</v>
      </c>
      <c r="HX51" s="19">
        <v>0.12119140050135882</v>
      </c>
      <c r="HY51" s="19">
        <v>0.18470646935522964</v>
      </c>
      <c r="HZ51" s="3" t="s">
        <v>726</v>
      </c>
      <c r="IA51" s="3">
        <v>495</v>
      </c>
      <c r="IB51" s="3">
        <v>84</v>
      </c>
      <c r="IC51" s="19">
        <v>0.16969696969696971</v>
      </c>
      <c r="ID51" s="19">
        <v>0.13920260146623115</v>
      </c>
      <c r="IE51" s="19">
        <v>0.20527850727509667</v>
      </c>
      <c r="IF51" s="3" t="s">
        <v>725</v>
      </c>
      <c r="IG51" s="3">
        <v>500</v>
      </c>
      <c r="IH51" s="3">
        <v>103</v>
      </c>
      <c r="II51" s="19">
        <v>0.20599999999999999</v>
      </c>
      <c r="IJ51" s="19">
        <v>0.17285664127336728</v>
      </c>
      <c r="IK51" s="19">
        <v>0.24362647091802545</v>
      </c>
      <c r="IL51" s="3" t="s">
        <v>725</v>
      </c>
      <c r="IM51" s="3">
        <v>506</v>
      </c>
      <c r="IN51" s="3">
        <v>73</v>
      </c>
      <c r="IO51" s="19">
        <v>0.14426877470355731</v>
      </c>
      <c r="IP51" s="19">
        <v>0.11633254008067927</v>
      </c>
      <c r="IQ51" s="19">
        <v>0.17756560458431117</v>
      </c>
      <c r="IR51" s="3" t="s">
        <v>726</v>
      </c>
      <c r="IS51" s="3">
        <v>496</v>
      </c>
      <c r="IT51" s="3">
        <v>105</v>
      </c>
      <c r="IU51" s="19">
        <v>0.21169354838709678</v>
      </c>
      <c r="IV51" s="19">
        <v>0.17802841657796614</v>
      </c>
      <c r="IW51" s="19">
        <v>0.24979015478508781</v>
      </c>
      <c r="IX51" s="11" t="s">
        <v>725</v>
      </c>
      <c r="IY51" s="11">
        <v>527</v>
      </c>
      <c r="IZ51" s="11">
        <v>82</v>
      </c>
      <c r="JA51" s="497">
        <v>0.15559772296015181</v>
      </c>
      <c r="JB51" s="497">
        <v>0.12715458766145521</v>
      </c>
      <c r="JC51" s="497">
        <v>0.1890254243398061</v>
      </c>
      <c r="JD51" s="8" t="str">
        <f t="shared" si="1"/>
        <v>Sig better than Eng.</v>
      </c>
      <c r="JE51" s="3">
        <v>573</v>
      </c>
      <c r="JF51" s="3">
        <v>306</v>
      </c>
      <c r="JG51" s="19">
        <v>0.53403141361256545</v>
      </c>
      <c r="JH51" s="19">
        <v>0.49309598153954287</v>
      </c>
      <c r="JI51" s="19">
        <v>0.57451358327872171</v>
      </c>
      <c r="JJ51" s="3">
        <v>573</v>
      </c>
      <c r="JK51" s="3">
        <v>34</v>
      </c>
      <c r="JL51" s="3">
        <v>114</v>
      </c>
      <c r="JM51" s="383">
        <v>24.087719298245613</v>
      </c>
      <c r="JN51" s="19">
        <v>0.29153766769865846</v>
      </c>
      <c r="JO51" s="3">
        <v>623</v>
      </c>
      <c r="JP51" s="3">
        <v>370</v>
      </c>
      <c r="JQ51" s="19">
        <v>0.593900481540931</v>
      </c>
      <c r="JR51" s="19">
        <v>0.55487551037941496</v>
      </c>
      <c r="JS51" s="19">
        <v>0.6317745561623187</v>
      </c>
      <c r="JT51" s="3">
        <v>623</v>
      </c>
      <c r="JU51" s="3">
        <v>34</v>
      </c>
      <c r="JV51" s="3">
        <v>123</v>
      </c>
      <c r="JW51" s="383">
        <v>24.869918699186982</v>
      </c>
      <c r="JX51" s="20">
        <v>0.26853180296508877</v>
      </c>
      <c r="JY51" s="44">
        <v>601</v>
      </c>
      <c r="JZ51" s="44">
        <v>355</v>
      </c>
      <c r="KA51" s="20">
        <v>0.59068219633943431</v>
      </c>
      <c r="KB51" s="20">
        <v>0.5509156965881441</v>
      </c>
      <c r="KC51" s="20">
        <v>0.6292968176342203</v>
      </c>
      <c r="KD51" s="438">
        <v>34</v>
      </c>
      <c r="KE51" s="438">
        <v>120</v>
      </c>
      <c r="KF51" s="384">
        <v>22</v>
      </c>
      <c r="KG51" s="104">
        <v>0.35199999999999998</v>
      </c>
      <c r="KH51" s="19"/>
      <c r="KI51" s="19"/>
      <c r="KJ51" s="19"/>
      <c r="KK51" s="19"/>
      <c r="KL51" s="19"/>
      <c r="KM51" s="19"/>
      <c r="KN51" s="19"/>
      <c r="KO51" s="19"/>
      <c r="KP51" s="19"/>
      <c r="KQ51" s="19"/>
      <c r="KR51" s="19"/>
      <c r="KS51" s="19"/>
      <c r="KT51" s="19"/>
      <c r="KU51" s="19"/>
      <c r="KV51" s="19"/>
      <c r="KW51" s="104"/>
      <c r="KX51" s="438">
        <v>48</v>
      </c>
      <c r="KY51" s="438">
        <v>293</v>
      </c>
      <c r="KZ51" s="497">
        <v>0.16382252559726962</v>
      </c>
      <c r="LA51" s="497">
        <v>0.12584501384235816</v>
      </c>
      <c r="LB51" s="497">
        <v>0.21050105862793969</v>
      </c>
      <c r="LC51" s="438">
        <v>38</v>
      </c>
      <c r="LD51" s="438">
        <v>292</v>
      </c>
      <c r="LE51" s="497">
        <v>0.13013698630136986</v>
      </c>
      <c r="LF51" s="497">
        <v>9.6300654935659369E-2</v>
      </c>
      <c r="LG51" s="497">
        <v>0.17357855381001225</v>
      </c>
      <c r="LH51" s="438">
        <v>44</v>
      </c>
      <c r="LI51" s="438">
        <v>291</v>
      </c>
      <c r="LJ51" s="497">
        <v>0.15120274914089346</v>
      </c>
      <c r="LK51" s="497">
        <v>0.11460370258279746</v>
      </c>
      <c r="LL51" s="497">
        <v>0.19689068218941633</v>
      </c>
      <c r="LM51" s="438">
        <v>66</v>
      </c>
      <c r="LN51" s="438">
        <v>292</v>
      </c>
      <c r="LO51" s="497">
        <v>0.22602739726027396</v>
      </c>
      <c r="LP51" s="497">
        <v>0.18179144374431072</v>
      </c>
      <c r="LQ51" s="104">
        <v>0.27737834051174232</v>
      </c>
      <c r="LR51" s="3">
        <v>184</v>
      </c>
      <c r="LS51" s="3">
        <v>176</v>
      </c>
      <c r="LT51" s="3">
        <v>176</v>
      </c>
      <c r="LU51" s="3">
        <v>182</v>
      </c>
      <c r="LV51" s="3">
        <v>176</v>
      </c>
      <c r="LW51" s="3">
        <v>163</v>
      </c>
      <c r="LX51" s="3">
        <v>150</v>
      </c>
      <c r="LY51" s="3">
        <v>155</v>
      </c>
      <c r="LZ51" s="3">
        <v>152</v>
      </c>
      <c r="MA51" s="3">
        <v>155</v>
      </c>
      <c r="MB51" s="3">
        <v>160</v>
      </c>
      <c r="MC51" s="3">
        <v>148</v>
      </c>
      <c r="MD51" s="3">
        <v>156</v>
      </c>
      <c r="ME51" s="3">
        <v>143</v>
      </c>
      <c r="MF51" s="3">
        <v>137</v>
      </c>
      <c r="MG51" s="3">
        <v>132</v>
      </c>
      <c r="MH51" s="3">
        <v>130</v>
      </c>
      <c r="MI51" s="3">
        <v>133</v>
      </c>
      <c r="MJ51" s="3">
        <v>133</v>
      </c>
      <c r="MK51" s="3">
        <v>131</v>
      </c>
      <c r="ML51" s="3">
        <v>137</v>
      </c>
      <c r="MM51" s="3">
        <v>130</v>
      </c>
      <c r="MN51" s="8">
        <v>138</v>
      </c>
      <c r="MO51" s="3">
        <v>576</v>
      </c>
      <c r="MP51" s="24">
        <v>0.95699999999999996</v>
      </c>
      <c r="MQ51" s="24">
        <v>5.0000000000000001E-3</v>
      </c>
      <c r="MR51" s="24">
        <v>0.95299999999999996</v>
      </c>
      <c r="MS51" s="3">
        <v>551</v>
      </c>
      <c r="MT51" s="3">
        <v>3</v>
      </c>
      <c r="MU51" s="3">
        <v>549</v>
      </c>
      <c r="MV51" s="3">
        <v>639</v>
      </c>
      <c r="MW51" s="24">
        <v>0.97499999999999998</v>
      </c>
      <c r="MX51" s="24">
        <v>0.95299999999999996</v>
      </c>
      <c r="MY51" s="24">
        <v>0.96399999999999997</v>
      </c>
      <c r="MZ51" s="24">
        <v>0.95899999999999996</v>
      </c>
      <c r="NA51" s="24">
        <v>0.95899999999999996</v>
      </c>
      <c r="NB51" s="3">
        <v>623</v>
      </c>
      <c r="NC51" s="3">
        <v>609</v>
      </c>
      <c r="ND51" s="3">
        <v>616</v>
      </c>
      <c r="NE51" s="3">
        <v>613</v>
      </c>
      <c r="NF51" s="3">
        <v>613</v>
      </c>
      <c r="NG51" s="3">
        <v>631</v>
      </c>
      <c r="NH51" s="24">
        <v>0.96699999999999997</v>
      </c>
      <c r="NI51" s="24">
        <v>0.91</v>
      </c>
      <c r="NJ51" s="24">
        <v>0.96699999999999997</v>
      </c>
      <c r="NK51" s="24">
        <v>0.96199999999999997</v>
      </c>
      <c r="NL51" s="24">
        <v>0.96399999999999997</v>
      </c>
      <c r="NM51" s="24">
        <v>0.92400000000000004</v>
      </c>
      <c r="NN51" s="24">
        <v>0.94899999999999995</v>
      </c>
      <c r="NO51" s="24">
        <v>0.91600000000000004</v>
      </c>
      <c r="NP51" s="24">
        <v>0.96699999999999997</v>
      </c>
      <c r="NQ51" s="24">
        <v>0.93300000000000005</v>
      </c>
      <c r="NR51" s="3">
        <v>610</v>
      </c>
      <c r="NS51" s="3">
        <v>574</v>
      </c>
      <c r="NT51" s="3">
        <v>610</v>
      </c>
      <c r="NU51" s="3">
        <v>607</v>
      </c>
      <c r="NV51" s="3">
        <v>608</v>
      </c>
      <c r="NW51" s="3">
        <v>583</v>
      </c>
      <c r="NX51" s="3">
        <v>599</v>
      </c>
      <c r="NY51" s="3">
        <v>578</v>
      </c>
      <c r="NZ51" s="3">
        <v>610</v>
      </c>
      <c r="OA51" s="8">
        <v>589</v>
      </c>
    </row>
    <row r="52" spans="1:391" s="3" customFormat="1" ht="12.75" x14ac:dyDescent="0.2">
      <c r="A52" s="11" t="s">
        <v>117</v>
      </c>
      <c r="B52" s="8">
        <v>4</v>
      </c>
      <c r="C52" s="11" t="s">
        <v>287</v>
      </c>
      <c r="D52" s="11" t="s">
        <v>287</v>
      </c>
      <c r="E52" s="11" t="s">
        <v>287</v>
      </c>
      <c r="F52" s="11" t="s">
        <v>287</v>
      </c>
      <c r="G52" s="11" t="s">
        <v>287</v>
      </c>
      <c r="H52" s="11" t="s">
        <v>76</v>
      </c>
      <c r="I52" s="11" t="s">
        <v>83</v>
      </c>
      <c r="J52" s="11" t="s">
        <v>269</v>
      </c>
      <c r="K52" s="11" t="s">
        <v>287</v>
      </c>
      <c r="L52" s="11" t="s">
        <v>287</v>
      </c>
      <c r="M52" s="11" t="s">
        <v>287</v>
      </c>
      <c r="N52" s="11" t="s">
        <v>404</v>
      </c>
      <c r="O52" s="128" t="s">
        <v>287</v>
      </c>
      <c r="P52" s="128" t="s">
        <v>287</v>
      </c>
      <c r="Q52" s="128" t="s">
        <v>287</v>
      </c>
      <c r="R52" s="128" t="s">
        <v>287</v>
      </c>
      <c r="S52" s="128" t="s">
        <v>287</v>
      </c>
      <c r="T52" s="38">
        <v>34840</v>
      </c>
      <c r="U52" s="39">
        <v>34625</v>
      </c>
      <c r="V52" s="39">
        <v>34775</v>
      </c>
      <c r="W52" s="39">
        <v>34970</v>
      </c>
      <c r="X52" s="39">
        <v>34910</v>
      </c>
      <c r="Y52" s="39">
        <v>35030</v>
      </c>
      <c r="Z52" s="39">
        <v>35155</v>
      </c>
      <c r="AA52" s="39">
        <v>35795</v>
      </c>
      <c r="AB52" s="39">
        <v>36285</v>
      </c>
      <c r="AC52" s="44">
        <v>36390</v>
      </c>
      <c r="AD52" s="38">
        <v>1830</v>
      </c>
      <c r="AE52" s="39">
        <v>1830</v>
      </c>
      <c r="AF52" s="39">
        <v>1815</v>
      </c>
      <c r="AG52" s="39">
        <v>1845</v>
      </c>
      <c r="AH52" s="39">
        <v>1885</v>
      </c>
      <c r="AI52" s="39">
        <v>1890</v>
      </c>
      <c r="AJ52" s="39">
        <v>1920</v>
      </c>
      <c r="AK52" s="39">
        <v>1995</v>
      </c>
      <c r="AL52" s="39">
        <v>2085</v>
      </c>
      <c r="AM52" s="44">
        <v>1988</v>
      </c>
      <c r="AN52" s="15">
        <v>1900</v>
      </c>
      <c r="AO52" s="3">
        <v>1674</v>
      </c>
      <c r="AP52" s="3">
        <v>127</v>
      </c>
      <c r="AQ52" s="3">
        <v>50</v>
      </c>
      <c r="AR52" s="3">
        <v>40</v>
      </c>
      <c r="AS52" s="3">
        <v>5</v>
      </c>
      <c r="AT52" s="3">
        <v>4</v>
      </c>
      <c r="AU52" s="11">
        <v>226</v>
      </c>
      <c r="AV52" s="18">
        <v>0.88105263157894742</v>
      </c>
      <c r="AW52" s="19">
        <v>6.6842105263157897E-2</v>
      </c>
      <c r="AX52" s="19">
        <v>2.6315789473684209E-2</v>
      </c>
      <c r="AY52" s="19">
        <v>2.1052631578947368E-2</v>
      </c>
      <c r="AZ52" s="19">
        <v>2.631578947368421E-3</v>
      </c>
      <c r="BA52" s="19">
        <v>2.1052631578947368E-3</v>
      </c>
      <c r="BB52" s="20">
        <v>0.11894736842105258</v>
      </c>
      <c r="BC52" s="15">
        <v>5025</v>
      </c>
      <c r="BD52" s="3">
        <v>4870</v>
      </c>
      <c r="BE52" s="3">
        <v>155</v>
      </c>
      <c r="BF52" s="3">
        <v>137</v>
      </c>
      <c r="BG52" s="3">
        <v>18</v>
      </c>
      <c r="BH52" s="19">
        <v>0.88387096774193552</v>
      </c>
      <c r="BI52" s="20">
        <v>0.11612903225806452</v>
      </c>
      <c r="BJ52" s="38">
        <v>3777</v>
      </c>
      <c r="BK52" s="19">
        <v>0.6346306592533757</v>
      </c>
      <c r="BL52" s="19">
        <v>0.14402965316388669</v>
      </c>
      <c r="BM52" s="20">
        <v>0.22133968758273762</v>
      </c>
      <c r="BN52" s="38">
        <v>10206</v>
      </c>
      <c r="BO52" s="39">
        <v>547</v>
      </c>
      <c r="BP52" s="39">
        <v>636</v>
      </c>
      <c r="BQ52" s="39">
        <v>289</v>
      </c>
      <c r="BR52" s="39">
        <v>7077</v>
      </c>
      <c r="BS52" s="39">
        <v>3980</v>
      </c>
      <c r="BT52" s="20">
        <v>0.14371859296482412</v>
      </c>
      <c r="BU52" s="38">
        <v>2253</v>
      </c>
      <c r="BV52" s="39">
        <v>3</v>
      </c>
      <c r="BW52" s="39">
        <v>569</v>
      </c>
      <c r="BX52" s="39">
        <v>828</v>
      </c>
      <c r="BY52" s="39">
        <v>346</v>
      </c>
      <c r="BZ52" s="40">
        <v>3999</v>
      </c>
      <c r="CA52" s="39">
        <v>1488</v>
      </c>
      <c r="CB52" s="39">
        <v>1238</v>
      </c>
      <c r="CC52" s="39">
        <v>242</v>
      </c>
      <c r="CD52" s="39">
        <v>250</v>
      </c>
      <c r="CE52" s="19">
        <v>0.16263440860215053</v>
      </c>
      <c r="CF52" s="104">
        <v>0.16801075268817203</v>
      </c>
      <c r="CG52" s="39">
        <v>240</v>
      </c>
      <c r="CH52" s="39">
        <v>230</v>
      </c>
      <c r="CI52" s="39">
        <v>205</v>
      </c>
      <c r="CJ52" s="39">
        <v>215</v>
      </c>
      <c r="CK52" s="44">
        <v>190</v>
      </c>
      <c r="CL52" s="38">
        <v>825</v>
      </c>
      <c r="CM52" s="39">
        <v>288</v>
      </c>
      <c r="CN52" s="19">
        <v>0.34909090909090912</v>
      </c>
      <c r="CO52" s="40">
        <v>77</v>
      </c>
      <c r="CP52" s="122">
        <v>361</v>
      </c>
      <c r="CQ52" s="122">
        <v>396</v>
      </c>
      <c r="CR52" s="122">
        <v>361</v>
      </c>
      <c r="CS52" s="122">
        <v>420</v>
      </c>
      <c r="CT52" s="122">
        <v>383</v>
      </c>
      <c r="CU52" s="120" t="s">
        <v>474</v>
      </c>
      <c r="CV52" s="39">
        <v>21</v>
      </c>
      <c r="CW52" s="39">
        <v>14</v>
      </c>
      <c r="CX52" s="39">
        <v>21</v>
      </c>
      <c r="CY52" s="39">
        <v>16</v>
      </c>
      <c r="CZ52" s="39">
        <v>21</v>
      </c>
      <c r="DA52" s="135" t="s">
        <v>474</v>
      </c>
      <c r="DB52" s="15">
        <v>37</v>
      </c>
      <c r="DC52" s="15">
        <v>20</v>
      </c>
      <c r="DD52" s="19">
        <v>5.2219321148825062E-2</v>
      </c>
      <c r="DE52" s="19">
        <v>3.405512727403584E-2</v>
      </c>
      <c r="DF52" s="20">
        <v>7.9276724369650539E-2</v>
      </c>
      <c r="DG52" s="15">
        <v>36</v>
      </c>
      <c r="DH52" s="20">
        <v>1.8947368421052633E-2</v>
      </c>
      <c r="DI52" s="470" t="s">
        <v>287</v>
      </c>
      <c r="DJ52" s="471" t="s">
        <v>287</v>
      </c>
      <c r="DK52" s="3">
        <v>633</v>
      </c>
      <c r="DL52" s="20">
        <v>4.3061224489795921E-2</v>
      </c>
      <c r="DM52" s="15">
        <v>295</v>
      </c>
      <c r="DN52" s="3">
        <v>305</v>
      </c>
      <c r="DO52" s="3">
        <v>345</v>
      </c>
      <c r="DP52" s="3">
        <v>360</v>
      </c>
      <c r="DQ52" s="11">
        <v>280</v>
      </c>
      <c r="DR52" s="15">
        <v>300</v>
      </c>
      <c r="DS52" s="19">
        <v>0.16216216216216217</v>
      </c>
      <c r="DT52" s="19">
        <v>0.14606860106171005</v>
      </c>
      <c r="DU52" s="19">
        <v>0.17965583235603375</v>
      </c>
      <c r="DV52" s="3">
        <v>325</v>
      </c>
      <c r="DW52" s="19">
        <v>0.17567567567567569</v>
      </c>
      <c r="DX52" s="19">
        <v>0.15901195318594102</v>
      </c>
      <c r="DY52" s="19">
        <v>0.19368350289509301</v>
      </c>
      <c r="DZ52" s="3">
        <v>310</v>
      </c>
      <c r="EA52" s="19">
        <v>0.16489361702127658</v>
      </c>
      <c r="EB52" s="19">
        <v>0.14880593100628797</v>
      </c>
      <c r="EC52" s="19">
        <v>0.18234797576207984</v>
      </c>
      <c r="ED52" s="3">
        <v>350</v>
      </c>
      <c r="EE52" s="19">
        <v>0.18087855297157623</v>
      </c>
      <c r="EF52" s="19">
        <v>0.16436572857421031</v>
      </c>
      <c r="EG52" s="19">
        <v>0.19865593862740183</v>
      </c>
      <c r="EH52" s="3">
        <v>350</v>
      </c>
      <c r="EI52" s="20">
        <v>0.1745635910224439</v>
      </c>
      <c r="EJ52" s="20">
        <v>0.15857479576250239</v>
      </c>
      <c r="EK52" s="20">
        <v>0.19179703459283573</v>
      </c>
      <c r="EL52" s="438">
        <v>335</v>
      </c>
      <c r="EM52" s="20">
        <v>0.17091836734693877</v>
      </c>
      <c r="EN52" s="20">
        <v>0.15490065235164155</v>
      </c>
      <c r="EO52" s="104">
        <v>0.18822351166582577</v>
      </c>
      <c r="EP52" s="38">
        <v>990</v>
      </c>
      <c r="EQ52" s="20">
        <v>0.15929203539823009</v>
      </c>
      <c r="ER52" s="44">
        <v>1020</v>
      </c>
      <c r="ES52" s="20">
        <v>0.16451612903225807</v>
      </c>
      <c r="ET52" s="44">
        <v>925</v>
      </c>
      <c r="EU52" s="20">
        <v>0.14955537590945836</v>
      </c>
      <c r="EV52" s="44">
        <v>955</v>
      </c>
      <c r="EW52" s="20">
        <v>0.1514670896114195</v>
      </c>
      <c r="EX52" s="44">
        <v>880</v>
      </c>
      <c r="EY52" s="20">
        <v>0.13750000000000001</v>
      </c>
      <c r="EZ52" s="44">
        <v>890</v>
      </c>
      <c r="FA52" s="104">
        <v>0.13745173745173744</v>
      </c>
      <c r="FB52" s="3">
        <v>407</v>
      </c>
      <c r="FC52" s="3">
        <v>21</v>
      </c>
      <c r="FD52" s="3">
        <v>386</v>
      </c>
      <c r="FE52" s="19">
        <v>0.94840294840294836</v>
      </c>
      <c r="FF52" s="3">
        <v>164</v>
      </c>
      <c r="FG52" s="3">
        <v>203</v>
      </c>
      <c r="FH52" s="19">
        <v>0.42487046632124353</v>
      </c>
      <c r="FI52" s="19">
        <v>0.52590673575129532</v>
      </c>
      <c r="FJ52" s="19">
        <v>0.37653529950140968</v>
      </c>
      <c r="FK52" s="19">
        <v>0.47468627099174598</v>
      </c>
      <c r="FL52" s="19">
        <v>0.47608405802744896</v>
      </c>
      <c r="FM52" s="104">
        <v>0.57521884869904905</v>
      </c>
      <c r="FN52" s="438">
        <v>391</v>
      </c>
      <c r="FO52" s="438">
        <v>138</v>
      </c>
      <c r="FP52" s="438">
        <v>62</v>
      </c>
      <c r="FQ52" s="438">
        <v>200</v>
      </c>
      <c r="FR52" s="497">
        <v>0.35294117647058826</v>
      </c>
      <c r="FS52" s="497">
        <v>0.51150895140664965</v>
      </c>
      <c r="FT52" s="497">
        <v>0.30721345611408934</v>
      </c>
      <c r="FU52" s="497">
        <v>0.40153040188025579</v>
      </c>
      <c r="FV52" s="497">
        <v>0.46209177534965556</v>
      </c>
      <c r="FW52" s="104">
        <v>0.56070218358991741</v>
      </c>
      <c r="FX52" s="438">
        <v>366</v>
      </c>
      <c r="FY52" s="438">
        <v>15</v>
      </c>
      <c r="FZ52" s="438">
        <v>351</v>
      </c>
      <c r="GA52" s="497">
        <v>0.95901639344262291</v>
      </c>
      <c r="GB52" s="438">
        <v>135</v>
      </c>
      <c r="GC52" s="438">
        <v>56</v>
      </c>
      <c r="GD52" s="438">
        <v>191</v>
      </c>
      <c r="GE52" s="497">
        <v>0.38461538461538464</v>
      </c>
      <c r="GF52" s="497">
        <v>0.54415954415954415</v>
      </c>
      <c r="GG52" s="497">
        <v>0.33522964487370094</v>
      </c>
      <c r="GH52" s="497">
        <v>0.43649939640236279</v>
      </c>
      <c r="GI52" s="497">
        <v>0.49185890917282571</v>
      </c>
      <c r="GJ52" s="104">
        <v>0.59550405033880427</v>
      </c>
      <c r="GK52" s="3">
        <v>306</v>
      </c>
      <c r="GL52" s="3">
        <v>41</v>
      </c>
      <c r="GM52" s="19">
        <v>0.13398692810457516</v>
      </c>
      <c r="GN52" s="19">
        <v>0.10032528329781232</v>
      </c>
      <c r="GO52" s="19">
        <v>0.17672433797437112</v>
      </c>
      <c r="GP52" s="353" t="s">
        <v>727</v>
      </c>
      <c r="GQ52" s="3">
        <v>319</v>
      </c>
      <c r="GR52" s="3">
        <v>27</v>
      </c>
      <c r="GS52" s="19">
        <v>8.4639498432601878E-2</v>
      </c>
      <c r="GT52" s="19">
        <v>5.8819812484351107E-2</v>
      </c>
      <c r="GU52" s="19">
        <v>0.12034385203377765</v>
      </c>
      <c r="GV52" s="3" t="s">
        <v>725</v>
      </c>
      <c r="GW52" s="3">
        <v>351</v>
      </c>
      <c r="GX52" s="3">
        <v>37</v>
      </c>
      <c r="GY52" s="19">
        <v>0.10541310541310542</v>
      </c>
      <c r="GZ52" s="19">
        <v>7.7449182248717607E-2</v>
      </c>
      <c r="HA52" s="19">
        <v>0.14192050211510529</v>
      </c>
      <c r="HB52" s="3" t="s">
        <v>725</v>
      </c>
      <c r="HC52" s="3">
        <v>389</v>
      </c>
      <c r="HD52" s="3">
        <v>41</v>
      </c>
      <c r="HE52" s="19">
        <v>0.10539845758354756</v>
      </c>
      <c r="HF52" s="19">
        <v>7.8648068865521378E-2</v>
      </c>
      <c r="HG52" s="19">
        <v>0.13986618642308607</v>
      </c>
      <c r="HH52" s="3" t="s">
        <v>725</v>
      </c>
      <c r="HI52" s="3">
        <v>281</v>
      </c>
      <c r="HJ52" s="3">
        <v>23</v>
      </c>
      <c r="HK52" s="19">
        <v>8.1850533807829182E-2</v>
      </c>
      <c r="HL52" s="19">
        <v>5.5158551624166031E-2</v>
      </c>
      <c r="HM52" s="19">
        <v>0.11982109855403714</v>
      </c>
      <c r="HN52" s="11" t="s">
        <v>725</v>
      </c>
      <c r="HO52" s="11">
        <v>321</v>
      </c>
      <c r="HP52" s="11">
        <v>26</v>
      </c>
      <c r="HQ52" s="497">
        <v>8.0996884735202487E-2</v>
      </c>
      <c r="HR52" s="497">
        <v>5.5871806871377397E-2</v>
      </c>
      <c r="HS52" s="497">
        <v>0.11603192433159529</v>
      </c>
      <c r="HT52" s="8" t="str">
        <f t="shared" si="0"/>
        <v>No Sig diff</v>
      </c>
      <c r="HU52" s="3">
        <v>335</v>
      </c>
      <c r="HV52" s="3">
        <v>57</v>
      </c>
      <c r="HW52" s="19">
        <v>0.17014925373134329</v>
      </c>
      <c r="HX52" s="19">
        <v>0.13370474763443638</v>
      </c>
      <c r="HY52" s="19">
        <v>0.21407282135263578</v>
      </c>
      <c r="HZ52" s="3" t="s">
        <v>725</v>
      </c>
      <c r="IA52" s="3">
        <v>305</v>
      </c>
      <c r="IB52" s="3">
        <v>63</v>
      </c>
      <c r="IC52" s="19">
        <v>0.20655737704918034</v>
      </c>
      <c r="ID52" s="19">
        <v>0.16490994305307338</v>
      </c>
      <c r="IE52" s="19">
        <v>0.25550465839483955</v>
      </c>
      <c r="IF52" s="3" t="s">
        <v>725</v>
      </c>
      <c r="IG52" s="3">
        <v>291</v>
      </c>
      <c r="IH52" s="3">
        <v>51</v>
      </c>
      <c r="II52" s="19">
        <v>0.17525773195876287</v>
      </c>
      <c r="IJ52" s="19">
        <v>0.13588681157015609</v>
      </c>
      <c r="IK52" s="19">
        <v>0.22309071907983608</v>
      </c>
      <c r="IL52" s="3" t="s">
        <v>725</v>
      </c>
      <c r="IM52" s="3">
        <v>294</v>
      </c>
      <c r="IN52" s="3">
        <v>43</v>
      </c>
      <c r="IO52" s="19">
        <v>0.14625850340136054</v>
      </c>
      <c r="IP52" s="19">
        <v>0.11043149100924214</v>
      </c>
      <c r="IQ52" s="19">
        <v>0.19121039315430638</v>
      </c>
      <c r="IR52" s="3" t="s">
        <v>725</v>
      </c>
      <c r="IS52" s="3">
        <v>357</v>
      </c>
      <c r="IT52" s="3">
        <v>63</v>
      </c>
      <c r="IU52" s="19">
        <v>0.17647058823529413</v>
      </c>
      <c r="IV52" s="19">
        <v>0.14043054818622616</v>
      </c>
      <c r="IW52" s="19">
        <v>0.21939911009373803</v>
      </c>
      <c r="IX52" s="11" t="s">
        <v>725</v>
      </c>
      <c r="IY52" s="11">
        <v>336</v>
      </c>
      <c r="IZ52" s="11">
        <v>69</v>
      </c>
      <c r="JA52" s="497">
        <v>0.20535714285714285</v>
      </c>
      <c r="JB52" s="497">
        <v>0.16560996990723667</v>
      </c>
      <c r="JC52" s="497">
        <v>0.25176541246343515</v>
      </c>
      <c r="JD52" s="8" t="str">
        <f t="shared" si="1"/>
        <v>Sig better than Eng.</v>
      </c>
      <c r="JE52" s="3">
        <v>415</v>
      </c>
      <c r="JF52" s="3">
        <v>195</v>
      </c>
      <c r="JG52" s="19">
        <v>0.46987951807228917</v>
      </c>
      <c r="JH52" s="19">
        <v>0.4223576247956472</v>
      </c>
      <c r="JI52" s="19">
        <v>0.51795391917043732</v>
      </c>
      <c r="JJ52" s="3">
        <v>415</v>
      </c>
      <c r="JK52" s="3">
        <v>33</v>
      </c>
      <c r="JL52" s="3">
        <v>83</v>
      </c>
      <c r="JM52" s="383">
        <v>21.674698795180728</v>
      </c>
      <c r="JN52" s="19">
        <v>0.343190945600584</v>
      </c>
      <c r="JO52" s="3">
        <v>408</v>
      </c>
      <c r="JP52" s="3">
        <v>225</v>
      </c>
      <c r="JQ52" s="19">
        <v>0.55147058823529416</v>
      </c>
      <c r="JR52" s="19">
        <v>0.50295509749998391</v>
      </c>
      <c r="JS52" s="19">
        <v>0.59902589324404365</v>
      </c>
      <c r="JT52" s="3">
        <v>408</v>
      </c>
      <c r="JU52" s="3">
        <v>34</v>
      </c>
      <c r="JV52" s="3">
        <v>80</v>
      </c>
      <c r="JW52" s="383">
        <v>22.987500000000008</v>
      </c>
      <c r="JX52" s="20">
        <v>0.3238970588235292</v>
      </c>
      <c r="JY52" s="44">
        <v>394</v>
      </c>
      <c r="JZ52" s="44">
        <v>236</v>
      </c>
      <c r="KA52" s="20">
        <v>0.59898477157360408</v>
      </c>
      <c r="KB52" s="20">
        <v>0.54986007959142413</v>
      </c>
      <c r="KC52" s="20">
        <v>0.64619791856495801</v>
      </c>
      <c r="KD52" s="438">
        <v>34</v>
      </c>
      <c r="KE52" s="438">
        <v>78</v>
      </c>
      <c r="KF52" s="384">
        <v>21.7</v>
      </c>
      <c r="KG52" s="104">
        <v>0.36099999999999999</v>
      </c>
      <c r="KH52" s="19"/>
      <c r="KI52" s="19"/>
      <c r="KJ52" s="19"/>
      <c r="KK52" s="19"/>
      <c r="KL52" s="19"/>
      <c r="KM52" s="19"/>
      <c r="KN52" s="19"/>
      <c r="KO52" s="19"/>
      <c r="KP52" s="19"/>
      <c r="KQ52" s="19"/>
      <c r="KR52" s="19"/>
      <c r="KS52" s="19"/>
      <c r="KT52" s="19"/>
      <c r="KU52" s="19"/>
      <c r="KV52" s="19"/>
      <c r="KW52" s="104"/>
      <c r="KX52" s="438">
        <v>21</v>
      </c>
      <c r="KY52" s="438">
        <v>195</v>
      </c>
      <c r="KZ52" s="497">
        <v>0.1076923076923077</v>
      </c>
      <c r="LA52" s="497">
        <v>7.152306580694269E-2</v>
      </c>
      <c r="LB52" s="497">
        <v>0.15901969470474614</v>
      </c>
      <c r="LC52" s="438">
        <v>13</v>
      </c>
      <c r="LD52" s="438">
        <v>196</v>
      </c>
      <c r="LE52" s="497">
        <v>6.6326530612244902E-2</v>
      </c>
      <c r="LF52" s="497">
        <v>3.9167849192518686E-2</v>
      </c>
      <c r="LG52" s="497">
        <v>0.11015781624644855</v>
      </c>
      <c r="LH52" s="438">
        <v>17</v>
      </c>
      <c r="LI52" s="438">
        <v>194</v>
      </c>
      <c r="LJ52" s="497">
        <v>8.7628865979381437E-2</v>
      </c>
      <c r="LK52" s="497">
        <v>5.5430223402076761E-2</v>
      </c>
      <c r="LL52" s="497">
        <v>0.1358414091781816</v>
      </c>
      <c r="LM52" s="438">
        <v>42</v>
      </c>
      <c r="LN52" s="438">
        <v>194</v>
      </c>
      <c r="LO52" s="497">
        <v>0.21649484536082475</v>
      </c>
      <c r="LP52" s="497">
        <v>0.16434649562909701</v>
      </c>
      <c r="LQ52" s="104">
        <v>0.27965275176983062</v>
      </c>
      <c r="LR52" s="3">
        <v>116</v>
      </c>
      <c r="LS52" s="3">
        <v>111</v>
      </c>
      <c r="LT52" s="3">
        <v>112</v>
      </c>
      <c r="LU52" s="3">
        <v>113</v>
      </c>
      <c r="LV52" s="3">
        <v>113</v>
      </c>
      <c r="LW52" s="3">
        <v>103</v>
      </c>
      <c r="LX52" s="3">
        <v>98</v>
      </c>
      <c r="LY52" s="3">
        <v>97</v>
      </c>
      <c r="LZ52" s="3">
        <v>98</v>
      </c>
      <c r="MA52" s="3">
        <v>97</v>
      </c>
      <c r="MB52" s="3">
        <v>98</v>
      </c>
      <c r="MC52" s="3">
        <v>96</v>
      </c>
      <c r="MD52" s="3">
        <v>98</v>
      </c>
      <c r="ME52" s="3">
        <v>116</v>
      </c>
      <c r="MF52" s="3">
        <v>106</v>
      </c>
      <c r="MG52" s="3">
        <v>109</v>
      </c>
      <c r="MH52" s="3">
        <v>100</v>
      </c>
      <c r="MI52" s="3">
        <v>108</v>
      </c>
      <c r="MJ52" s="3">
        <v>109</v>
      </c>
      <c r="MK52" s="3">
        <v>98</v>
      </c>
      <c r="ML52" s="3">
        <v>106</v>
      </c>
      <c r="MM52" s="3">
        <v>102</v>
      </c>
      <c r="MN52" s="8">
        <v>112</v>
      </c>
      <c r="MO52" s="3">
        <v>344</v>
      </c>
      <c r="MP52" s="24">
        <v>0.94499999999999995</v>
      </c>
      <c r="MQ52" s="24">
        <v>6.0000000000000001E-3</v>
      </c>
      <c r="MR52" s="24">
        <v>0.95099999999999996</v>
      </c>
      <c r="MS52" s="3">
        <v>325</v>
      </c>
      <c r="MT52" s="3">
        <v>2</v>
      </c>
      <c r="MU52" s="3">
        <v>327</v>
      </c>
      <c r="MV52" s="3">
        <v>399</v>
      </c>
      <c r="MW52" s="24">
        <v>0.97499999999999998</v>
      </c>
      <c r="MX52" s="24">
        <v>0.87</v>
      </c>
      <c r="MY52" s="24">
        <v>0.98199999999999998</v>
      </c>
      <c r="MZ52" s="24">
        <v>0.877</v>
      </c>
      <c r="NA52" s="24">
        <v>0.87</v>
      </c>
      <c r="NB52" s="3">
        <v>389</v>
      </c>
      <c r="NC52" s="3">
        <v>347</v>
      </c>
      <c r="ND52" s="3">
        <v>392</v>
      </c>
      <c r="NE52" s="3">
        <v>350</v>
      </c>
      <c r="NF52" s="3">
        <v>347</v>
      </c>
      <c r="NG52" s="3">
        <v>379</v>
      </c>
      <c r="NH52" s="24">
        <v>0.96599999999999997</v>
      </c>
      <c r="NI52" s="24">
        <v>0.93100000000000005</v>
      </c>
      <c r="NJ52" s="24">
        <v>0.96599999999999997</v>
      </c>
      <c r="NK52" s="24">
        <v>0.96599999999999997</v>
      </c>
      <c r="NL52" s="24">
        <v>0.96299999999999997</v>
      </c>
      <c r="NM52" s="24">
        <v>0.86799999999999999</v>
      </c>
      <c r="NN52" s="24">
        <v>0.93100000000000005</v>
      </c>
      <c r="NO52" s="24">
        <v>0.91800000000000004</v>
      </c>
      <c r="NP52" s="24">
        <v>0.96299999999999997</v>
      </c>
      <c r="NQ52" s="24">
        <v>0.90800000000000003</v>
      </c>
      <c r="NR52" s="3">
        <v>366</v>
      </c>
      <c r="NS52" s="3">
        <v>353</v>
      </c>
      <c r="NT52" s="3">
        <v>366</v>
      </c>
      <c r="NU52" s="3">
        <v>366</v>
      </c>
      <c r="NV52" s="3">
        <v>365</v>
      </c>
      <c r="NW52" s="3">
        <v>329</v>
      </c>
      <c r="NX52" s="3">
        <v>353</v>
      </c>
      <c r="NY52" s="3">
        <v>348</v>
      </c>
      <c r="NZ52" s="3">
        <v>365</v>
      </c>
      <c r="OA52" s="8">
        <v>344</v>
      </c>
    </row>
    <row r="53" spans="1:391" s="3" customFormat="1" ht="12.75" x14ac:dyDescent="0.2">
      <c r="A53" s="11" t="s">
        <v>118</v>
      </c>
      <c r="B53" s="8">
        <v>5</v>
      </c>
      <c r="C53" s="11" t="s">
        <v>287</v>
      </c>
      <c r="D53" s="11" t="s">
        <v>287</v>
      </c>
      <c r="E53" s="11" t="s">
        <v>287</v>
      </c>
      <c r="F53" s="11" t="s">
        <v>287</v>
      </c>
      <c r="G53" s="11" t="s">
        <v>287</v>
      </c>
      <c r="H53" s="11" t="s">
        <v>77</v>
      </c>
      <c r="I53" s="11" t="s">
        <v>83</v>
      </c>
      <c r="J53" s="11" t="s">
        <v>269</v>
      </c>
      <c r="K53" s="11" t="s">
        <v>287</v>
      </c>
      <c r="L53" s="11" t="s">
        <v>287</v>
      </c>
      <c r="M53" s="11" t="s">
        <v>287</v>
      </c>
      <c r="N53" s="11" t="s">
        <v>404</v>
      </c>
      <c r="O53" s="128" t="s">
        <v>287</v>
      </c>
      <c r="P53" s="128" t="s">
        <v>287</v>
      </c>
      <c r="Q53" s="128" t="s">
        <v>287</v>
      </c>
      <c r="R53" s="128" t="s">
        <v>287</v>
      </c>
      <c r="S53" s="128" t="s">
        <v>287</v>
      </c>
      <c r="T53" s="38">
        <v>50310</v>
      </c>
      <c r="U53" s="39">
        <v>50585</v>
      </c>
      <c r="V53" s="39">
        <v>50940</v>
      </c>
      <c r="W53" s="39">
        <v>51220</v>
      </c>
      <c r="X53" s="39">
        <v>51400</v>
      </c>
      <c r="Y53" s="39">
        <v>51500</v>
      </c>
      <c r="Z53" s="39">
        <v>51425</v>
      </c>
      <c r="AA53" s="39">
        <v>51845</v>
      </c>
      <c r="AB53" s="39">
        <v>52350</v>
      </c>
      <c r="AC53" s="44">
        <v>53255</v>
      </c>
      <c r="AD53" s="38">
        <v>2010</v>
      </c>
      <c r="AE53" s="39">
        <v>2020</v>
      </c>
      <c r="AF53" s="39">
        <v>2100</v>
      </c>
      <c r="AG53" s="39">
        <v>2150</v>
      </c>
      <c r="AH53" s="39">
        <v>2280</v>
      </c>
      <c r="AI53" s="39">
        <v>2360</v>
      </c>
      <c r="AJ53" s="39">
        <v>2420</v>
      </c>
      <c r="AK53" s="39">
        <v>2530</v>
      </c>
      <c r="AL53" s="39">
        <v>2610</v>
      </c>
      <c r="AM53" s="44">
        <v>2646</v>
      </c>
      <c r="AN53" s="15">
        <v>2369</v>
      </c>
      <c r="AO53" s="3">
        <v>2020</v>
      </c>
      <c r="AP53" s="3">
        <v>216</v>
      </c>
      <c r="AQ53" s="3">
        <v>74</v>
      </c>
      <c r="AR53" s="3">
        <v>51</v>
      </c>
      <c r="AS53" s="3">
        <v>4</v>
      </c>
      <c r="AT53" s="3">
        <v>4</v>
      </c>
      <c r="AU53" s="11">
        <v>349</v>
      </c>
      <c r="AV53" s="18">
        <v>0.85268045588856056</v>
      </c>
      <c r="AW53" s="19">
        <v>9.1177712114816373E-2</v>
      </c>
      <c r="AX53" s="19">
        <v>3.1236808780075981E-2</v>
      </c>
      <c r="AY53" s="19">
        <v>2.1528070915998312E-2</v>
      </c>
      <c r="AZ53" s="19">
        <v>1.6884761502743773E-3</v>
      </c>
      <c r="BA53" s="19">
        <v>1.6884761502743773E-3</v>
      </c>
      <c r="BB53" s="20">
        <v>0.14731954411143944</v>
      </c>
      <c r="BC53" s="15">
        <v>5649</v>
      </c>
      <c r="BD53" s="3">
        <v>5391</v>
      </c>
      <c r="BE53" s="3">
        <v>258</v>
      </c>
      <c r="BF53" s="3">
        <v>186</v>
      </c>
      <c r="BG53" s="3">
        <v>72</v>
      </c>
      <c r="BH53" s="19">
        <v>0.72093023255813948</v>
      </c>
      <c r="BI53" s="20">
        <v>0.27906976744186046</v>
      </c>
      <c r="BJ53" s="38">
        <v>4444</v>
      </c>
      <c r="BK53" s="19">
        <v>0.59428442844284424</v>
      </c>
      <c r="BL53" s="19">
        <v>9.045904590459046E-2</v>
      </c>
      <c r="BM53" s="20">
        <v>0.31525652565256523</v>
      </c>
      <c r="BN53" s="38">
        <v>14865</v>
      </c>
      <c r="BO53" s="39">
        <v>840</v>
      </c>
      <c r="BP53" s="39">
        <v>724</v>
      </c>
      <c r="BQ53" s="39">
        <v>320</v>
      </c>
      <c r="BR53" s="39">
        <v>8245</v>
      </c>
      <c r="BS53" s="39">
        <v>4839</v>
      </c>
      <c r="BT53" s="20">
        <v>0.12771233725976441</v>
      </c>
      <c r="BU53" s="38">
        <v>2596</v>
      </c>
      <c r="BV53" s="39">
        <v>2</v>
      </c>
      <c r="BW53" s="39">
        <v>722</v>
      </c>
      <c r="BX53" s="39">
        <v>1139</v>
      </c>
      <c r="BY53" s="39">
        <v>416</v>
      </c>
      <c r="BZ53" s="40">
        <v>4875</v>
      </c>
      <c r="CA53" s="39">
        <v>1905</v>
      </c>
      <c r="CB53" s="39">
        <v>1534</v>
      </c>
      <c r="CC53" s="39">
        <v>366</v>
      </c>
      <c r="CD53" s="39">
        <v>371</v>
      </c>
      <c r="CE53" s="19">
        <v>0.1921259842519685</v>
      </c>
      <c r="CF53" s="104">
        <v>0.19475065616797901</v>
      </c>
      <c r="CG53" s="39">
        <v>365</v>
      </c>
      <c r="CH53" s="39">
        <v>320</v>
      </c>
      <c r="CI53" s="39">
        <v>290</v>
      </c>
      <c r="CJ53" s="39">
        <v>285</v>
      </c>
      <c r="CK53" s="44">
        <v>260</v>
      </c>
      <c r="CL53" s="38">
        <v>1132</v>
      </c>
      <c r="CM53" s="39">
        <v>388</v>
      </c>
      <c r="CN53" s="19">
        <v>0.34275618374558303</v>
      </c>
      <c r="CO53" s="40">
        <v>110</v>
      </c>
      <c r="CP53" s="122">
        <v>458</v>
      </c>
      <c r="CQ53" s="122">
        <v>484</v>
      </c>
      <c r="CR53" s="122">
        <v>514</v>
      </c>
      <c r="CS53" s="122">
        <v>520</v>
      </c>
      <c r="CT53" s="122">
        <v>493</v>
      </c>
      <c r="CU53" s="120" t="s">
        <v>474</v>
      </c>
      <c r="CV53" s="39">
        <v>45</v>
      </c>
      <c r="CW53" s="39">
        <v>28</v>
      </c>
      <c r="CX53" s="39">
        <v>31</v>
      </c>
      <c r="CY53" s="39">
        <v>27</v>
      </c>
      <c r="CZ53" s="39">
        <v>27</v>
      </c>
      <c r="DA53" s="135" t="s">
        <v>474</v>
      </c>
      <c r="DB53" s="15">
        <v>56</v>
      </c>
      <c r="DC53" s="15">
        <v>35</v>
      </c>
      <c r="DD53" s="19">
        <v>7.099391480730223E-2</v>
      </c>
      <c r="DE53" s="19">
        <v>5.1486753100632228E-2</v>
      </c>
      <c r="DF53" s="20">
        <v>9.7135020525032298E-2</v>
      </c>
      <c r="DG53" s="15">
        <v>55</v>
      </c>
      <c r="DH53" s="20">
        <v>2.3245984784446321E-2</v>
      </c>
      <c r="DI53" s="470" t="s">
        <v>287</v>
      </c>
      <c r="DJ53" s="471" t="s">
        <v>287</v>
      </c>
      <c r="DK53" s="3">
        <v>1060</v>
      </c>
      <c r="DL53" s="20">
        <v>4.5515050023616298E-2</v>
      </c>
      <c r="DM53" s="15">
        <v>415</v>
      </c>
      <c r="DN53" s="3">
        <v>415</v>
      </c>
      <c r="DO53" s="3">
        <v>450</v>
      </c>
      <c r="DP53" s="3">
        <v>445</v>
      </c>
      <c r="DQ53" s="11">
        <v>455</v>
      </c>
      <c r="DR53" s="15">
        <v>385</v>
      </c>
      <c r="DS53" s="19">
        <v>0.17701149425287357</v>
      </c>
      <c r="DT53" s="19">
        <v>0.16154454685896755</v>
      </c>
      <c r="DU53" s="19">
        <v>0.19361734694836738</v>
      </c>
      <c r="DV53" s="3">
        <v>415</v>
      </c>
      <c r="DW53" s="19">
        <v>0.18201754385964913</v>
      </c>
      <c r="DX53" s="19">
        <v>0.16671835915350897</v>
      </c>
      <c r="DY53" s="19">
        <v>0.19838643198696901</v>
      </c>
      <c r="DZ53" s="3">
        <v>410</v>
      </c>
      <c r="EA53" s="19">
        <v>0.17672413793103448</v>
      </c>
      <c r="EB53" s="19">
        <v>0.16174098352270064</v>
      </c>
      <c r="EC53" s="19">
        <v>0.19277608376414351</v>
      </c>
      <c r="ED53" s="3">
        <v>460</v>
      </c>
      <c r="EE53" s="19">
        <v>0.19287211740041929</v>
      </c>
      <c r="EF53" s="19">
        <v>0.17753633680780323</v>
      </c>
      <c r="EG53" s="19">
        <v>0.20919567314181034</v>
      </c>
      <c r="EH53" s="3">
        <v>455</v>
      </c>
      <c r="EI53" s="20">
        <v>0.182</v>
      </c>
      <c r="EJ53" s="20">
        <v>0.16736679034710714</v>
      </c>
      <c r="EK53" s="20">
        <v>0.19760897742818651</v>
      </c>
      <c r="EL53" s="438">
        <v>465</v>
      </c>
      <c r="EM53" s="20">
        <v>0.1875</v>
      </c>
      <c r="EN53" s="20">
        <v>0.17262604928993175</v>
      </c>
      <c r="EO53" s="104">
        <v>0.20334056303325321</v>
      </c>
      <c r="EP53" s="38">
        <v>1085</v>
      </c>
      <c r="EQ53" s="20">
        <v>0.15100904662491302</v>
      </c>
      <c r="ER53" s="44">
        <v>1150</v>
      </c>
      <c r="ES53" s="20">
        <v>0.15710382513661203</v>
      </c>
      <c r="ET53" s="44">
        <v>1135</v>
      </c>
      <c r="EU53" s="20">
        <v>0.15558601782042494</v>
      </c>
      <c r="EV53" s="44">
        <v>1105</v>
      </c>
      <c r="EW53" s="20">
        <v>0.15251897860593513</v>
      </c>
      <c r="EX53" s="44">
        <v>1040</v>
      </c>
      <c r="EY53" s="20">
        <v>0.14044564483457123</v>
      </c>
      <c r="EZ53" s="44">
        <v>1060</v>
      </c>
      <c r="FA53" s="104">
        <v>0.1403973509933775</v>
      </c>
      <c r="FB53" s="3">
        <v>518</v>
      </c>
      <c r="FC53" s="3">
        <v>13</v>
      </c>
      <c r="FD53" s="3">
        <v>505</v>
      </c>
      <c r="FE53" s="19">
        <v>0.97490347490347495</v>
      </c>
      <c r="FF53" s="3">
        <v>191</v>
      </c>
      <c r="FG53" s="3">
        <v>230</v>
      </c>
      <c r="FH53" s="19">
        <v>0.37821782178217822</v>
      </c>
      <c r="FI53" s="19">
        <v>0.45544554455445546</v>
      </c>
      <c r="FJ53" s="19">
        <v>0.33699179169590276</v>
      </c>
      <c r="FK53" s="19">
        <v>0.42128262193959698</v>
      </c>
      <c r="FL53" s="19">
        <v>0.41250971705250833</v>
      </c>
      <c r="FM53" s="104">
        <v>0.49905409281413793</v>
      </c>
      <c r="FN53" s="438">
        <v>453</v>
      </c>
      <c r="FO53" s="438">
        <v>157</v>
      </c>
      <c r="FP53" s="438">
        <v>57</v>
      </c>
      <c r="FQ53" s="438">
        <v>214</v>
      </c>
      <c r="FR53" s="497">
        <v>0.34657836644591611</v>
      </c>
      <c r="FS53" s="497">
        <v>0.47240618101545256</v>
      </c>
      <c r="FT53" s="497">
        <v>0.30421158605897991</v>
      </c>
      <c r="FU53" s="497">
        <v>0.39152531059041951</v>
      </c>
      <c r="FV53" s="497">
        <v>0.42685791907610826</v>
      </c>
      <c r="FW53" s="104">
        <v>0.51841850118457511</v>
      </c>
      <c r="FX53" s="438">
        <v>536</v>
      </c>
      <c r="FY53" s="438">
        <v>43</v>
      </c>
      <c r="FZ53" s="438">
        <v>493</v>
      </c>
      <c r="GA53" s="497">
        <v>0.91977611940298509</v>
      </c>
      <c r="GB53" s="438">
        <v>160</v>
      </c>
      <c r="GC53" s="438">
        <v>62</v>
      </c>
      <c r="GD53" s="438">
        <v>222</v>
      </c>
      <c r="GE53" s="497">
        <v>0.32454361054766734</v>
      </c>
      <c r="GF53" s="497">
        <v>0.45030425963488846</v>
      </c>
      <c r="GG53" s="497">
        <v>0.28470846889516388</v>
      </c>
      <c r="GH53" s="497">
        <v>0.36709192551911496</v>
      </c>
      <c r="GI53" s="497">
        <v>0.40693929266571011</v>
      </c>
      <c r="GJ53" s="104">
        <v>0.49443769765972151</v>
      </c>
      <c r="GK53" s="3">
        <v>418</v>
      </c>
      <c r="GL53" s="3">
        <v>43</v>
      </c>
      <c r="GM53" s="19">
        <v>0.10287081339712918</v>
      </c>
      <c r="GN53" s="19">
        <v>7.7272611972378502E-2</v>
      </c>
      <c r="GO53" s="19">
        <v>0.13570185258560061</v>
      </c>
      <c r="GP53" s="353" t="s">
        <v>725</v>
      </c>
      <c r="GQ53" s="3">
        <v>407</v>
      </c>
      <c r="GR53" s="3">
        <v>39</v>
      </c>
      <c r="GS53" s="19">
        <v>9.5823095823095825E-2</v>
      </c>
      <c r="GT53" s="19">
        <v>7.0889963666718708E-2</v>
      </c>
      <c r="GU53" s="19">
        <v>0.12831451549080627</v>
      </c>
      <c r="GV53" s="3" t="s">
        <v>725</v>
      </c>
      <c r="GW53" s="3">
        <v>399</v>
      </c>
      <c r="GX53" s="3">
        <v>52</v>
      </c>
      <c r="GY53" s="19">
        <v>0.13032581453634084</v>
      </c>
      <c r="GZ53" s="19">
        <v>0.10078687188272777</v>
      </c>
      <c r="HA53" s="19">
        <v>0.16691511474098436</v>
      </c>
      <c r="HB53" s="3" t="s">
        <v>727</v>
      </c>
      <c r="HC53" s="3">
        <v>488</v>
      </c>
      <c r="HD53" s="3">
        <v>46</v>
      </c>
      <c r="HE53" s="19">
        <v>9.4262295081967207E-2</v>
      </c>
      <c r="HF53" s="19">
        <v>7.1414590127644742E-2</v>
      </c>
      <c r="HG53" s="19">
        <v>0.12344791505948735</v>
      </c>
      <c r="HH53" s="3" t="s">
        <v>725</v>
      </c>
      <c r="HI53" s="3">
        <v>375</v>
      </c>
      <c r="HJ53" s="3">
        <v>42</v>
      </c>
      <c r="HK53" s="19">
        <v>0.112</v>
      </c>
      <c r="HL53" s="19">
        <v>8.3934882006370781E-2</v>
      </c>
      <c r="HM53" s="19">
        <v>0.14793377116094145</v>
      </c>
      <c r="HN53" s="11" t="s">
        <v>725</v>
      </c>
      <c r="HO53" s="11">
        <v>438</v>
      </c>
      <c r="HP53" s="11">
        <v>50</v>
      </c>
      <c r="HQ53" s="497">
        <v>0.11415525114155251</v>
      </c>
      <c r="HR53" s="497">
        <v>8.7669548108059256E-2</v>
      </c>
      <c r="HS53" s="497">
        <v>0.14735017841976425</v>
      </c>
      <c r="HT53" s="8" t="str">
        <f t="shared" si="0"/>
        <v>No Sig diff</v>
      </c>
      <c r="HU53" s="3">
        <v>380</v>
      </c>
      <c r="HV53" s="3">
        <v>64</v>
      </c>
      <c r="HW53" s="19">
        <v>0.16842105263157894</v>
      </c>
      <c r="HX53" s="19">
        <v>0.13415388023217073</v>
      </c>
      <c r="HY53" s="19">
        <v>0.20932506345921909</v>
      </c>
      <c r="HZ53" s="3" t="s">
        <v>725</v>
      </c>
      <c r="IA53" s="3">
        <v>354</v>
      </c>
      <c r="IB53" s="3">
        <v>68</v>
      </c>
      <c r="IC53" s="19">
        <v>0.19209039548022599</v>
      </c>
      <c r="ID53" s="19">
        <v>0.15444559487597212</v>
      </c>
      <c r="IE53" s="19">
        <v>0.23634606822968654</v>
      </c>
      <c r="IF53" s="3" t="s">
        <v>725</v>
      </c>
      <c r="IG53" s="3">
        <v>355</v>
      </c>
      <c r="IH53" s="3">
        <v>56</v>
      </c>
      <c r="II53" s="19">
        <v>0.15774647887323945</v>
      </c>
      <c r="IJ53" s="19">
        <v>0.12351920142870179</v>
      </c>
      <c r="IK53" s="19">
        <v>0.1993015205731497</v>
      </c>
      <c r="IL53" s="3" t="s">
        <v>725</v>
      </c>
      <c r="IM53" s="3">
        <v>353</v>
      </c>
      <c r="IN53" s="3">
        <v>59</v>
      </c>
      <c r="IO53" s="19">
        <v>0.16713881019830029</v>
      </c>
      <c r="IP53" s="19">
        <v>0.13184553567129084</v>
      </c>
      <c r="IQ53" s="19">
        <v>0.20959869904112546</v>
      </c>
      <c r="IR53" s="3" t="s">
        <v>725</v>
      </c>
      <c r="IS53" s="3">
        <v>389</v>
      </c>
      <c r="IT53" s="3">
        <v>63</v>
      </c>
      <c r="IU53" s="19">
        <v>0.16195372750642673</v>
      </c>
      <c r="IV53" s="19">
        <v>0.1286788818533241</v>
      </c>
      <c r="IW53" s="19">
        <v>0.20183984499001062</v>
      </c>
      <c r="IX53" s="11" t="s">
        <v>725</v>
      </c>
      <c r="IY53" s="11">
        <v>389</v>
      </c>
      <c r="IZ53" s="11">
        <v>70</v>
      </c>
      <c r="JA53" s="497">
        <v>0.17994858611825193</v>
      </c>
      <c r="JB53" s="497">
        <v>0.14496262112313407</v>
      </c>
      <c r="JC53" s="497">
        <v>0.22119389212397753</v>
      </c>
      <c r="JD53" s="8" t="str">
        <f t="shared" si="1"/>
        <v>Sig better than Eng.</v>
      </c>
      <c r="JE53" s="3">
        <v>504</v>
      </c>
      <c r="JF53" s="3">
        <v>185</v>
      </c>
      <c r="JG53" s="19">
        <v>0.36706349206349204</v>
      </c>
      <c r="JH53" s="19">
        <v>0.32613570900553129</v>
      </c>
      <c r="JI53" s="19">
        <v>0.41000241506339791</v>
      </c>
      <c r="JJ53" s="3">
        <v>504</v>
      </c>
      <c r="JK53" s="3">
        <v>32</v>
      </c>
      <c r="JL53" s="3">
        <v>100</v>
      </c>
      <c r="JM53" s="383">
        <v>21.43</v>
      </c>
      <c r="JN53" s="19">
        <v>0.33031250000000001</v>
      </c>
      <c r="JO53" s="3">
        <v>506</v>
      </c>
      <c r="JP53" s="3">
        <v>262</v>
      </c>
      <c r="JQ53" s="19">
        <v>0.51778656126482214</v>
      </c>
      <c r="JR53" s="19">
        <v>0.47427873046250862</v>
      </c>
      <c r="JS53" s="19">
        <v>0.56102636230424185</v>
      </c>
      <c r="JT53" s="3">
        <v>506</v>
      </c>
      <c r="JU53" s="3">
        <v>34</v>
      </c>
      <c r="JV53" s="3">
        <v>100</v>
      </c>
      <c r="JW53" s="383">
        <v>23.280000000000005</v>
      </c>
      <c r="JX53" s="20">
        <v>0.31529411764705867</v>
      </c>
      <c r="JY53" s="44">
        <v>490</v>
      </c>
      <c r="JZ53" s="44">
        <v>263</v>
      </c>
      <c r="KA53" s="20">
        <v>0.53673469387755102</v>
      </c>
      <c r="KB53" s="20">
        <v>0.49246864265596685</v>
      </c>
      <c r="KC53" s="20">
        <v>0.58042924665038853</v>
      </c>
      <c r="KD53" s="438">
        <v>34</v>
      </c>
      <c r="KE53" s="438">
        <v>98</v>
      </c>
      <c r="KF53" s="384">
        <v>22.4</v>
      </c>
      <c r="KG53" s="104">
        <v>0.34100000000000003</v>
      </c>
      <c r="KH53" s="19"/>
      <c r="KI53" s="19"/>
      <c r="KJ53" s="19"/>
      <c r="KK53" s="19"/>
      <c r="KL53" s="19"/>
      <c r="KM53" s="19"/>
      <c r="KN53" s="19"/>
      <c r="KO53" s="19"/>
      <c r="KP53" s="19"/>
      <c r="KQ53" s="19"/>
      <c r="KR53" s="19"/>
      <c r="KS53" s="19"/>
      <c r="KT53" s="19"/>
      <c r="KU53" s="19"/>
      <c r="KV53" s="19"/>
      <c r="KW53" s="104"/>
      <c r="KX53" s="438">
        <v>38</v>
      </c>
      <c r="KY53" s="438">
        <v>264</v>
      </c>
      <c r="KZ53" s="497">
        <v>0.14393939393939395</v>
      </c>
      <c r="LA53" s="497">
        <v>0.10669818641725223</v>
      </c>
      <c r="LB53" s="497">
        <v>0.19139404759400222</v>
      </c>
      <c r="LC53" s="438">
        <v>31</v>
      </c>
      <c r="LD53" s="438">
        <v>264</v>
      </c>
      <c r="LE53" s="497">
        <v>0.11742424242424243</v>
      </c>
      <c r="LF53" s="497">
        <v>8.3969226836461588E-2</v>
      </c>
      <c r="LG53" s="497">
        <v>0.16185327992031182</v>
      </c>
      <c r="LH53" s="438">
        <v>30</v>
      </c>
      <c r="LI53" s="438">
        <v>259</v>
      </c>
      <c r="LJ53" s="497">
        <v>0.11583011583011583</v>
      </c>
      <c r="LK53" s="497">
        <v>8.2351197399546855E-2</v>
      </c>
      <c r="LL53" s="497">
        <v>0.16053841030212723</v>
      </c>
      <c r="LM53" s="438">
        <v>61</v>
      </c>
      <c r="LN53" s="438">
        <v>261</v>
      </c>
      <c r="LO53" s="497">
        <v>0.23371647509578544</v>
      </c>
      <c r="LP53" s="497">
        <v>0.18646507431800577</v>
      </c>
      <c r="LQ53" s="104">
        <v>0.28869262712741894</v>
      </c>
      <c r="LR53" s="3">
        <v>112</v>
      </c>
      <c r="LS53" s="3">
        <v>109</v>
      </c>
      <c r="LT53" s="3">
        <v>109</v>
      </c>
      <c r="LU53" s="3">
        <v>110</v>
      </c>
      <c r="LV53" s="3">
        <v>110</v>
      </c>
      <c r="LW53" s="3">
        <v>134</v>
      </c>
      <c r="LX53" s="3">
        <v>128</v>
      </c>
      <c r="LY53" s="3">
        <v>132</v>
      </c>
      <c r="LZ53" s="3">
        <v>128</v>
      </c>
      <c r="MA53" s="3">
        <v>131</v>
      </c>
      <c r="MB53" s="3">
        <v>133</v>
      </c>
      <c r="MC53" s="3">
        <v>128</v>
      </c>
      <c r="MD53" s="3">
        <v>132</v>
      </c>
      <c r="ME53" s="3">
        <v>152</v>
      </c>
      <c r="MF53" s="3">
        <v>146</v>
      </c>
      <c r="MG53" s="3">
        <v>140</v>
      </c>
      <c r="MH53" s="3">
        <v>138</v>
      </c>
      <c r="MI53" s="3">
        <v>141</v>
      </c>
      <c r="MJ53" s="3">
        <v>141</v>
      </c>
      <c r="MK53" s="3">
        <v>138</v>
      </c>
      <c r="ML53" s="3">
        <v>146</v>
      </c>
      <c r="MM53" s="3">
        <v>137</v>
      </c>
      <c r="MN53" s="8">
        <v>144</v>
      </c>
      <c r="MO53" s="3">
        <v>521</v>
      </c>
      <c r="MP53" s="24">
        <v>0.97099999999999997</v>
      </c>
      <c r="MQ53" s="24">
        <v>2E-3</v>
      </c>
      <c r="MR53" s="24">
        <v>0.96899999999999997</v>
      </c>
      <c r="MS53" s="3">
        <v>506</v>
      </c>
      <c r="MT53" s="3">
        <v>1</v>
      </c>
      <c r="MU53" s="3">
        <v>505</v>
      </c>
      <c r="MV53" s="3">
        <v>550</v>
      </c>
      <c r="MW53" s="24">
        <v>0.97599999999999998</v>
      </c>
      <c r="MX53" s="24">
        <v>0.94</v>
      </c>
      <c r="MY53" s="24">
        <v>0.97499999999999998</v>
      </c>
      <c r="MZ53" s="24">
        <v>0.93600000000000005</v>
      </c>
      <c r="NA53" s="24">
        <v>0.93300000000000005</v>
      </c>
      <c r="NB53" s="3">
        <v>537</v>
      </c>
      <c r="NC53" s="3">
        <v>517</v>
      </c>
      <c r="ND53" s="3">
        <v>536</v>
      </c>
      <c r="NE53" s="3">
        <v>515</v>
      </c>
      <c r="NF53" s="3">
        <v>513</v>
      </c>
      <c r="NG53" s="3">
        <v>562</v>
      </c>
      <c r="NH53" s="24">
        <v>0.95</v>
      </c>
      <c r="NI53" s="24">
        <v>0.91100000000000003</v>
      </c>
      <c r="NJ53" s="24">
        <v>0.95</v>
      </c>
      <c r="NK53" s="24">
        <v>0.95</v>
      </c>
      <c r="NL53" s="24">
        <v>0.93600000000000005</v>
      </c>
      <c r="NM53" s="24">
        <v>0.80400000000000005</v>
      </c>
      <c r="NN53" s="24">
        <v>0.93200000000000005</v>
      </c>
      <c r="NO53" s="24">
        <v>0.90400000000000003</v>
      </c>
      <c r="NP53" s="24">
        <v>0.93400000000000005</v>
      </c>
      <c r="NQ53" s="24">
        <v>0.88400000000000001</v>
      </c>
      <c r="NR53" s="3">
        <v>534</v>
      </c>
      <c r="NS53" s="3">
        <v>512</v>
      </c>
      <c r="NT53" s="3">
        <v>534</v>
      </c>
      <c r="NU53" s="3">
        <v>534</v>
      </c>
      <c r="NV53" s="3">
        <v>526</v>
      </c>
      <c r="NW53" s="3">
        <v>452</v>
      </c>
      <c r="NX53" s="3">
        <v>524</v>
      </c>
      <c r="NY53" s="3">
        <v>508</v>
      </c>
      <c r="NZ53" s="3">
        <v>525</v>
      </c>
      <c r="OA53" s="8">
        <v>497</v>
      </c>
    </row>
    <row r="54" spans="1:391" s="3" customFormat="1" ht="12.75" x14ac:dyDescent="0.2">
      <c r="A54" s="11" t="s">
        <v>119</v>
      </c>
      <c r="B54" s="8">
        <v>6</v>
      </c>
      <c r="C54" s="11" t="s">
        <v>287</v>
      </c>
      <c r="D54" s="11" t="s">
        <v>287</v>
      </c>
      <c r="E54" s="11" t="s">
        <v>287</v>
      </c>
      <c r="F54" s="11" t="s">
        <v>287</v>
      </c>
      <c r="G54" s="11" t="s">
        <v>287</v>
      </c>
      <c r="H54" s="11" t="s">
        <v>78</v>
      </c>
      <c r="I54" s="11" t="s">
        <v>44</v>
      </c>
      <c r="J54" s="11" t="s">
        <v>269</v>
      </c>
      <c r="K54" s="11" t="s">
        <v>287</v>
      </c>
      <c r="L54" s="11" t="s">
        <v>287</v>
      </c>
      <c r="M54" s="11" t="s">
        <v>287</v>
      </c>
      <c r="N54" s="11" t="s">
        <v>44</v>
      </c>
      <c r="O54" s="128" t="s">
        <v>287</v>
      </c>
      <c r="P54" s="128" t="s">
        <v>287</v>
      </c>
      <c r="Q54" s="128" t="s">
        <v>287</v>
      </c>
      <c r="R54" s="128" t="s">
        <v>287</v>
      </c>
      <c r="S54" s="128" t="s">
        <v>287</v>
      </c>
      <c r="T54" s="38">
        <v>41665</v>
      </c>
      <c r="U54" s="39">
        <v>42175</v>
      </c>
      <c r="V54" s="39">
        <v>42615</v>
      </c>
      <c r="W54" s="39">
        <v>43230</v>
      </c>
      <c r="X54" s="39">
        <v>43680</v>
      </c>
      <c r="Y54" s="39">
        <v>44220</v>
      </c>
      <c r="Z54" s="39">
        <v>44815</v>
      </c>
      <c r="AA54" s="39">
        <v>45235</v>
      </c>
      <c r="AB54" s="39">
        <v>45765</v>
      </c>
      <c r="AC54" s="44">
        <v>46240</v>
      </c>
      <c r="AD54" s="38">
        <v>1985</v>
      </c>
      <c r="AE54" s="39">
        <v>2015</v>
      </c>
      <c r="AF54" s="39">
        <v>2075</v>
      </c>
      <c r="AG54" s="39">
        <v>2120</v>
      </c>
      <c r="AH54" s="39">
        <v>2235</v>
      </c>
      <c r="AI54" s="39">
        <v>2285</v>
      </c>
      <c r="AJ54" s="39">
        <v>2295</v>
      </c>
      <c r="AK54" s="39">
        <v>2425</v>
      </c>
      <c r="AL54" s="39">
        <v>2420</v>
      </c>
      <c r="AM54" s="44">
        <v>2475</v>
      </c>
      <c r="AN54" s="15">
        <v>2279</v>
      </c>
      <c r="AO54" s="3">
        <v>1983</v>
      </c>
      <c r="AP54" s="3">
        <v>101</v>
      </c>
      <c r="AQ54" s="3">
        <v>71</v>
      </c>
      <c r="AR54" s="3">
        <v>94</v>
      </c>
      <c r="AS54" s="3">
        <v>17</v>
      </c>
      <c r="AT54" s="3">
        <v>13</v>
      </c>
      <c r="AU54" s="11">
        <v>296</v>
      </c>
      <c r="AV54" s="18">
        <v>0.87011847301448009</v>
      </c>
      <c r="AW54" s="19">
        <v>4.4317683194383499E-2</v>
      </c>
      <c r="AX54" s="19">
        <v>3.1154014918824045E-2</v>
      </c>
      <c r="AY54" s="19">
        <v>4.1246160596752963E-2</v>
      </c>
      <c r="AZ54" s="19">
        <v>7.4594120228170246E-3</v>
      </c>
      <c r="BA54" s="19">
        <v>5.7042562527424307E-3</v>
      </c>
      <c r="BB54" s="20">
        <v>0.12988152698551991</v>
      </c>
      <c r="BC54" s="15">
        <v>5759</v>
      </c>
      <c r="BD54" s="3">
        <v>5641</v>
      </c>
      <c r="BE54" s="3">
        <v>118</v>
      </c>
      <c r="BF54" s="3">
        <v>98</v>
      </c>
      <c r="BG54" s="3">
        <v>20</v>
      </c>
      <c r="BH54" s="19">
        <v>0.83050847457627119</v>
      </c>
      <c r="BI54" s="20">
        <v>0.16949152542372881</v>
      </c>
      <c r="BJ54" s="38">
        <v>4345</v>
      </c>
      <c r="BK54" s="19">
        <v>0.48745684695051783</v>
      </c>
      <c r="BL54" s="19">
        <v>0.2948216340621404</v>
      </c>
      <c r="BM54" s="20">
        <v>0.21772151898734177</v>
      </c>
      <c r="BN54" s="38">
        <v>12293</v>
      </c>
      <c r="BO54" s="39">
        <v>731</v>
      </c>
      <c r="BP54" s="39">
        <v>698</v>
      </c>
      <c r="BQ54" s="39">
        <v>351</v>
      </c>
      <c r="BR54" s="39">
        <v>8125</v>
      </c>
      <c r="BS54" s="39">
        <v>4595</v>
      </c>
      <c r="BT54" s="20">
        <v>0.14907508161044614</v>
      </c>
      <c r="BU54" s="38">
        <v>2595</v>
      </c>
      <c r="BV54" s="39">
        <v>1</v>
      </c>
      <c r="BW54" s="39">
        <v>630</v>
      </c>
      <c r="BX54" s="39">
        <v>1053</v>
      </c>
      <c r="BY54" s="39">
        <v>346</v>
      </c>
      <c r="BZ54" s="40">
        <v>4625</v>
      </c>
      <c r="CA54" s="39">
        <v>1794</v>
      </c>
      <c r="CB54" s="39">
        <v>1462</v>
      </c>
      <c r="CC54" s="39">
        <v>328</v>
      </c>
      <c r="CD54" s="39">
        <v>332</v>
      </c>
      <c r="CE54" s="19">
        <v>0.18283166109253066</v>
      </c>
      <c r="CF54" s="104">
        <v>0.18506131549609811</v>
      </c>
      <c r="CG54" s="39">
        <v>320</v>
      </c>
      <c r="CH54" s="39">
        <v>325</v>
      </c>
      <c r="CI54" s="39">
        <v>260</v>
      </c>
      <c r="CJ54" s="39">
        <v>260</v>
      </c>
      <c r="CK54" s="44">
        <v>265</v>
      </c>
      <c r="CL54" s="38">
        <v>1052</v>
      </c>
      <c r="CM54" s="39">
        <v>358</v>
      </c>
      <c r="CN54" s="19">
        <v>0.34030418250950573</v>
      </c>
      <c r="CO54" s="40">
        <v>70</v>
      </c>
      <c r="CP54" s="122">
        <v>505</v>
      </c>
      <c r="CQ54" s="122">
        <v>459</v>
      </c>
      <c r="CR54" s="122">
        <v>510</v>
      </c>
      <c r="CS54" s="122">
        <v>480</v>
      </c>
      <c r="CT54" s="122">
        <v>430</v>
      </c>
      <c r="CU54" s="120" t="s">
        <v>474</v>
      </c>
      <c r="CV54" s="39">
        <v>35</v>
      </c>
      <c r="CW54" s="39">
        <v>26</v>
      </c>
      <c r="CX54" s="39">
        <v>29</v>
      </c>
      <c r="CY54" s="39">
        <v>23</v>
      </c>
      <c r="CZ54" s="39">
        <v>23</v>
      </c>
      <c r="DA54" s="135" t="s">
        <v>474</v>
      </c>
      <c r="DB54" s="15">
        <v>50</v>
      </c>
      <c r="DC54" s="15">
        <v>24</v>
      </c>
      <c r="DD54" s="19">
        <v>5.5813953488372092E-2</v>
      </c>
      <c r="DE54" s="19">
        <v>3.779043272891823E-2</v>
      </c>
      <c r="DF54" s="20">
        <v>8.1703584651564756E-2</v>
      </c>
      <c r="DG54" s="15">
        <v>44</v>
      </c>
      <c r="DH54" s="20">
        <v>1.9332161687170474E-2</v>
      </c>
      <c r="DI54" s="470" t="s">
        <v>287</v>
      </c>
      <c r="DJ54" s="471" t="s">
        <v>287</v>
      </c>
      <c r="DK54" s="3">
        <v>715</v>
      </c>
      <c r="DL54" s="20">
        <v>3.5893574297188757E-2</v>
      </c>
      <c r="DM54" s="15">
        <v>435</v>
      </c>
      <c r="DN54" s="3">
        <v>435</v>
      </c>
      <c r="DO54" s="3">
        <v>465</v>
      </c>
      <c r="DP54" s="3">
        <v>395</v>
      </c>
      <c r="DQ54" s="11">
        <v>385</v>
      </c>
      <c r="DR54" s="15">
        <v>375</v>
      </c>
      <c r="DS54" s="19">
        <v>0.18518518518518517</v>
      </c>
      <c r="DT54" s="19">
        <v>0.16886803557841171</v>
      </c>
      <c r="DU54" s="19">
        <v>0.20269449117460528</v>
      </c>
      <c r="DV54" s="3">
        <v>435</v>
      </c>
      <c r="DW54" s="19">
        <v>0.20046082949308755</v>
      </c>
      <c r="DX54" s="19">
        <v>0.18415242557767594</v>
      </c>
      <c r="DY54" s="19">
        <v>0.21782788226627869</v>
      </c>
      <c r="DZ54" s="3">
        <v>410</v>
      </c>
      <c r="EA54" s="19">
        <v>0.18385650224215247</v>
      </c>
      <c r="EB54" s="19">
        <v>0.16832729947897285</v>
      </c>
      <c r="EC54" s="19">
        <v>0.20047302677856851</v>
      </c>
      <c r="ED54" s="3">
        <v>415</v>
      </c>
      <c r="EE54" s="19">
        <v>0.18082788671023964</v>
      </c>
      <c r="EF54" s="19">
        <v>0.16561911473038332</v>
      </c>
      <c r="EG54" s="19">
        <v>0.19710335820102745</v>
      </c>
      <c r="EH54" s="3">
        <v>415</v>
      </c>
      <c r="EI54" s="20">
        <v>0.17584745762711865</v>
      </c>
      <c r="EJ54" s="20">
        <v>0.16101864662953547</v>
      </c>
      <c r="EK54" s="20">
        <v>0.19172982375083109</v>
      </c>
      <c r="EL54" s="438">
        <v>395</v>
      </c>
      <c r="EM54" s="20">
        <v>0.18287037037037038</v>
      </c>
      <c r="EN54" s="20">
        <v>0.16713621319806085</v>
      </c>
      <c r="EO54" s="104">
        <v>0.1997305253906998</v>
      </c>
      <c r="EP54" s="38">
        <v>1140</v>
      </c>
      <c r="EQ54" s="20">
        <v>0.16593886462882096</v>
      </c>
      <c r="ER54" s="44">
        <v>1175</v>
      </c>
      <c r="ES54" s="20">
        <v>0.16690340909090909</v>
      </c>
      <c r="ET54" s="44">
        <v>1105</v>
      </c>
      <c r="EU54" s="20">
        <v>0.15541490857946555</v>
      </c>
      <c r="EV54" s="44">
        <v>1085</v>
      </c>
      <c r="EW54" s="20">
        <v>0.1523876404494382</v>
      </c>
      <c r="EX54" s="44">
        <v>1050</v>
      </c>
      <c r="EY54" s="20">
        <v>0.14553014553014554</v>
      </c>
      <c r="EZ54" s="44">
        <v>1015</v>
      </c>
      <c r="FA54" s="104">
        <v>0.14285714285714285</v>
      </c>
      <c r="FB54" s="3">
        <v>452</v>
      </c>
      <c r="FC54" s="3">
        <v>40</v>
      </c>
      <c r="FD54" s="3">
        <v>412</v>
      </c>
      <c r="FE54" s="19">
        <v>0.91150442477876104</v>
      </c>
      <c r="FF54" s="3">
        <v>190</v>
      </c>
      <c r="FG54" s="3">
        <v>243</v>
      </c>
      <c r="FH54" s="19">
        <v>0.46116504854368934</v>
      </c>
      <c r="FI54" s="19">
        <v>0.58980582524271841</v>
      </c>
      <c r="FJ54" s="19">
        <v>0.41361089945461155</v>
      </c>
      <c r="FK54" s="19">
        <v>0.50943669639898514</v>
      </c>
      <c r="FL54" s="19">
        <v>0.54169372818176698</v>
      </c>
      <c r="FM54" s="104">
        <v>0.63625870640679072</v>
      </c>
      <c r="FN54" s="438">
        <v>405</v>
      </c>
      <c r="FO54" s="438">
        <v>172</v>
      </c>
      <c r="FP54" s="438">
        <v>52</v>
      </c>
      <c r="FQ54" s="438">
        <v>224</v>
      </c>
      <c r="FR54" s="497">
        <v>0.42469135802469138</v>
      </c>
      <c r="FS54" s="497">
        <v>0.55308641975308637</v>
      </c>
      <c r="FT54" s="497">
        <v>0.3774802425370406</v>
      </c>
      <c r="FU54" s="497">
        <v>0.47331766779241841</v>
      </c>
      <c r="FV54" s="497">
        <v>0.50439260225315674</v>
      </c>
      <c r="FW54" s="104">
        <v>0.6007826412850934</v>
      </c>
      <c r="FX54" s="438">
        <v>483</v>
      </c>
      <c r="FY54" s="438">
        <v>47</v>
      </c>
      <c r="FZ54" s="438">
        <v>436</v>
      </c>
      <c r="GA54" s="497">
        <v>0.90269151138716353</v>
      </c>
      <c r="GB54" s="438">
        <v>188</v>
      </c>
      <c r="GC54" s="438">
        <v>60</v>
      </c>
      <c r="GD54" s="438">
        <v>248</v>
      </c>
      <c r="GE54" s="497">
        <v>0.43119266055045874</v>
      </c>
      <c r="GF54" s="497">
        <v>0.56880733944954132</v>
      </c>
      <c r="GG54" s="497">
        <v>0.38550704714213102</v>
      </c>
      <c r="GH54" s="497">
        <v>0.47808016412059895</v>
      </c>
      <c r="GI54" s="497">
        <v>0.52191983587940105</v>
      </c>
      <c r="GJ54" s="104">
        <v>0.61449295285786898</v>
      </c>
      <c r="GK54" s="3">
        <v>349</v>
      </c>
      <c r="GL54" s="3">
        <v>35</v>
      </c>
      <c r="GM54" s="19">
        <v>0.10028653295128939</v>
      </c>
      <c r="GN54" s="19">
        <v>7.2995265798449754E-2</v>
      </c>
      <c r="GO54" s="19">
        <v>0.13628132847563371</v>
      </c>
      <c r="GP54" s="353" t="s">
        <v>725</v>
      </c>
      <c r="GQ54" s="3">
        <v>373</v>
      </c>
      <c r="GR54" s="3">
        <v>29</v>
      </c>
      <c r="GS54" s="19">
        <v>7.7747989276139406E-2</v>
      </c>
      <c r="GT54" s="19">
        <v>5.4676117732342343E-2</v>
      </c>
      <c r="GU54" s="19">
        <v>0.10942859360760356</v>
      </c>
      <c r="GV54" s="3" t="s">
        <v>725</v>
      </c>
      <c r="GW54" s="3">
        <v>388</v>
      </c>
      <c r="GX54" s="3">
        <v>26</v>
      </c>
      <c r="GY54" s="19">
        <v>6.7010309278350513E-2</v>
      </c>
      <c r="GZ54" s="19">
        <v>4.6136659976996015E-2</v>
      </c>
      <c r="HA54" s="19">
        <v>9.637367823161877E-2</v>
      </c>
      <c r="HB54" s="3" t="s">
        <v>725</v>
      </c>
      <c r="HC54" s="3">
        <v>383</v>
      </c>
      <c r="HD54" s="3">
        <v>29</v>
      </c>
      <c r="HE54" s="19">
        <v>7.5718015665796348E-2</v>
      </c>
      <c r="HF54" s="19">
        <v>5.3234401388678944E-2</v>
      </c>
      <c r="HG54" s="19">
        <v>0.10662814025621341</v>
      </c>
      <c r="HH54" s="3" t="s">
        <v>725</v>
      </c>
      <c r="HI54" s="3">
        <v>260</v>
      </c>
      <c r="HJ54" s="3">
        <v>26</v>
      </c>
      <c r="HK54" s="19">
        <v>0.1</v>
      </c>
      <c r="HL54" s="19">
        <v>6.9159290185869832E-2</v>
      </c>
      <c r="HM54" s="19">
        <v>0.1424884890156688</v>
      </c>
      <c r="HN54" s="11" t="s">
        <v>725</v>
      </c>
      <c r="HO54" s="11">
        <v>326</v>
      </c>
      <c r="HP54" s="11">
        <v>22</v>
      </c>
      <c r="HQ54" s="497">
        <v>6.7484662576687116E-2</v>
      </c>
      <c r="HR54" s="497">
        <v>4.4984906086232485E-2</v>
      </c>
      <c r="HS54" s="497">
        <v>0.1000588946286477</v>
      </c>
      <c r="HT54" s="8" t="str">
        <f t="shared" si="0"/>
        <v>No Sig diff</v>
      </c>
      <c r="HU54" s="3">
        <v>333</v>
      </c>
      <c r="HV54" s="3">
        <v>54</v>
      </c>
      <c r="HW54" s="19">
        <v>0.16216216216216217</v>
      </c>
      <c r="HX54" s="19">
        <v>0.12646370828997461</v>
      </c>
      <c r="HY54" s="19">
        <v>0.20556625979132698</v>
      </c>
      <c r="HZ54" s="3" t="s">
        <v>725</v>
      </c>
      <c r="IA54" s="3">
        <v>324</v>
      </c>
      <c r="IB54" s="3">
        <v>51</v>
      </c>
      <c r="IC54" s="19">
        <v>0.15740740740740741</v>
      </c>
      <c r="ID54" s="19">
        <v>0.12179595147916422</v>
      </c>
      <c r="IE54" s="19">
        <v>0.20104747168465792</v>
      </c>
      <c r="IF54" s="3" t="s">
        <v>725</v>
      </c>
      <c r="IG54" s="3">
        <v>333</v>
      </c>
      <c r="IH54" s="3">
        <v>57</v>
      </c>
      <c r="II54" s="19">
        <v>0.17117117117117117</v>
      </c>
      <c r="IJ54" s="19">
        <v>0.13452302236020316</v>
      </c>
      <c r="IK54" s="19">
        <v>0.21531947990559702</v>
      </c>
      <c r="IL54" s="3" t="s">
        <v>725</v>
      </c>
      <c r="IM54" s="3">
        <v>320</v>
      </c>
      <c r="IN54" s="3">
        <v>39</v>
      </c>
      <c r="IO54" s="19">
        <v>0.121875</v>
      </c>
      <c r="IP54" s="19">
        <v>9.0449037019305387E-2</v>
      </c>
      <c r="IQ54" s="19">
        <v>0.16227172059687262</v>
      </c>
      <c r="IR54" s="3" t="s">
        <v>726</v>
      </c>
      <c r="IS54" s="3">
        <v>330</v>
      </c>
      <c r="IT54" s="3">
        <v>53</v>
      </c>
      <c r="IU54" s="19">
        <v>0.16060606060606061</v>
      </c>
      <c r="IV54" s="19">
        <v>0.12493226911303648</v>
      </c>
      <c r="IW54" s="19">
        <v>0.20409055270398013</v>
      </c>
      <c r="IX54" s="11" t="s">
        <v>725</v>
      </c>
      <c r="IY54" s="11">
        <v>345</v>
      </c>
      <c r="IZ54" s="11">
        <v>46</v>
      </c>
      <c r="JA54" s="497">
        <v>0.13333333333333333</v>
      </c>
      <c r="JB54" s="497">
        <v>0.10147112968434463</v>
      </c>
      <c r="JC54" s="497">
        <v>0.17327103870555713</v>
      </c>
      <c r="JD54" s="8" t="str">
        <f t="shared" si="1"/>
        <v>Sig better than Eng.</v>
      </c>
      <c r="JE54" s="3">
        <v>457</v>
      </c>
      <c r="JF54" s="3">
        <v>224</v>
      </c>
      <c r="JG54" s="19">
        <v>0.49015317286652077</v>
      </c>
      <c r="JH54" s="19">
        <v>0.44459387098320663</v>
      </c>
      <c r="JI54" s="19">
        <v>0.53587663611259317</v>
      </c>
      <c r="JJ54" s="3">
        <v>457</v>
      </c>
      <c r="JK54" s="3">
        <v>34</v>
      </c>
      <c r="JL54" s="3">
        <v>91</v>
      </c>
      <c r="JM54" s="383">
        <v>20.461538461538463</v>
      </c>
      <c r="JN54" s="19">
        <v>0.3981900452488687</v>
      </c>
      <c r="JO54" s="3">
        <v>460</v>
      </c>
      <c r="JP54" s="3">
        <v>240</v>
      </c>
      <c r="JQ54" s="19">
        <v>0.52173913043478259</v>
      </c>
      <c r="JR54" s="19">
        <v>0.47609946596788244</v>
      </c>
      <c r="JS54" s="19">
        <v>0.5670187150822753</v>
      </c>
      <c r="JT54" s="3">
        <v>460</v>
      </c>
      <c r="JU54" s="3">
        <v>34</v>
      </c>
      <c r="JV54" s="3">
        <v>91</v>
      </c>
      <c r="JW54" s="383">
        <v>21.736263736263741</v>
      </c>
      <c r="JX54" s="20">
        <v>0.36069812540400764</v>
      </c>
      <c r="JY54" s="44">
        <v>448</v>
      </c>
      <c r="JZ54" s="44">
        <v>272</v>
      </c>
      <c r="KA54" s="20">
        <v>0.6071428571428571</v>
      </c>
      <c r="KB54" s="20">
        <v>0.56119109334165673</v>
      </c>
      <c r="KC54" s="20">
        <v>0.65127280992777759</v>
      </c>
      <c r="KD54" s="438">
        <v>34</v>
      </c>
      <c r="KE54" s="438">
        <v>89</v>
      </c>
      <c r="KF54" s="384">
        <v>24.8</v>
      </c>
      <c r="KG54" s="104">
        <v>0.27100000000000002</v>
      </c>
      <c r="KH54" s="19"/>
      <c r="KI54" s="19"/>
      <c r="KJ54" s="19"/>
      <c r="KK54" s="19"/>
      <c r="KL54" s="19"/>
      <c r="KM54" s="19"/>
      <c r="KN54" s="19"/>
      <c r="KO54" s="19"/>
      <c r="KP54" s="19"/>
      <c r="KQ54" s="19"/>
      <c r="KR54" s="19"/>
      <c r="KS54" s="19"/>
      <c r="KT54" s="19"/>
      <c r="KU54" s="19"/>
      <c r="KV54" s="19"/>
      <c r="KW54" s="104"/>
      <c r="KX54" s="438">
        <v>19</v>
      </c>
      <c r="KY54" s="438">
        <v>208</v>
      </c>
      <c r="KZ54" s="497">
        <v>9.1346153846153841E-2</v>
      </c>
      <c r="LA54" s="497">
        <v>5.9259151913276166E-2</v>
      </c>
      <c r="LB54" s="497">
        <v>0.13825392722440752</v>
      </c>
      <c r="LC54" s="438">
        <v>17</v>
      </c>
      <c r="LD54" s="438">
        <v>208</v>
      </c>
      <c r="LE54" s="497">
        <v>8.1730769230769232E-2</v>
      </c>
      <c r="LF54" s="497">
        <v>5.165287981199955E-2</v>
      </c>
      <c r="LG54" s="497">
        <v>0.12697815412892377</v>
      </c>
      <c r="LH54" s="438">
        <v>17</v>
      </c>
      <c r="LI54" s="438">
        <v>208</v>
      </c>
      <c r="LJ54" s="497">
        <v>8.1730769230769232E-2</v>
      </c>
      <c r="LK54" s="497">
        <v>5.165287981199955E-2</v>
      </c>
      <c r="LL54" s="497">
        <v>0.12697815412892377</v>
      </c>
      <c r="LM54" s="438">
        <v>34</v>
      </c>
      <c r="LN54" s="438">
        <v>202</v>
      </c>
      <c r="LO54" s="497">
        <v>0.16831683168316833</v>
      </c>
      <c r="LP54" s="497">
        <v>0.12302114483529501</v>
      </c>
      <c r="LQ54" s="104">
        <v>0.22599240779053587</v>
      </c>
      <c r="LR54" s="3">
        <v>117</v>
      </c>
      <c r="LS54" s="3">
        <v>111</v>
      </c>
      <c r="LT54" s="3">
        <v>111</v>
      </c>
      <c r="LU54" s="3">
        <v>116</v>
      </c>
      <c r="LV54" s="3">
        <v>110</v>
      </c>
      <c r="LW54" s="3">
        <v>108</v>
      </c>
      <c r="LX54" s="3">
        <v>104</v>
      </c>
      <c r="LY54" s="3">
        <v>105</v>
      </c>
      <c r="LZ54" s="3">
        <v>103</v>
      </c>
      <c r="MA54" s="3">
        <v>105</v>
      </c>
      <c r="MB54" s="3">
        <v>107</v>
      </c>
      <c r="MC54" s="3">
        <v>103</v>
      </c>
      <c r="MD54" s="3">
        <v>106</v>
      </c>
      <c r="ME54" s="3">
        <v>134</v>
      </c>
      <c r="MF54" s="3">
        <v>125</v>
      </c>
      <c r="MG54" s="3">
        <v>123</v>
      </c>
      <c r="MH54" s="3">
        <v>120</v>
      </c>
      <c r="MI54" s="3">
        <v>122</v>
      </c>
      <c r="MJ54" s="3">
        <v>125</v>
      </c>
      <c r="MK54" s="3">
        <v>118</v>
      </c>
      <c r="ML54" s="3">
        <v>124</v>
      </c>
      <c r="MM54" s="3">
        <v>120</v>
      </c>
      <c r="MN54" s="8">
        <v>126</v>
      </c>
      <c r="MO54" s="3">
        <v>476</v>
      </c>
      <c r="MP54" s="24">
        <v>0.96599999999999997</v>
      </c>
      <c r="MQ54" s="24">
        <v>4.0000000000000001E-3</v>
      </c>
      <c r="MR54" s="24">
        <v>0.96199999999999997</v>
      </c>
      <c r="MS54" s="3">
        <v>460</v>
      </c>
      <c r="MT54" s="3">
        <v>2</v>
      </c>
      <c r="MU54" s="3">
        <v>458</v>
      </c>
      <c r="MV54" s="3">
        <v>514</v>
      </c>
      <c r="MW54" s="24">
        <v>0.95299999999999996</v>
      </c>
      <c r="MX54" s="24">
        <v>0.93200000000000005</v>
      </c>
      <c r="MY54" s="24">
        <v>0.94699999999999995</v>
      </c>
      <c r="MZ54" s="24">
        <v>0.93799999999999994</v>
      </c>
      <c r="NA54" s="24">
        <v>0.93799999999999994</v>
      </c>
      <c r="NB54" s="3">
        <v>490</v>
      </c>
      <c r="NC54" s="3">
        <v>479</v>
      </c>
      <c r="ND54" s="3">
        <v>487</v>
      </c>
      <c r="NE54" s="3">
        <v>482</v>
      </c>
      <c r="NF54" s="3">
        <v>482</v>
      </c>
      <c r="NG54" s="3">
        <v>529</v>
      </c>
      <c r="NH54" s="24">
        <v>0.94299999999999995</v>
      </c>
      <c r="NI54" s="24">
        <v>0.89800000000000002</v>
      </c>
      <c r="NJ54" s="24">
        <v>0.94299999999999995</v>
      </c>
      <c r="NK54" s="24">
        <v>0.93799999999999994</v>
      </c>
      <c r="NL54" s="24">
        <v>0.94099999999999995</v>
      </c>
      <c r="NM54" s="24">
        <v>0.90200000000000002</v>
      </c>
      <c r="NN54" s="24">
        <v>0.94</v>
      </c>
      <c r="NO54" s="24">
        <v>0.89400000000000002</v>
      </c>
      <c r="NP54" s="24">
        <v>0.94899999999999995</v>
      </c>
      <c r="NQ54" s="24">
        <v>0.88300000000000001</v>
      </c>
      <c r="NR54" s="3">
        <v>499</v>
      </c>
      <c r="NS54" s="3">
        <v>475</v>
      </c>
      <c r="NT54" s="3">
        <v>499</v>
      </c>
      <c r="NU54" s="3">
        <v>496</v>
      </c>
      <c r="NV54" s="3">
        <v>498</v>
      </c>
      <c r="NW54" s="3">
        <v>477</v>
      </c>
      <c r="NX54" s="3">
        <v>497</v>
      </c>
      <c r="NY54" s="3">
        <v>473</v>
      </c>
      <c r="NZ54" s="3">
        <v>502</v>
      </c>
      <c r="OA54" s="8">
        <v>467</v>
      </c>
    </row>
    <row r="55" spans="1:391" s="3" customFormat="1" ht="12.75" x14ac:dyDescent="0.2">
      <c r="A55" s="11" t="s">
        <v>120</v>
      </c>
      <c r="B55" s="8">
        <v>7</v>
      </c>
      <c r="C55" s="11" t="s">
        <v>287</v>
      </c>
      <c r="D55" s="11" t="s">
        <v>287</v>
      </c>
      <c r="E55" s="11" t="s">
        <v>287</v>
      </c>
      <c r="F55" s="11" t="s">
        <v>287</v>
      </c>
      <c r="G55" s="11" t="s">
        <v>287</v>
      </c>
      <c r="H55" s="11" t="s">
        <v>267</v>
      </c>
      <c r="I55" s="11" t="s">
        <v>44</v>
      </c>
      <c r="J55" s="11" t="s">
        <v>269</v>
      </c>
      <c r="K55" s="11" t="s">
        <v>287</v>
      </c>
      <c r="L55" s="11" t="s">
        <v>287</v>
      </c>
      <c r="M55" s="11" t="s">
        <v>287</v>
      </c>
      <c r="N55" s="11" t="s">
        <v>44</v>
      </c>
      <c r="O55" s="128" t="s">
        <v>287</v>
      </c>
      <c r="P55" s="128" t="s">
        <v>287</v>
      </c>
      <c r="Q55" s="128" t="s">
        <v>287</v>
      </c>
      <c r="R55" s="128" t="s">
        <v>287</v>
      </c>
      <c r="S55" s="128" t="s">
        <v>287</v>
      </c>
      <c r="T55" s="38">
        <v>61645</v>
      </c>
      <c r="U55" s="39">
        <v>61960</v>
      </c>
      <c r="V55" s="39">
        <v>62350</v>
      </c>
      <c r="W55" s="39">
        <v>62935</v>
      </c>
      <c r="X55" s="39">
        <v>63140</v>
      </c>
      <c r="Y55" s="39">
        <v>63375</v>
      </c>
      <c r="Z55" s="39">
        <v>63320</v>
      </c>
      <c r="AA55" s="39">
        <v>63385</v>
      </c>
      <c r="AB55" s="39">
        <v>63620</v>
      </c>
      <c r="AC55" s="44">
        <v>63395</v>
      </c>
      <c r="AD55" s="38">
        <v>2765</v>
      </c>
      <c r="AE55" s="39">
        <v>2830</v>
      </c>
      <c r="AF55" s="39">
        <v>2925</v>
      </c>
      <c r="AG55" s="39">
        <v>3055</v>
      </c>
      <c r="AH55" s="39">
        <v>3055</v>
      </c>
      <c r="AI55" s="39">
        <v>3060</v>
      </c>
      <c r="AJ55" s="39">
        <v>3050</v>
      </c>
      <c r="AK55" s="39">
        <v>3110</v>
      </c>
      <c r="AL55" s="39">
        <v>3085</v>
      </c>
      <c r="AM55" s="44">
        <v>2999</v>
      </c>
      <c r="AN55" s="15">
        <v>3067</v>
      </c>
      <c r="AO55" s="3">
        <v>2855</v>
      </c>
      <c r="AP55" s="3">
        <v>77</v>
      </c>
      <c r="AQ55" s="3">
        <v>73</v>
      </c>
      <c r="AR55" s="3">
        <v>22</v>
      </c>
      <c r="AS55" s="3">
        <v>32</v>
      </c>
      <c r="AT55" s="3">
        <v>8</v>
      </c>
      <c r="AU55" s="11">
        <v>212</v>
      </c>
      <c r="AV55" s="18">
        <v>0.9308770785784154</v>
      </c>
      <c r="AW55" s="19">
        <v>2.5105966742745355E-2</v>
      </c>
      <c r="AX55" s="19">
        <v>2.3801760678187154E-2</v>
      </c>
      <c r="AY55" s="19">
        <v>7.1731333550701009E-3</v>
      </c>
      <c r="AZ55" s="19">
        <v>1.0433648516465601E-2</v>
      </c>
      <c r="BA55" s="19">
        <v>2.6084121291164004E-3</v>
      </c>
      <c r="BB55" s="20">
        <v>6.9122921421584604E-2</v>
      </c>
      <c r="BC55" s="15">
        <v>8572</v>
      </c>
      <c r="BD55" s="3">
        <v>8484</v>
      </c>
      <c r="BE55" s="3">
        <v>88</v>
      </c>
      <c r="BF55" s="3">
        <v>79</v>
      </c>
      <c r="BG55" s="3">
        <v>9</v>
      </c>
      <c r="BH55" s="19">
        <v>0.89772727272727271</v>
      </c>
      <c r="BI55" s="20">
        <v>0.10227272727272728</v>
      </c>
      <c r="BJ55" s="38">
        <v>6199</v>
      </c>
      <c r="BK55" s="19">
        <v>0.61300209711243747</v>
      </c>
      <c r="BL55" s="19">
        <v>0.14841103403774802</v>
      </c>
      <c r="BM55" s="20">
        <v>0.23858686884981448</v>
      </c>
      <c r="BN55" s="38">
        <v>18791</v>
      </c>
      <c r="BO55" s="39">
        <v>824</v>
      </c>
      <c r="BP55" s="39">
        <v>1010</v>
      </c>
      <c r="BQ55" s="39">
        <v>497</v>
      </c>
      <c r="BR55" s="39">
        <v>11616</v>
      </c>
      <c r="BS55" s="39">
        <v>6482</v>
      </c>
      <c r="BT55" s="20">
        <v>0.15442764578833693</v>
      </c>
      <c r="BU55" s="38">
        <v>4143</v>
      </c>
      <c r="BV55" s="39">
        <v>4</v>
      </c>
      <c r="BW55" s="39">
        <v>764</v>
      </c>
      <c r="BX55" s="39">
        <v>1164</v>
      </c>
      <c r="BY55" s="39">
        <v>447</v>
      </c>
      <c r="BZ55" s="40">
        <v>6522</v>
      </c>
      <c r="CA55" s="39">
        <v>2339</v>
      </c>
      <c r="CB55" s="39">
        <v>2034</v>
      </c>
      <c r="CC55" s="39">
        <v>302</v>
      </c>
      <c r="CD55" s="39">
        <v>305</v>
      </c>
      <c r="CE55" s="19">
        <v>0.129115006412997</v>
      </c>
      <c r="CF55" s="104">
        <v>0.13039760581445062</v>
      </c>
      <c r="CG55" s="39">
        <v>295</v>
      </c>
      <c r="CH55" s="39">
        <v>255</v>
      </c>
      <c r="CI55" s="39">
        <v>225</v>
      </c>
      <c r="CJ55" s="39">
        <v>235</v>
      </c>
      <c r="CK55" s="44">
        <v>215</v>
      </c>
      <c r="CL55" s="38">
        <v>1160</v>
      </c>
      <c r="CM55" s="39">
        <v>353</v>
      </c>
      <c r="CN55" s="19">
        <v>0.30431034482758623</v>
      </c>
      <c r="CO55" s="40">
        <v>110</v>
      </c>
      <c r="CP55" s="122">
        <v>545</v>
      </c>
      <c r="CQ55" s="122">
        <v>537</v>
      </c>
      <c r="CR55" s="122">
        <v>497</v>
      </c>
      <c r="CS55" s="122">
        <v>484</v>
      </c>
      <c r="CT55" s="122">
        <v>434</v>
      </c>
      <c r="CU55" s="120" t="s">
        <v>474</v>
      </c>
      <c r="CV55" s="39">
        <v>22</v>
      </c>
      <c r="CW55" s="39">
        <v>28</v>
      </c>
      <c r="CX55" s="39">
        <v>20</v>
      </c>
      <c r="CY55" s="39">
        <v>21</v>
      </c>
      <c r="CZ55" s="39">
        <v>27</v>
      </c>
      <c r="DA55" s="135" t="s">
        <v>474</v>
      </c>
      <c r="DB55" s="15">
        <v>42</v>
      </c>
      <c r="DC55" s="15">
        <v>40</v>
      </c>
      <c r="DD55" s="19">
        <v>9.2165898617511524E-2</v>
      </c>
      <c r="DE55" s="19">
        <v>6.8414524660084824E-2</v>
      </c>
      <c r="DF55" s="20">
        <v>0.12307364333231419</v>
      </c>
      <c r="DG55" s="15">
        <v>41</v>
      </c>
      <c r="DH55" s="20">
        <v>1.3385569702905649E-2</v>
      </c>
      <c r="DI55" s="470" t="s">
        <v>287</v>
      </c>
      <c r="DJ55" s="471" t="s">
        <v>287</v>
      </c>
      <c r="DK55" s="3">
        <v>754</v>
      </c>
      <c r="DL55" s="20">
        <v>2.7377364656330561E-2</v>
      </c>
      <c r="DM55" s="15">
        <v>360</v>
      </c>
      <c r="DN55" s="3">
        <v>350</v>
      </c>
      <c r="DO55" s="3">
        <v>385</v>
      </c>
      <c r="DP55" s="3">
        <v>355</v>
      </c>
      <c r="DQ55" s="11">
        <v>350</v>
      </c>
      <c r="DR55" s="15">
        <v>325</v>
      </c>
      <c r="DS55" s="19">
        <v>0.10869565217391304</v>
      </c>
      <c r="DT55" s="19">
        <v>9.8037009957951587E-2</v>
      </c>
      <c r="DU55" s="19">
        <v>0.12035847551249454</v>
      </c>
      <c r="DV55" s="3">
        <v>350</v>
      </c>
      <c r="DW55" s="19">
        <v>0.11532125205930807</v>
      </c>
      <c r="DX55" s="19">
        <v>0.1044407030377147</v>
      </c>
      <c r="DY55" s="19">
        <v>0.12717436091295256</v>
      </c>
      <c r="DZ55" s="3">
        <v>380</v>
      </c>
      <c r="EA55" s="19">
        <v>0.12520593080724876</v>
      </c>
      <c r="EB55" s="19">
        <v>0.11390335203098219</v>
      </c>
      <c r="EC55" s="19">
        <v>0.1374560785847643</v>
      </c>
      <c r="ED55" s="3">
        <v>395</v>
      </c>
      <c r="EE55" s="19">
        <v>0.13079470198675497</v>
      </c>
      <c r="EF55" s="19">
        <v>0.11923679109235356</v>
      </c>
      <c r="EG55" s="19">
        <v>0.14329068253064989</v>
      </c>
      <c r="EH55" s="3">
        <v>340</v>
      </c>
      <c r="EI55" s="20">
        <v>0.11221122112211221</v>
      </c>
      <c r="EJ55" s="20">
        <v>0.10146035184066546</v>
      </c>
      <c r="EK55" s="20">
        <v>0.12394412894802906</v>
      </c>
      <c r="EL55" s="438">
        <v>365</v>
      </c>
      <c r="EM55" s="20">
        <v>0.13619402985074627</v>
      </c>
      <c r="EN55" s="20">
        <v>0.12372783504713415</v>
      </c>
      <c r="EO55" s="104">
        <v>0.14970167637532936</v>
      </c>
      <c r="EP55" s="38">
        <v>1130</v>
      </c>
      <c r="EQ55" s="20">
        <v>0.10896817743490839</v>
      </c>
      <c r="ER55" s="44">
        <v>1160</v>
      </c>
      <c r="ES55" s="20">
        <v>0.11207729468599034</v>
      </c>
      <c r="ET55" s="44">
        <v>1170</v>
      </c>
      <c r="EU55" s="20">
        <v>0.11359223300970873</v>
      </c>
      <c r="EV55" s="44">
        <v>1095</v>
      </c>
      <c r="EW55" s="20">
        <v>0.10595065312046444</v>
      </c>
      <c r="EX55" s="44">
        <v>1010</v>
      </c>
      <c r="EY55" s="20">
        <v>9.8344693281402148E-2</v>
      </c>
      <c r="EZ55" s="44">
        <v>1000</v>
      </c>
      <c r="FA55" s="104">
        <v>9.8863074641621349E-2</v>
      </c>
      <c r="FB55" s="3">
        <v>467</v>
      </c>
      <c r="FC55" s="3">
        <v>27</v>
      </c>
      <c r="FD55" s="3">
        <v>440</v>
      </c>
      <c r="FE55" s="19">
        <v>0.94218415417558887</v>
      </c>
      <c r="FF55" s="3">
        <v>186</v>
      </c>
      <c r="FG55" s="3">
        <v>237</v>
      </c>
      <c r="FH55" s="19">
        <v>0.42272727272727273</v>
      </c>
      <c r="FI55" s="19">
        <v>0.53863636363636369</v>
      </c>
      <c r="FJ55" s="19">
        <v>0.37743387164863429</v>
      </c>
      <c r="FK55" s="19">
        <v>0.46935826854331869</v>
      </c>
      <c r="FL55" s="19">
        <v>0.49192365034079505</v>
      </c>
      <c r="FM55" s="104">
        <v>0.58468027956322843</v>
      </c>
      <c r="FN55" s="438">
        <v>405</v>
      </c>
      <c r="FO55" s="438">
        <v>147</v>
      </c>
      <c r="FP55" s="438">
        <v>58</v>
      </c>
      <c r="FQ55" s="438">
        <v>205</v>
      </c>
      <c r="FR55" s="497">
        <v>0.36296296296296299</v>
      </c>
      <c r="FS55" s="497">
        <v>0.50617283950617287</v>
      </c>
      <c r="FT55" s="497">
        <v>0.31762223771074777</v>
      </c>
      <c r="FU55" s="497">
        <v>0.41087887780679239</v>
      </c>
      <c r="FV55" s="497">
        <v>0.45765211337699946</v>
      </c>
      <c r="FW55" s="104">
        <v>0.5545775661041924</v>
      </c>
      <c r="FX55" s="438">
        <v>396</v>
      </c>
      <c r="FY55" s="438">
        <v>18</v>
      </c>
      <c r="FZ55" s="438">
        <v>378</v>
      </c>
      <c r="GA55" s="497">
        <v>0.95454545454545459</v>
      </c>
      <c r="GB55" s="438">
        <v>130</v>
      </c>
      <c r="GC55" s="438">
        <v>51</v>
      </c>
      <c r="GD55" s="438">
        <v>181</v>
      </c>
      <c r="GE55" s="497">
        <v>0.3439153439153439</v>
      </c>
      <c r="GF55" s="497">
        <v>0.47883597883597884</v>
      </c>
      <c r="GG55" s="497">
        <v>0.29781529635110932</v>
      </c>
      <c r="GH55" s="497">
        <v>0.39315592410138051</v>
      </c>
      <c r="GI55" s="497">
        <v>0.4289427418908715</v>
      </c>
      <c r="GJ55" s="104">
        <v>0.52915505071285596</v>
      </c>
      <c r="GK55" s="3">
        <v>514</v>
      </c>
      <c r="GL55" s="3">
        <v>53</v>
      </c>
      <c r="GM55" s="19">
        <v>0.10311284046692606</v>
      </c>
      <c r="GN55" s="19">
        <v>7.96997006668584E-2</v>
      </c>
      <c r="GO55" s="19">
        <v>0.13241436812717267</v>
      </c>
      <c r="GP55" s="353" t="s">
        <v>725</v>
      </c>
      <c r="GQ55" s="3">
        <v>492</v>
      </c>
      <c r="GR55" s="3">
        <v>42</v>
      </c>
      <c r="GS55" s="19">
        <v>8.5365853658536592E-2</v>
      </c>
      <c r="GT55" s="19">
        <v>6.3774524361247434E-2</v>
      </c>
      <c r="GU55" s="19">
        <v>0.1133818171629479</v>
      </c>
      <c r="GV55" s="3" t="s">
        <v>725</v>
      </c>
      <c r="GW55" s="3">
        <v>514</v>
      </c>
      <c r="GX55" s="3">
        <v>34</v>
      </c>
      <c r="GY55" s="19">
        <v>6.6147859922178989E-2</v>
      </c>
      <c r="GZ55" s="19">
        <v>4.7719133057398534E-2</v>
      </c>
      <c r="HA55" s="19">
        <v>9.1013402928233483E-2</v>
      </c>
      <c r="HB55" s="3" t="s">
        <v>726</v>
      </c>
      <c r="HC55" s="3">
        <v>537</v>
      </c>
      <c r="HD55" s="3">
        <v>51</v>
      </c>
      <c r="HE55" s="19">
        <v>9.4972067039106142E-2</v>
      </c>
      <c r="HF55" s="19">
        <v>7.2973712657176823E-2</v>
      </c>
      <c r="HG55" s="19">
        <v>0.12272404145265352</v>
      </c>
      <c r="HH55" s="3" t="s">
        <v>725</v>
      </c>
      <c r="HI55" s="3">
        <v>447</v>
      </c>
      <c r="HJ55" s="3">
        <v>33</v>
      </c>
      <c r="HK55" s="19">
        <v>7.3825503355704702E-2</v>
      </c>
      <c r="HL55" s="19">
        <v>5.3048021860474449E-2</v>
      </c>
      <c r="HM55" s="19">
        <v>0.10186554576789897</v>
      </c>
      <c r="HN55" s="11" t="s">
        <v>725</v>
      </c>
      <c r="HO55" s="11">
        <v>492</v>
      </c>
      <c r="HP55" s="11">
        <v>27</v>
      </c>
      <c r="HQ55" s="497">
        <v>5.4878048780487805E-2</v>
      </c>
      <c r="HR55" s="497">
        <v>3.7986458611117095E-2</v>
      </c>
      <c r="HS55" s="497">
        <v>7.8666672731033768E-2</v>
      </c>
      <c r="HT55" s="8" t="str">
        <f t="shared" si="0"/>
        <v>Sig better than Eng.</v>
      </c>
      <c r="HU55" s="3">
        <v>429</v>
      </c>
      <c r="HV55" s="3">
        <v>69</v>
      </c>
      <c r="HW55" s="19">
        <v>0.16083916083916083</v>
      </c>
      <c r="HX55" s="19">
        <v>0.12910851511118659</v>
      </c>
      <c r="HY55" s="19">
        <v>0.19858989716001957</v>
      </c>
      <c r="HZ55" s="3" t="s">
        <v>725</v>
      </c>
      <c r="IA55" s="3">
        <v>415</v>
      </c>
      <c r="IB55" s="3">
        <v>72</v>
      </c>
      <c r="IC55" s="19">
        <v>0.17349397590361446</v>
      </c>
      <c r="ID55" s="19">
        <v>0.14010007304062752</v>
      </c>
      <c r="IE55" s="19">
        <v>0.21287706355172928</v>
      </c>
      <c r="IF55" s="3" t="s">
        <v>725</v>
      </c>
      <c r="IG55" s="3">
        <v>402</v>
      </c>
      <c r="IH55" s="3">
        <v>56</v>
      </c>
      <c r="II55" s="19">
        <v>0.13930348258706468</v>
      </c>
      <c r="IJ55" s="19">
        <v>0.1088570113409154</v>
      </c>
      <c r="IK55" s="19">
        <v>0.17657824004347888</v>
      </c>
      <c r="IL55" s="3" t="s">
        <v>726</v>
      </c>
      <c r="IM55" s="3">
        <v>419</v>
      </c>
      <c r="IN55" s="3">
        <v>56</v>
      </c>
      <c r="IO55" s="19">
        <v>0.13365155131264916</v>
      </c>
      <c r="IP55" s="19">
        <v>0.10437604898695384</v>
      </c>
      <c r="IQ55" s="19">
        <v>0.16958350820447257</v>
      </c>
      <c r="IR55" s="3" t="s">
        <v>726</v>
      </c>
      <c r="IS55" s="3">
        <v>444</v>
      </c>
      <c r="IT55" s="3">
        <v>69</v>
      </c>
      <c r="IU55" s="19">
        <v>0.1554054054054054</v>
      </c>
      <c r="IV55" s="19">
        <v>0.12467738881745835</v>
      </c>
      <c r="IW55" s="19">
        <v>0.19204509416615556</v>
      </c>
      <c r="IX55" s="11" t="s">
        <v>725</v>
      </c>
      <c r="IY55" s="11">
        <v>439</v>
      </c>
      <c r="IZ55" s="11">
        <v>69</v>
      </c>
      <c r="JA55" s="497">
        <v>0.15717539863325741</v>
      </c>
      <c r="JB55" s="497">
        <v>0.12612021971833451</v>
      </c>
      <c r="JC55" s="497">
        <v>0.1941782889136803</v>
      </c>
      <c r="JD55" s="8" t="str">
        <f t="shared" si="1"/>
        <v>Sig better than Eng.</v>
      </c>
      <c r="JE55" s="3">
        <v>623</v>
      </c>
      <c r="JF55" s="3">
        <v>349</v>
      </c>
      <c r="JG55" s="19">
        <v>0.56019261637239171</v>
      </c>
      <c r="JH55" s="19">
        <v>0.5209649959575825</v>
      </c>
      <c r="JI55" s="19">
        <v>0.59868248259481094</v>
      </c>
      <c r="JJ55" s="3">
        <v>623</v>
      </c>
      <c r="JK55" s="3">
        <v>34</v>
      </c>
      <c r="JL55" s="3">
        <v>124</v>
      </c>
      <c r="JM55" s="383">
        <v>24.91935483870968</v>
      </c>
      <c r="JN55" s="19">
        <v>0.26707779886148003</v>
      </c>
      <c r="JO55" s="3">
        <v>632</v>
      </c>
      <c r="JP55" s="3">
        <v>377</v>
      </c>
      <c r="JQ55" s="19">
        <v>0.59651898734177211</v>
      </c>
      <c r="JR55" s="19">
        <v>0.55779872368700945</v>
      </c>
      <c r="JS55" s="19">
        <v>0.6340730051969099</v>
      </c>
      <c r="JT55" s="3">
        <v>632</v>
      </c>
      <c r="JU55" s="3">
        <v>34</v>
      </c>
      <c r="JV55" s="3">
        <v>126</v>
      </c>
      <c r="JW55" s="383">
        <v>24.238095238095237</v>
      </c>
      <c r="JX55" s="20">
        <v>0.28711484593837538</v>
      </c>
      <c r="JY55" s="44">
        <v>616</v>
      </c>
      <c r="JZ55" s="44">
        <v>404</v>
      </c>
      <c r="KA55" s="20">
        <v>0.6558441558441559</v>
      </c>
      <c r="KB55" s="20">
        <v>0.61746463260751738</v>
      </c>
      <c r="KC55" s="20">
        <v>0.69229199510386197</v>
      </c>
      <c r="KD55" s="438">
        <v>34</v>
      </c>
      <c r="KE55" s="438">
        <v>123</v>
      </c>
      <c r="KF55" s="384">
        <v>25.4</v>
      </c>
      <c r="KG55" s="104">
        <v>0.254</v>
      </c>
      <c r="KH55" s="19"/>
      <c r="KI55" s="19"/>
      <c r="KJ55" s="19"/>
      <c r="KK55" s="19"/>
      <c r="KL55" s="19"/>
      <c r="KM55" s="19"/>
      <c r="KN55" s="19"/>
      <c r="KO55" s="19"/>
      <c r="KP55" s="19"/>
      <c r="KQ55" s="19"/>
      <c r="KR55" s="19"/>
      <c r="KS55" s="19"/>
      <c r="KT55" s="19"/>
      <c r="KU55" s="19"/>
      <c r="KV55" s="19"/>
      <c r="KW55" s="104"/>
      <c r="KX55" s="438">
        <v>36</v>
      </c>
      <c r="KY55" s="438">
        <v>231</v>
      </c>
      <c r="KZ55" s="497">
        <v>0.15584415584415584</v>
      </c>
      <c r="LA55" s="497">
        <v>0.11474415845754758</v>
      </c>
      <c r="LB55" s="497">
        <v>0.20820332790856508</v>
      </c>
      <c r="LC55" s="438">
        <v>22</v>
      </c>
      <c r="LD55" s="438">
        <v>230</v>
      </c>
      <c r="LE55" s="497">
        <v>9.5652173913043481E-2</v>
      </c>
      <c r="LF55" s="497">
        <v>6.4017261353735644E-2</v>
      </c>
      <c r="LG55" s="497">
        <v>0.14057203201608626</v>
      </c>
      <c r="LH55" s="438">
        <v>37</v>
      </c>
      <c r="LI55" s="438">
        <v>231</v>
      </c>
      <c r="LJ55" s="497">
        <v>0.16017316017316016</v>
      </c>
      <c r="LK55" s="497">
        <v>0.11849533612252346</v>
      </c>
      <c r="LL55" s="497">
        <v>0.21296853406288341</v>
      </c>
      <c r="LM55" s="438">
        <v>54</v>
      </c>
      <c r="LN55" s="438">
        <v>224</v>
      </c>
      <c r="LO55" s="497">
        <v>0.24107142857142858</v>
      </c>
      <c r="LP55" s="497">
        <v>0.18972582048807585</v>
      </c>
      <c r="LQ55" s="104">
        <v>0.30114822587549989</v>
      </c>
      <c r="LR55" s="3">
        <v>136</v>
      </c>
      <c r="LS55" s="3">
        <v>127</v>
      </c>
      <c r="LT55" s="3">
        <v>128</v>
      </c>
      <c r="LU55" s="3">
        <v>131</v>
      </c>
      <c r="LV55" s="3">
        <v>128</v>
      </c>
      <c r="LW55" s="3">
        <v>118</v>
      </c>
      <c r="LX55" s="3">
        <v>109</v>
      </c>
      <c r="LY55" s="3">
        <v>114</v>
      </c>
      <c r="LZ55" s="3">
        <v>109</v>
      </c>
      <c r="MA55" s="3">
        <v>114</v>
      </c>
      <c r="MB55" s="3">
        <v>114</v>
      </c>
      <c r="MC55" s="3">
        <v>107</v>
      </c>
      <c r="MD55" s="3">
        <v>115</v>
      </c>
      <c r="ME55" s="3">
        <v>148</v>
      </c>
      <c r="MF55" s="3">
        <v>127</v>
      </c>
      <c r="MG55" s="3">
        <v>123</v>
      </c>
      <c r="MH55" s="3">
        <v>121</v>
      </c>
      <c r="MI55" s="3">
        <v>122</v>
      </c>
      <c r="MJ55" s="3">
        <v>124</v>
      </c>
      <c r="MK55" s="3">
        <v>116</v>
      </c>
      <c r="ML55" s="3">
        <v>132</v>
      </c>
      <c r="MM55" s="3">
        <v>122</v>
      </c>
      <c r="MN55" s="8">
        <v>128</v>
      </c>
      <c r="MO55" s="3">
        <v>372</v>
      </c>
      <c r="MP55" s="24">
        <v>0.96</v>
      </c>
      <c r="MQ55" s="24">
        <v>1.0999999999999999E-2</v>
      </c>
      <c r="MR55" s="24">
        <v>0.95699999999999996</v>
      </c>
      <c r="MS55" s="3">
        <v>357</v>
      </c>
      <c r="MT55" s="3">
        <v>4</v>
      </c>
      <c r="MU55" s="3">
        <v>356</v>
      </c>
      <c r="MV55" s="3">
        <v>401</v>
      </c>
      <c r="MW55" s="24">
        <v>0.97</v>
      </c>
      <c r="MX55" s="24">
        <v>0.92500000000000004</v>
      </c>
      <c r="MY55" s="24">
        <v>0.97299999999999998</v>
      </c>
      <c r="MZ55" s="24">
        <v>0.93300000000000005</v>
      </c>
      <c r="NA55" s="24">
        <v>0.94</v>
      </c>
      <c r="NB55" s="3">
        <v>389</v>
      </c>
      <c r="NC55" s="3">
        <v>371</v>
      </c>
      <c r="ND55" s="3">
        <v>390</v>
      </c>
      <c r="NE55" s="3">
        <v>374</v>
      </c>
      <c r="NF55" s="3">
        <v>377</v>
      </c>
      <c r="NG55" s="3">
        <v>398</v>
      </c>
      <c r="NH55" s="24">
        <v>0.94699999999999995</v>
      </c>
      <c r="NI55" s="24">
        <v>0.93500000000000005</v>
      </c>
      <c r="NJ55" s="24">
        <v>0.94699999999999995</v>
      </c>
      <c r="NK55" s="24">
        <v>0.94199999999999995</v>
      </c>
      <c r="NL55" s="24">
        <v>0.94699999999999995</v>
      </c>
      <c r="NM55" s="24">
        <v>0.90200000000000002</v>
      </c>
      <c r="NN55" s="24">
        <v>0.92700000000000005</v>
      </c>
      <c r="NO55" s="24">
        <v>0.92700000000000005</v>
      </c>
      <c r="NP55" s="24">
        <v>0.95699999999999996</v>
      </c>
      <c r="NQ55" s="24">
        <v>0.93</v>
      </c>
      <c r="NR55" s="3">
        <v>377</v>
      </c>
      <c r="NS55" s="3">
        <v>372</v>
      </c>
      <c r="NT55" s="3">
        <v>377</v>
      </c>
      <c r="NU55" s="3">
        <v>375</v>
      </c>
      <c r="NV55" s="3">
        <v>377</v>
      </c>
      <c r="NW55" s="3">
        <v>359</v>
      </c>
      <c r="NX55" s="3">
        <v>369</v>
      </c>
      <c r="NY55" s="3">
        <v>369</v>
      </c>
      <c r="NZ55" s="3">
        <v>381</v>
      </c>
      <c r="OA55" s="8">
        <v>370</v>
      </c>
    </row>
    <row r="56" spans="1:391" s="3" customFormat="1" ht="12.75" x14ac:dyDescent="0.2">
      <c r="A56" s="11" t="s">
        <v>121</v>
      </c>
      <c r="B56" s="8">
        <v>8</v>
      </c>
      <c r="C56" s="11" t="s">
        <v>287</v>
      </c>
      <c r="D56" s="11" t="s">
        <v>287</v>
      </c>
      <c r="E56" s="11" t="s">
        <v>287</v>
      </c>
      <c r="F56" s="11" t="s">
        <v>287</v>
      </c>
      <c r="G56" s="11" t="s">
        <v>287</v>
      </c>
      <c r="H56" s="11" t="s">
        <v>79</v>
      </c>
      <c r="I56" s="11" t="s">
        <v>79</v>
      </c>
      <c r="J56" s="11" t="s">
        <v>270</v>
      </c>
      <c r="K56" s="11" t="s">
        <v>287</v>
      </c>
      <c r="L56" s="11" t="s">
        <v>287</v>
      </c>
      <c r="M56" s="11" t="s">
        <v>287</v>
      </c>
      <c r="N56" s="11" t="s">
        <v>79</v>
      </c>
      <c r="O56" s="128" t="s">
        <v>287</v>
      </c>
      <c r="P56" s="128" t="s">
        <v>287</v>
      </c>
      <c r="Q56" s="128" t="s">
        <v>287</v>
      </c>
      <c r="R56" s="128" t="s">
        <v>287</v>
      </c>
      <c r="S56" s="128" t="s">
        <v>287</v>
      </c>
      <c r="T56" s="38">
        <v>99705</v>
      </c>
      <c r="U56" s="39">
        <v>100745</v>
      </c>
      <c r="V56" s="39">
        <v>101610</v>
      </c>
      <c r="W56" s="39">
        <v>102825</v>
      </c>
      <c r="X56" s="39">
        <v>103845</v>
      </c>
      <c r="Y56" s="39">
        <v>105480</v>
      </c>
      <c r="Z56" s="39">
        <v>107055</v>
      </c>
      <c r="AA56" s="39">
        <v>108300</v>
      </c>
      <c r="AB56" s="39">
        <v>108970</v>
      </c>
      <c r="AC56" s="44">
        <v>109885</v>
      </c>
      <c r="AD56" s="38">
        <v>6280</v>
      </c>
      <c r="AE56" s="39">
        <v>6370</v>
      </c>
      <c r="AF56" s="39">
        <v>6595</v>
      </c>
      <c r="AG56" s="39">
        <v>6935</v>
      </c>
      <c r="AH56" s="39">
        <v>7190</v>
      </c>
      <c r="AI56" s="39">
        <v>7740</v>
      </c>
      <c r="AJ56" s="39">
        <v>8145</v>
      </c>
      <c r="AK56" s="39">
        <v>8320</v>
      </c>
      <c r="AL56" s="39">
        <v>8355</v>
      </c>
      <c r="AM56" s="44">
        <v>8470</v>
      </c>
      <c r="AN56" s="15">
        <v>8071</v>
      </c>
      <c r="AO56" s="3">
        <v>5020</v>
      </c>
      <c r="AP56" s="3">
        <v>530</v>
      </c>
      <c r="AQ56" s="3">
        <v>622</v>
      </c>
      <c r="AR56" s="3">
        <v>1401</v>
      </c>
      <c r="AS56" s="3">
        <v>393</v>
      </c>
      <c r="AT56" s="3">
        <v>105</v>
      </c>
      <c r="AU56" s="11">
        <v>3051</v>
      </c>
      <c r="AV56" s="18">
        <v>0.62197992813777725</v>
      </c>
      <c r="AW56" s="19">
        <v>6.5667203568331056E-2</v>
      </c>
      <c r="AX56" s="19">
        <v>7.7066038904720607E-2</v>
      </c>
      <c r="AY56" s="19">
        <v>0.17358443811175814</v>
      </c>
      <c r="AZ56" s="19">
        <v>4.8692850947837936E-2</v>
      </c>
      <c r="BA56" s="19">
        <v>1.3009540329575022E-2</v>
      </c>
      <c r="BB56" s="20">
        <v>0.37802007186222275</v>
      </c>
      <c r="BC56" s="15">
        <v>17053</v>
      </c>
      <c r="BD56" s="3">
        <v>15550</v>
      </c>
      <c r="BE56" s="3">
        <v>1503</v>
      </c>
      <c r="BF56" s="3">
        <v>1270</v>
      </c>
      <c r="BG56" s="3">
        <v>233</v>
      </c>
      <c r="BH56" s="19">
        <v>0.84497671324018631</v>
      </c>
      <c r="BI56" s="20">
        <v>0.15502328675981369</v>
      </c>
      <c r="BJ56" s="38">
        <v>14546</v>
      </c>
      <c r="BK56" s="19">
        <v>0.49099408772171044</v>
      </c>
      <c r="BL56" s="19">
        <v>0.31527567716210642</v>
      </c>
      <c r="BM56" s="20">
        <v>0.19373023511618315</v>
      </c>
      <c r="BN56" s="38">
        <v>29829</v>
      </c>
      <c r="BO56" s="39">
        <v>2712</v>
      </c>
      <c r="BP56" s="39">
        <v>2241</v>
      </c>
      <c r="BQ56" s="39">
        <v>1333</v>
      </c>
      <c r="BR56" s="39">
        <v>24916</v>
      </c>
      <c r="BS56" s="39">
        <v>14021</v>
      </c>
      <c r="BT56" s="20">
        <v>0.16311247414592397</v>
      </c>
      <c r="BU56" s="38">
        <v>7410</v>
      </c>
      <c r="BV56" s="39">
        <v>6</v>
      </c>
      <c r="BW56" s="39">
        <v>1842</v>
      </c>
      <c r="BX56" s="39">
        <v>3310</v>
      </c>
      <c r="BY56" s="39">
        <v>1505</v>
      </c>
      <c r="BZ56" s="40">
        <v>14073</v>
      </c>
      <c r="CA56" s="39">
        <v>6335</v>
      </c>
      <c r="CB56" s="39">
        <v>4992</v>
      </c>
      <c r="CC56" s="39">
        <v>1317</v>
      </c>
      <c r="CD56" s="39">
        <v>1343</v>
      </c>
      <c r="CE56" s="19">
        <v>0.20789265982636149</v>
      </c>
      <c r="CF56" s="104">
        <v>0.21199684293606946</v>
      </c>
      <c r="CG56" s="39">
        <v>1190</v>
      </c>
      <c r="CH56" s="39">
        <v>1060</v>
      </c>
      <c r="CI56" s="39">
        <v>940</v>
      </c>
      <c r="CJ56" s="39">
        <v>925</v>
      </c>
      <c r="CK56" s="44">
        <v>885</v>
      </c>
      <c r="CL56" s="38">
        <v>3293</v>
      </c>
      <c r="CM56" s="39">
        <v>1363</v>
      </c>
      <c r="CN56" s="19">
        <v>0.4139082903127847</v>
      </c>
      <c r="CO56" s="40">
        <v>248</v>
      </c>
      <c r="CP56" s="122">
        <v>1551</v>
      </c>
      <c r="CQ56" s="122">
        <v>1666</v>
      </c>
      <c r="CR56" s="122">
        <v>1687</v>
      </c>
      <c r="CS56" s="122">
        <v>1617</v>
      </c>
      <c r="CT56" s="122">
        <v>1621</v>
      </c>
      <c r="CU56" s="120" t="s">
        <v>474</v>
      </c>
      <c r="CV56" s="39">
        <v>70</v>
      </c>
      <c r="CW56" s="39">
        <v>73</v>
      </c>
      <c r="CX56" s="39">
        <v>79</v>
      </c>
      <c r="CY56" s="39">
        <v>67</v>
      </c>
      <c r="CZ56" s="39">
        <v>64</v>
      </c>
      <c r="DA56" s="135" t="s">
        <v>474</v>
      </c>
      <c r="DB56" s="15">
        <v>144</v>
      </c>
      <c r="DC56" s="15">
        <v>128</v>
      </c>
      <c r="DD56" s="19">
        <v>7.8963602714373846E-2</v>
      </c>
      <c r="DE56" s="19">
        <v>6.6808520694543738E-2</v>
      </c>
      <c r="DF56" s="20">
        <v>9.3109517714746015E-2</v>
      </c>
      <c r="DG56" s="15">
        <v>158</v>
      </c>
      <c r="DH56" s="20">
        <v>1.9602977667493797E-2</v>
      </c>
      <c r="DI56" s="470" t="s">
        <v>287</v>
      </c>
      <c r="DJ56" s="471" t="s">
        <v>287</v>
      </c>
      <c r="DK56" s="3">
        <v>2084</v>
      </c>
      <c r="DL56" s="20">
        <v>4.8774779413485618E-2</v>
      </c>
      <c r="DM56" s="15">
        <v>1650</v>
      </c>
      <c r="DN56" s="3">
        <v>1650</v>
      </c>
      <c r="DO56" s="3">
        <v>1580</v>
      </c>
      <c r="DP56" s="3">
        <v>1475</v>
      </c>
      <c r="DQ56" s="11">
        <v>1395</v>
      </c>
      <c r="DR56" s="15">
        <v>1345</v>
      </c>
      <c r="DS56" s="19">
        <v>0.20014880952380953</v>
      </c>
      <c r="DT56" s="19">
        <v>0.19075500674711679</v>
      </c>
      <c r="DU56" s="19">
        <v>0.20988523370453294</v>
      </c>
      <c r="DV56" s="3">
        <v>1480</v>
      </c>
      <c r="DW56" s="19">
        <v>0.21203438395415472</v>
      </c>
      <c r="DX56" s="19">
        <v>0.20260502362203447</v>
      </c>
      <c r="DY56" s="19">
        <v>0.22178053499876138</v>
      </c>
      <c r="DZ56" s="3">
        <v>1575</v>
      </c>
      <c r="EA56" s="19">
        <v>0.21240728253540123</v>
      </c>
      <c r="EB56" s="19">
        <v>0.20324788013175979</v>
      </c>
      <c r="EC56" s="19">
        <v>0.22186451461700626</v>
      </c>
      <c r="ED56" s="3">
        <v>1605</v>
      </c>
      <c r="EE56" s="19">
        <v>0.20603337612323491</v>
      </c>
      <c r="EF56" s="19">
        <v>0.19719780402123743</v>
      </c>
      <c r="EG56" s="19">
        <v>0.21515873104574462</v>
      </c>
      <c r="EH56" s="3">
        <v>1475</v>
      </c>
      <c r="EI56" s="20">
        <v>0.1857682619647355</v>
      </c>
      <c r="EJ56" s="20">
        <v>0.17736637729794572</v>
      </c>
      <c r="EK56" s="20">
        <v>0.19447405709803575</v>
      </c>
      <c r="EL56" s="438">
        <v>1495</v>
      </c>
      <c r="EM56" s="20">
        <v>0.19315245478036175</v>
      </c>
      <c r="EN56" s="20">
        <v>0.18451078630887058</v>
      </c>
      <c r="EO56" s="104">
        <v>0.20209855670789939</v>
      </c>
      <c r="EP56" s="38">
        <v>3780</v>
      </c>
      <c r="EQ56" s="20">
        <v>0.18694362017804153</v>
      </c>
      <c r="ER56" s="44">
        <v>4080</v>
      </c>
      <c r="ES56" s="20">
        <v>0.19507530480516375</v>
      </c>
      <c r="ET56" s="44">
        <v>4160</v>
      </c>
      <c r="EU56" s="20">
        <v>0.19493908153701969</v>
      </c>
      <c r="EV56" s="44">
        <v>4170</v>
      </c>
      <c r="EW56" s="20">
        <v>0.19002050580997951</v>
      </c>
      <c r="EX56" s="44">
        <v>3895</v>
      </c>
      <c r="EY56" s="20">
        <v>0.17419499105545616</v>
      </c>
      <c r="EZ56" s="44">
        <v>3810</v>
      </c>
      <c r="FA56" s="104">
        <v>0.16821192052980133</v>
      </c>
      <c r="FB56" s="3">
        <v>1542</v>
      </c>
      <c r="FC56" s="3">
        <v>48</v>
      </c>
      <c r="FD56" s="3">
        <v>1494</v>
      </c>
      <c r="FE56" s="19">
        <v>0.9688715953307393</v>
      </c>
      <c r="FF56" s="3">
        <v>540</v>
      </c>
      <c r="FG56" s="3">
        <v>809</v>
      </c>
      <c r="FH56" s="19">
        <v>0.36144578313253012</v>
      </c>
      <c r="FI56" s="19">
        <v>0.54149933065595712</v>
      </c>
      <c r="FJ56" s="19">
        <v>0.3374688957422961</v>
      </c>
      <c r="FK56" s="19">
        <v>0.38613336031626067</v>
      </c>
      <c r="FL56" s="19">
        <v>0.51615878957366523</v>
      </c>
      <c r="FM56" s="104">
        <v>0.56662700812860278</v>
      </c>
      <c r="FN56" s="438">
        <v>1464</v>
      </c>
      <c r="FO56" s="438">
        <v>528</v>
      </c>
      <c r="FP56" s="438">
        <v>286</v>
      </c>
      <c r="FQ56" s="438">
        <v>814</v>
      </c>
      <c r="FR56" s="497">
        <v>0.36065573770491804</v>
      </c>
      <c r="FS56" s="497">
        <v>0.55601092896174864</v>
      </c>
      <c r="FT56" s="497">
        <v>0.33645239185060777</v>
      </c>
      <c r="FU56" s="497">
        <v>0.38558843377929447</v>
      </c>
      <c r="FV56" s="497">
        <v>0.53044621706304418</v>
      </c>
      <c r="FW56" s="104">
        <v>0.581282470673956</v>
      </c>
      <c r="FX56" s="438">
        <v>1615</v>
      </c>
      <c r="FY56" s="438">
        <v>122</v>
      </c>
      <c r="FZ56" s="438">
        <v>1493</v>
      </c>
      <c r="GA56" s="497">
        <v>0.92445820433436532</v>
      </c>
      <c r="GB56" s="438">
        <v>524</v>
      </c>
      <c r="GC56" s="438">
        <v>296</v>
      </c>
      <c r="GD56" s="438">
        <v>820</v>
      </c>
      <c r="GE56" s="497">
        <v>0.35097119892833223</v>
      </c>
      <c r="GF56" s="497">
        <v>0.54922973878097792</v>
      </c>
      <c r="GG56" s="497">
        <v>0.32717221836664762</v>
      </c>
      <c r="GH56" s="497">
        <v>0.37553510753104696</v>
      </c>
      <c r="GI56" s="497">
        <v>0.52389644701514593</v>
      </c>
      <c r="GJ56" s="104">
        <v>0.57431034645235712</v>
      </c>
      <c r="GK56" s="3">
        <v>1053</v>
      </c>
      <c r="GL56" s="3">
        <v>91</v>
      </c>
      <c r="GM56" s="19">
        <v>8.6419753086419748E-2</v>
      </c>
      <c r="GN56" s="19">
        <v>7.0916108024578983E-2</v>
      </c>
      <c r="GO56" s="19">
        <v>0.10493000140802267</v>
      </c>
      <c r="GP56" s="353" t="s">
        <v>725</v>
      </c>
      <c r="GQ56" s="3">
        <v>1172</v>
      </c>
      <c r="GR56" s="3">
        <v>114</v>
      </c>
      <c r="GS56" s="19">
        <v>9.7269624573378843E-2</v>
      </c>
      <c r="GT56" s="19">
        <v>8.1597122865939342E-2</v>
      </c>
      <c r="GU56" s="19">
        <v>0.11557355612442274</v>
      </c>
      <c r="GV56" s="3" t="s">
        <v>725</v>
      </c>
      <c r="GW56" s="3">
        <v>991</v>
      </c>
      <c r="GX56" s="3">
        <v>81</v>
      </c>
      <c r="GY56" s="19">
        <v>8.1735620585267413E-2</v>
      </c>
      <c r="GZ56" s="19">
        <v>6.6250292754922335E-2</v>
      </c>
      <c r="HA56" s="19">
        <v>0.10045110207565305</v>
      </c>
      <c r="HB56" s="3" t="s">
        <v>725</v>
      </c>
      <c r="HC56" s="3">
        <v>1189</v>
      </c>
      <c r="HD56" s="3">
        <v>111</v>
      </c>
      <c r="HE56" s="19">
        <v>9.3355761143818342E-2</v>
      </c>
      <c r="HF56" s="19">
        <v>7.8103523781505702E-2</v>
      </c>
      <c r="HG56" s="19">
        <v>0.11122713466490082</v>
      </c>
      <c r="HH56" s="3" t="s">
        <v>725</v>
      </c>
      <c r="HI56" s="3">
        <v>867</v>
      </c>
      <c r="HJ56" s="3">
        <v>87</v>
      </c>
      <c r="HK56" s="19">
        <v>0.10034602076124567</v>
      </c>
      <c r="HL56" s="19">
        <v>8.2075581533498504E-2</v>
      </c>
      <c r="HM56" s="19">
        <v>0.1221423699883888</v>
      </c>
      <c r="HN56" s="11" t="s">
        <v>725</v>
      </c>
      <c r="HO56" s="11">
        <v>1522</v>
      </c>
      <c r="HP56" s="11">
        <v>110</v>
      </c>
      <c r="HQ56" s="497">
        <v>7.2273324572930356E-2</v>
      </c>
      <c r="HR56" s="497">
        <v>6.0313129175953259E-2</v>
      </c>
      <c r="HS56" s="497">
        <v>8.6387209530073714E-2</v>
      </c>
      <c r="HT56" s="8" t="str">
        <f t="shared" si="0"/>
        <v>Sig better than Eng.</v>
      </c>
      <c r="HU56" s="3">
        <v>1018</v>
      </c>
      <c r="HV56" s="3">
        <v>197</v>
      </c>
      <c r="HW56" s="19">
        <v>0.19351669941060903</v>
      </c>
      <c r="HX56" s="19">
        <v>0.17041930878054676</v>
      </c>
      <c r="HY56" s="19">
        <v>0.2189184455124161</v>
      </c>
      <c r="HZ56" s="3" t="s">
        <v>725</v>
      </c>
      <c r="IA56" s="3">
        <v>1114</v>
      </c>
      <c r="IB56" s="3">
        <v>192</v>
      </c>
      <c r="IC56" s="19">
        <v>0.17235188509874327</v>
      </c>
      <c r="ID56" s="19">
        <v>0.15130866125267942</v>
      </c>
      <c r="IE56" s="19">
        <v>0.19564703247321</v>
      </c>
      <c r="IF56" s="3" t="s">
        <v>725</v>
      </c>
      <c r="IG56" s="3">
        <v>1128</v>
      </c>
      <c r="IH56" s="3">
        <v>213</v>
      </c>
      <c r="II56" s="19">
        <v>0.18882978723404256</v>
      </c>
      <c r="IJ56" s="19">
        <v>0.16706083594111637</v>
      </c>
      <c r="IK56" s="19">
        <v>0.21271095583311433</v>
      </c>
      <c r="IL56" s="3" t="s">
        <v>725</v>
      </c>
      <c r="IM56" s="3">
        <v>1075</v>
      </c>
      <c r="IN56" s="3">
        <v>210</v>
      </c>
      <c r="IO56" s="19">
        <v>0.19534883720930232</v>
      </c>
      <c r="IP56" s="19">
        <v>0.17275073315918471</v>
      </c>
      <c r="IQ56" s="19">
        <v>0.22011649988542298</v>
      </c>
      <c r="IR56" s="3" t="s">
        <v>725</v>
      </c>
      <c r="IS56" s="3">
        <v>1158</v>
      </c>
      <c r="IT56" s="3">
        <v>232</v>
      </c>
      <c r="IU56" s="19">
        <v>0.2003454231433506</v>
      </c>
      <c r="IV56" s="19">
        <v>0.17829962779839531</v>
      </c>
      <c r="IW56" s="19">
        <v>0.22437274653361386</v>
      </c>
      <c r="IX56" s="11" t="s">
        <v>725</v>
      </c>
      <c r="IY56" s="11">
        <v>1218</v>
      </c>
      <c r="IZ56" s="11">
        <v>254</v>
      </c>
      <c r="JA56" s="497">
        <v>0.20853858784893267</v>
      </c>
      <c r="JB56" s="497">
        <v>0.18665677725201979</v>
      </c>
      <c r="JC56" s="497">
        <v>0.23225310268830984</v>
      </c>
      <c r="JD56" s="8" t="str">
        <f t="shared" si="1"/>
        <v>Sig better than Eng.</v>
      </c>
      <c r="JE56" s="3">
        <v>1440</v>
      </c>
      <c r="JF56" s="3">
        <v>693</v>
      </c>
      <c r="JG56" s="19">
        <v>0.48125000000000001</v>
      </c>
      <c r="JH56" s="19">
        <v>0.45552756226071045</v>
      </c>
      <c r="JI56" s="19">
        <v>0.50707220957012045</v>
      </c>
      <c r="JJ56" s="3">
        <v>1440</v>
      </c>
      <c r="JK56" s="3">
        <v>34</v>
      </c>
      <c r="JL56" s="3">
        <v>288</v>
      </c>
      <c r="JM56" s="383">
        <v>22.378472222222197</v>
      </c>
      <c r="JN56" s="19">
        <v>0.34180964052287655</v>
      </c>
      <c r="JO56" s="3">
        <v>1518</v>
      </c>
      <c r="JP56" s="3">
        <v>841</v>
      </c>
      <c r="JQ56" s="19">
        <v>0.5540184453227931</v>
      </c>
      <c r="JR56" s="19">
        <v>0.52890795807318758</v>
      </c>
      <c r="JS56" s="19">
        <v>0.57885622396393932</v>
      </c>
      <c r="JT56" s="3">
        <v>1518</v>
      </c>
      <c r="JU56" s="3">
        <v>34</v>
      </c>
      <c r="JV56" s="3">
        <v>301</v>
      </c>
      <c r="JW56" s="383">
        <v>22.714285714285719</v>
      </c>
      <c r="JX56" s="20">
        <v>0.33193277310924357</v>
      </c>
      <c r="JY56" s="44">
        <v>1610</v>
      </c>
      <c r="JZ56" s="44">
        <v>987</v>
      </c>
      <c r="KA56" s="20">
        <v>0.61304347826086958</v>
      </c>
      <c r="KB56" s="20">
        <v>0.58901025204580026</v>
      </c>
      <c r="KC56" s="20">
        <v>0.63653854521089626</v>
      </c>
      <c r="KD56" s="438">
        <v>34</v>
      </c>
      <c r="KE56" s="438">
        <v>322</v>
      </c>
      <c r="KF56" s="384">
        <v>23.4</v>
      </c>
      <c r="KG56" s="104">
        <v>0.311</v>
      </c>
      <c r="KH56" s="19"/>
      <c r="KI56" s="19"/>
      <c r="KJ56" s="19"/>
      <c r="KK56" s="19"/>
      <c r="KL56" s="19"/>
      <c r="KM56" s="19"/>
      <c r="KN56" s="19"/>
      <c r="KO56" s="19"/>
      <c r="KP56" s="19"/>
      <c r="KQ56" s="19"/>
      <c r="KR56" s="19"/>
      <c r="KS56" s="19"/>
      <c r="KT56" s="19"/>
      <c r="KU56" s="19"/>
      <c r="KV56" s="19"/>
      <c r="KW56" s="104"/>
      <c r="KX56" s="438">
        <v>94</v>
      </c>
      <c r="KY56" s="438">
        <v>782</v>
      </c>
      <c r="KZ56" s="497">
        <v>0.12020460358056266</v>
      </c>
      <c r="LA56" s="497">
        <v>9.9248559504410971E-2</v>
      </c>
      <c r="LB56" s="497">
        <v>0.14487378434416764</v>
      </c>
      <c r="LC56" s="438">
        <v>71</v>
      </c>
      <c r="LD56" s="438">
        <v>781</v>
      </c>
      <c r="LE56" s="497">
        <v>9.0909090909090912E-2</v>
      </c>
      <c r="LF56" s="497">
        <v>7.2699562255173211E-2</v>
      </c>
      <c r="LG56" s="497">
        <v>0.11312326499434044</v>
      </c>
      <c r="LH56" s="438">
        <v>81</v>
      </c>
      <c r="LI56" s="438">
        <v>777</v>
      </c>
      <c r="LJ56" s="497">
        <v>0.10424710424710425</v>
      </c>
      <c r="LK56" s="497">
        <v>8.467233528429223E-2</v>
      </c>
      <c r="LL56" s="497">
        <v>0.12771579670752684</v>
      </c>
      <c r="LM56" s="438">
        <v>172</v>
      </c>
      <c r="LN56" s="438">
        <v>739</v>
      </c>
      <c r="LO56" s="497">
        <v>0.2327469553450609</v>
      </c>
      <c r="LP56" s="497">
        <v>0.20370894597934167</v>
      </c>
      <c r="LQ56" s="104">
        <v>0.26454905805413481</v>
      </c>
      <c r="LR56" s="3">
        <v>436</v>
      </c>
      <c r="LS56" s="3">
        <v>417</v>
      </c>
      <c r="LT56" s="3">
        <v>418</v>
      </c>
      <c r="LU56" s="3">
        <v>430</v>
      </c>
      <c r="LV56" s="3">
        <v>423</v>
      </c>
      <c r="LW56" s="3">
        <v>408</v>
      </c>
      <c r="LX56" s="3">
        <v>396</v>
      </c>
      <c r="LY56" s="3">
        <v>389</v>
      </c>
      <c r="LZ56" s="3">
        <v>394</v>
      </c>
      <c r="MA56" s="3">
        <v>393</v>
      </c>
      <c r="MB56" s="3">
        <v>396</v>
      </c>
      <c r="MC56" s="3">
        <v>395</v>
      </c>
      <c r="MD56" s="3">
        <v>402</v>
      </c>
      <c r="ME56" s="3">
        <v>420</v>
      </c>
      <c r="MF56" s="3">
        <v>394</v>
      </c>
      <c r="MG56" s="3">
        <v>383</v>
      </c>
      <c r="MH56" s="3">
        <v>376</v>
      </c>
      <c r="MI56" s="3">
        <v>384</v>
      </c>
      <c r="MJ56" s="3">
        <v>394</v>
      </c>
      <c r="MK56" s="3">
        <v>378</v>
      </c>
      <c r="ML56" s="3">
        <v>399</v>
      </c>
      <c r="MM56" s="3">
        <v>379</v>
      </c>
      <c r="MN56" s="8">
        <v>391</v>
      </c>
      <c r="MO56" s="3">
        <v>1641</v>
      </c>
      <c r="MP56" s="24">
        <v>0.96599999999999997</v>
      </c>
      <c r="MQ56" s="24">
        <v>8.9999999999999993E-3</v>
      </c>
      <c r="MR56" s="24">
        <v>0.96499999999999997</v>
      </c>
      <c r="MS56" s="3">
        <v>1586</v>
      </c>
      <c r="MT56" s="3">
        <v>14</v>
      </c>
      <c r="MU56" s="3">
        <v>1584</v>
      </c>
      <c r="MV56" s="3">
        <v>1588</v>
      </c>
      <c r="MW56" s="24">
        <v>0.97699999999999998</v>
      </c>
      <c r="MX56" s="24">
        <v>0.96</v>
      </c>
      <c r="MY56" s="24">
        <v>0.96199999999999997</v>
      </c>
      <c r="MZ56" s="24">
        <v>0.96199999999999997</v>
      </c>
      <c r="NA56" s="24">
        <v>0.96099999999999997</v>
      </c>
      <c r="NB56" s="3">
        <v>1551</v>
      </c>
      <c r="NC56" s="3">
        <v>1525</v>
      </c>
      <c r="ND56" s="3">
        <v>1528</v>
      </c>
      <c r="NE56" s="3">
        <v>1527</v>
      </c>
      <c r="NF56" s="3">
        <v>1526</v>
      </c>
      <c r="NG56" s="3">
        <v>1727</v>
      </c>
      <c r="NH56" s="24">
        <v>0.96899999999999997</v>
      </c>
      <c r="NI56" s="24">
        <v>0.93500000000000005</v>
      </c>
      <c r="NJ56" s="24">
        <v>0.96899999999999997</v>
      </c>
      <c r="NK56" s="24">
        <v>0.96499999999999997</v>
      </c>
      <c r="NL56" s="24">
        <v>0.95</v>
      </c>
      <c r="NM56" s="24">
        <v>0.86799999999999999</v>
      </c>
      <c r="NN56" s="24">
        <v>0.95299999999999996</v>
      </c>
      <c r="NO56" s="24">
        <v>0.93</v>
      </c>
      <c r="NP56" s="24">
        <v>0.95299999999999996</v>
      </c>
      <c r="NQ56" s="24">
        <v>0.93100000000000005</v>
      </c>
      <c r="NR56" s="3">
        <v>1674</v>
      </c>
      <c r="NS56" s="3">
        <v>1615</v>
      </c>
      <c r="NT56" s="3">
        <v>1673</v>
      </c>
      <c r="NU56" s="3">
        <v>1667</v>
      </c>
      <c r="NV56" s="3">
        <v>1640</v>
      </c>
      <c r="NW56" s="3">
        <v>1499</v>
      </c>
      <c r="NX56" s="3">
        <v>1646</v>
      </c>
      <c r="NY56" s="3">
        <v>1606</v>
      </c>
      <c r="NZ56" s="3">
        <v>1646</v>
      </c>
      <c r="OA56" s="8">
        <v>1608</v>
      </c>
    </row>
    <row r="57" spans="1:391" s="3" customFormat="1" ht="12.75" x14ac:dyDescent="0.2">
      <c r="A57" s="11" t="s">
        <v>996</v>
      </c>
      <c r="B57" s="8">
        <v>9</v>
      </c>
      <c r="C57" s="11" t="s">
        <v>287</v>
      </c>
      <c r="D57" s="11" t="s">
        <v>287</v>
      </c>
      <c r="E57" s="11" t="s">
        <v>287</v>
      </c>
      <c r="F57" s="11" t="s">
        <v>287</v>
      </c>
      <c r="G57" s="11" t="s">
        <v>287</v>
      </c>
      <c r="H57" s="11" t="s">
        <v>268</v>
      </c>
      <c r="I57" s="11" t="s">
        <v>84</v>
      </c>
      <c r="J57" s="11" t="s">
        <v>398</v>
      </c>
      <c r="K57" s="11" t="s">
        <v>287</v>
      </c>
      <c r="L57" s="11" t="s">
        <v>287</v>
      </c>
      <c r="M57" s="11" t="s">
        <v>287</v>
      </c>
      <c r="N57" s="11" t="s">
        <v>830</v>
      </c>
      <c r="O57" s="128" t="s">
        <v>287</v>
      </c>
      <c r="P57" s="128" t="s">
        <v>287</v>
      </c>
      <c r="Q57" s="128" t="s">
        <v>287</v>
      </c>
      <c r="R57" s="128" t="s">
        <v>287</v>
      </c>
      <c r="S57" s="128" t="s">
        <v>287</v>
      </c>
      <c r="T57" s="38">
        <v>78225</v>
      </c>
      <c r="U57" s="39">
        <v>78800</v>
      </c>
      <c r="V57" s="39">
        <v>79500</v>
      </c>
      <c r="W57" s="39">
        <v>79860</v>
      </c>
      <c r="X57" s="39">
        <v>80135</v>
      </c>
      <c r="Y57" s="39">
        <v>80945</v>
      </c>
      <c r="Z57" s="39">
        <v>81165</v>
      </c>
      <c r="AA57" s="39">
        <v>81415</v>
      </c>
      <c r="AB57" s="39">
        <v>81900</v>
      </c>
      <c r="AC57" s="44">
        <v>82270</v>
      </c>
      <c r="AD57" s="38">
        <v>3885</v>
      </c>
      <c r="AE57" s="39">
        <v>3805</v>
      </c>
      <c r="AF57" s="39">
        <v>3970</v>
      </c>
      <c r="AG57" s="39">
        <v>3935</v>
      </c>
      <c r="AH57" s="39">
        <v>3890</v>
      </c>
      <c r="AI57" s="39">
        <v>3940</v>
      </c>
      <c r="AJ57" s="39">
        <v>3945</v>
      </c>
      <c r="AK57" s="39">
        <v>3960</v>
      </c>
      <c r="AL57" s="39">
        <v>3985</v>
      </c>
      <c r="AM57" s="44">
        <v>3966</v>
      </c>
      <c r="AN57" s="15">
        <v>4000</v>
      </c>
      <c r="AO57" s="3">
        <v>3716</v>
      </c>
      <c r="AP57" s="3">
        <v>112</v>
      </c>
      <c r="AQ57" s="3">
        <v>118</v>
      </c>
      <c r="AR57" s="3">
        <v>43</v>
      </c>
      <c r="AS57" s="3">
        <v>6</v>
      </c>
      <c r="AT57" s="3">
        <v>5</v>
      </c>
      <c r="AU57" s="11">
        <v>284</v>
      </c>
      <c r="AV57" s="18">
        <v>0.92900000000000005</v>
      </c>
      <c r="AW57" s="19">
        <v>2.8000000000000001E-2</v>
      </c>
      <c r="AX57" s="19">
        <v>2.9499999999999998E-2</v>
      </c>
      <c r="AY57" s="19">
        <v>1.0749999999999999E-2</v>
      </c>
      <c r="AZ57" s="19">
        <v>1.5E-3</v>
      </c>
      <c r="BA57" s="19">
        <v>1.25E-3</v>
      </c>
      <c r="BB57" s="20">
        <v>7.0999999999999952E-2</v>
      </c>
      <c r="BC57" s="15">
        <v>12056</v>
      </c>
      <c r="BD57" s="3">
        <v>11884</v>
      </c>
      <c r="BE57" s="3">
        <v>172</v>
      </c>
      <c r="BF57" s="3">
        <v>143</v>
      </c>
      <c r="BG57" s="3">
        <v>29</v>
      </c>
      <c r="BH57" s="19">
        <v>0.83139534883720934</v>
      </c>
      <c r="BI57" s="20">
        <v>0.16860465116279069</v>
      </c>
      <c r="BJ57" s="38">
        <v>8282</v>
      </c>
      <c r="BK57" s="19">
        <v>0.70816227964259837</v>
      </c>
      <c r="BL57" s="19">
        <v>0.1390968365129196</v>
      </c>
      <c r="BM57" s="20">
        <v>0.15274088384448201</v>
      </c>
      <c r="BN57" s="38">
        <v>24667</v>
      </c>
      <c r="BO57" s="39">
        <v>1116</v>
      </c>
      <c r="BP57" s="39">
        <v>1375</v>
      </c>
      <c r="BQ57" s="39">
        <v>609</v>
      </c>
      <c r="BR57" s="39">
        <v>16084</v>
      </c>
      <c r="BS57" s="39">
        <v>9043</v>
      </c>
      <c r="BT57" s="20">
        <v>0.14464226473515426</v>
      </c>
      <c r="BU57" s="38">
        <v>6071</v>
      </c>
      <c r="BV57" s="39">
        <v>4</v>
      </c>
      <c r="BW57" s="39">
        <v>1033</v>
      </c>
      <c r="BX57" s="39">
        <v>1401</v>
      </c>
      <c r="BY57" s="39">
        <v>581</v>
      </c>
      <c r="BZ57" s="40">
        <v>9090</v>
      </c>
      <c r="CA57" s="39">
        <v>3109</v>
      </c>
      <c r="CB57" s="39">
        <v>2753</v>
      </c>
      <c r="CC57" s="39">
        <v>351</v>
      </c>
      <c r="CD57" s="39">
        <v>356</v>
      </c>
      <c r="CE57" s="19">
        <v>0.11289803795432615</v>
      </c>
      <c r="CF57" s="104">
        <v>0.11450627211321969</v>
      </c>
      <c r="CG57" s="39">
        <v>310</v>
      </c>
      <c r="CH57" s="39">
        <v>230</v>
      </c>
      <c r="CI57" s="39">
        <v>245</v>
      </c>
      <c r="CJ57" s="39">
        <v>205</v>
      </c>
      <c r="CK57" s="44">
        <v>195</v>
      </c>
      <c r="CL57" s="38">
        <v>1392</v>
      </c>
      <c r="CM57" s="39">
        <v>396</v>
      </c>
      <c r="CN57" s="19">
        <v>0.28448275862068967</v>
      </c>
      <c r="CO57" s="40">
        <v>150</v>
      </c>
      <c r="CP57" s="122">
        <v>690</v>
      </c>
      <c r="CQ57" s="122">
        <v>711</v>
      </c>
      <c r="CR57" s="122">
        <v>685</v>
      </c>
      <c r="CS57" s="122">
        <v>689</v>
      </c>
      <c r="CT57" s="122">
        <v>643</v>
      </c>
      <c r="CU57" s="120" t="s">
        <v>474</v>
      </c>
      <c r="CV57" s="39">
        <v>26</v>
      </c>
      <c r="CW57" s="39">
        <v>22</v>
      </c>
      <c r="CX57" s="39">
        <v>15</v>
      </c>
      <c r="CY57" s="39">
        <v>26</v>
      </c>
      <c r="CZ57" s="39">
        <v>21</v>
      </c>
      <c r="DA57" s="135" t="s">
        <v>474</v>
      </c>
      <c r="DB57" s="15">
        <v>41</v>
      </c>
      <c r="DC57" s="15">
        <v>48</v>
      </c>
      <c r="DD57" s="19">
        <v>7.4650077760497674E-2</v>
      </c>
      <c r="DE57" s="19">
        <v>5.6764926583491651E-2</v>
      </c>
      <c r="DF57" s="20">
        <v>9.7587360919419316E-2</v>
      </c>
      <c r="DG57" s="15">
        <v>60</v>
      </c>
      <c r="DH57" s="20">
        <v>1.5018773466833541E-2</v>
      </c>
      <c r="DI57" s="470" t="s">
        <v>287</v>
      </c>
      <c r="DJ57" s="471" t="s">
        <v>287</v>
      </c>
      <c r="DK57" s="3">
        <v>791</v>
      </c>
      <c r="DL57" s="20">
        <v>2.3278399058269571E-2</v>
      </c>
      <c r="DM57" s="15">
        <v>460</v>
      </c>
      <c r="DN57" s="3">
        <v>430</v>
      </c>
      <c r="DO57" s="3">
        <v>395</v>
      </c>
      <c r="DP57" s="3">
        <v>415</v>
      </c>
      <c r="DQ57" s="11">
        <v>320</v>
      </c>
      <c r="DR57" s="15">
        <v>370</v>
      </c>
      <c r="DS57" s="19">
        <v>9.7754293262879793E-2</v>
      </c>
      <c r="DT57" s="19">
        <v>8.8696948470052869E-2</v>
      </c>
      <c r="DU57" s="19">
        <v>0.10762730180676405</v>
      </c>
      <c r="DV57" s="3">
        <v>425</v>
      </c>
      <c r="DW57" s="19">
        <v>0.11198945981554677</v>
      </c>
      <c r="DX57" s="19">
        <v>0.10234601603102378</v>
      </c>
      <c r="DY57" s="19">
        <v>0.1224176304849746</v>
      </c>
      <c r="DZ57" s="3">
        <v>455</v>
      </c>
      <c r="EA57" s="19">
        <v>0.11957950065703023</v>
      </c>
      <c r="EB57" s="19">
        <v>0.10965158206816601</v>
      </c>
      <c r="EC57" s="19">
        <v>0.13027477577599605</v>
      </c>
      <c r="ED57" s="3">
        <v>405</v>
      </c>
      <c r="EE57" s="19">
        <v>0.10728476821192053</v>
      </c>
      <c r="EF57" s="19">
        <v>9.7808710552343442E-2</v>
      </c>
      <c r="EG57" s="19">
        <v>0.11755927132501186</v>
      </c>
      <c r="EH57" s="3">
        <v>390</v>
      </c>
      <c r="EI57" s="20">
        <v>0.10372340425531915</v>
      </c>
      <c r="EJ57" s="20">
        <v>9.4378722312384866E-2</v>
      </c>
      <c r="EK57" s="20">
        <v>0.11387698330022382</v>
      </c>
      <c r="EL57" s="438">
        <v>415</v>
      </c>
      <c r="EM57" s="20">
        <v>0.12828438948995363</v>
      </c>
      <c r="EN57" s="20">
        <v>0.11720014370168814</v>
      </c>
      <c r="EO57" s="104">
        <v>0.14025038897251907</v>
      </c>
      <c r="EP57" s="38">
        <v>1205</v>
      </c>
      <c r="EQ57" s="20">
        <v>8.7956204379562045E-2</v>
      </c>
      <c r="ER57" s="44">
        <v>1345</v>
      </c>
      <c r="ES57" s="20">
        <v>9.7960670065549885E-2</v>
      </c>
      <c r="ET57" s="44">
        <v>1290</v>
      </c>
      <c r="EU57" s="20">
        <v>9.4126231302444366E-2</v>
      </c>
      <c r="EV57" s="44">
        <v>1210</v>
      </c>
      <c r="EW57" s="20">
        <v>8.8937890481440643E-2</v>
      </c>
      <c r="EX57" s="44">
        <v>1040</v>
      </c>
      <c r="EY57" s="20">
        <v>7.6951535331113582E-2</v>
      </c>
      <c r="EZ57" s="44">
        <v>1090</v>
      </c>
      <c r="FA57" s="104">
        <v>8.2482027998486571E-2</v>
      </c>
      <c r="FB57" s="3">
        <v>694</v>
      </c>
      <c r="FC57" s="3">
        <v>20</v>
      </c>
      <c r="FD57" s="3">
        <v>674</v>
      </c>
      <c r="FE57" s="19">
        <v>0.97118155619596547</v>
      </c>
      <c r="FF57" s="3">
        <v>308</v>
      </c>
      <c r="FG57" s="3">
        <v>404</v>
      </c>
      <c r="FH57" s="19">
        <v>0.45697329376854601</v>
      </c>
      <c r="FI57" s="19">
        <v>0.59940652818991103</v>
      </c>
      <c r="FJ57" s="19">
        <v>0.41971558496913836</v>
      </c>
      <c r="FK57" s="19">
        <v>0.49471868392183771</v>
      </c>
      <c r="FL57" s="19">
        <v>0.56194988661152023</v>
      </c>
      <c r="FM57" s="104">
        <v>0.63573645767484521</v>
      </c>
      <c r="FN57" s="438">
        <v>661</v>
      </c>
      <c r="FO57" s="438">
        <v>298</v>
      </c>
      <c r="FP57" s="438">
        <v>82</v>
      </c>
      <c r="FQ57" s="438">
        <v>380</v>
      </c>
      <c r="FR57" s="497">
        <v>0.45083207261724662</v>
      </c>
      <c r="FS57" s="497">
        <v>0.5748865355521936</v>
      </c>
      <c r="FT57" s="497">
        <v>0.41329270304624494</v>
      </c>
      <c r="FU57" s="497">
        <v>0.48893962747763969</v>
      </c>
      <c r="FV57" s="497">
        <v>0.53687344636476542</v>
      </c>
      <c r="FW57" s="104">
        <v>0.612034234837318</v>
      </c>
      <c r="FX57" s="438">
        <v>566</v>
      </c>
      <c r="FY57" s="438">
        <v>30</v>
      </c>
      <c r="FZ57" s="438">
        <v>536</v>
      </c>
      <c r="GA57" s="497">
        <v>0.94699646643109536</v>
      </c>
      <c r="GB57" s="438">
        <v>246</v>
      </c>
      <c r="GC57" s="438">
        <v>73</v>
      </c>
      <c r="GD57" s="438">
        <v>319</v>
      </c>
      <c r="GE57" s="497">
        <v>0.45895522388059701</v>
      </c>
      <c r="GF57" s="497">
        <v>0.59514925373134331</v>
      </c>
      <c r="GG57" s="497">
        <v>0.41721072957780153</v>
      </c>
      <c r="GH57" s="497">
        <v>0.50128385937777853</v>
      </c>
      <c r="GI57" s="497">
        <v>0.55305949070075389</v>
      </c>
      <c r="GJ57" s="104">
        <v>0.63588487126585602</v>
      </c>
      <c r="GK57" s="3">
        <v>690</v>
      </c>
      <c r="GL57" s="3">
        <v>45</v>
      </c>
      <c r="GM57" s="19">
        <v>6.5217391304347824E-2</v>
      </c>
      <c r="GN57" s="19">
        <v>4.9095601119040551E-2</v>
      </c>
      <c r="GO57" s="19">
        <v>8.6153536313874207E-2</v>
      </c>
      <c r="GP57" s="353" t="s">
        <v>726</v>
      </c>
      <c r="GQ57" s="3">
        <v>715</v>
      </c>
      <c r="GR57" s="3">
        <v>60</v>
      </c>
      <c r="GS57" s="19">
        <v>8.3916083916083919E-2</v>
      </c>
      <c r="GT57" s="19">
        <v>6.5749511211531414E-2</v>
      </c>
      <c r="GU57" s="19">
        <v>0.10652972686116412</v>
      </c>
      <c r="GV57" s="3" t="s">
        <v>725</v>
      </c>
      <c r="GW57" s="3">
        <v>478</v>
      </c>
      <c r="GX57" s="3">
        <v>37</v>
      </c>
      <c r="GY57" s="19">
        <v>7.7405857740585768E-2</v>
      </c>
      <c r="GZ57" s="19">
        <v>5.6677309110696433E-2</v>
      </c>
      <c r="HA57" s="19">
        <v>0.1048726310111248</v>
      </c>
      <c r="HB57" s="3" t="s">
        <v>725</v>
      </c>
      <c r="HC57" s="3">
        <v>661</v>
      </c>
      <c r="HD57" s="3">
        <v>53</v>
      </c>
      <c r="HE57" s="19">
        <v>8.0181543116490173E-2</v>
      </c>
      <c r="HF57" s="19">
        <v>6.1822013381150641E-2</v>
      </c>
      <c r="HG57" s="19">
        <v>0.10339250109201802</v>
      </c>
      <c r="HH57" s="3" t="s">
        <v>725</v>
      </c>
      <c r="HI57" s="3">
        <v>509</v>
      </c>
      <c r="HJ57" s="3">
        <v>46</v>
      </c>
      <c r="HK57" s="19">
        <v>9.0373280943025547E-2</v>
      </c>
      <c r="HL57" s="19">
        <v>6.8437976439450737E-2</v>
      </c>
      <c r="HM57" s="19">
        <v>0.11844523507212751</v>
      </c>
      <c r="HN57" s="11" t="s">
        <v>725</v>
      </c>
      <c r="HO57" s="11">
        <v>714</v>
      </c>
      <c r="HP57" s="11">
        <v>45</v>
      </c>
      <c r="HQ57" s="497">
        <v>6.3025210084033612E-2</v>
      </c>
      <c r="HR57" s="497">
        <v>4.7433640600876195E-2</v>
      </c>
      <c r="HS57" s="497">
        <v>8.329363582985766E-2</v>
      </c>
      <c r="HT57" s="8" t="str">
        <f t="shared" si="0"/>
        <v>Sig better than Eng.</v>
      </c>
      <c r="HU57" s="3">
        <v>715</v>
      </c>
      <c r="HV57" s="3">
        <v>109</v>
      </c>
      <c r="HW57" s="19">
        <v>0.15244755244755245</v>
      </c>
      <c r="HX57" s="19">
        <v>0.12796234517942864</v>
      </c>
      <c r="HY57" s="19">
        <v>0.18064737132835237</v>
      </c>
      <c r="HZ57" s="3" t="s">
        <v>726</v>
      </c>
      <c r="IA57" s="3">
        <v>683</v>
      </c>
      <c r="IB57" s="3">
        <v>102</v>
      </c>
      <c r="IC57" s="19">
        <v>0.14934114202049781</v>
      </c>
      <c r="ID57" s="19">
        <v>0.12457477402504541</v>
      </c>
      <c r="IE57" s="19">
        <v>0.17802993358471017</v>
      </c>
      <c r="IF57" s="3" t="s">
        <v>726</v>
      </c>
      <c r="IG57" s="3">
        <v>653</v>
      </c>
      <c r="IH57" s="3">
        <v>89</v>
      </c>
      <c r="II57" s="19">
        <v>0.13629402756508421</v>
      </c>
      <c r="IJ57" s="19">
        <v>0.11209652965952474</v>
      </c>
      <c r="IK57" s="19">
        <v>0.1647457073502642</v>
      </c>
      <c r="IL57" s="3" t="s">
        <v>726</v>
      </c>
      <c r="IM57" s="3">
        <v>591</v>
      </c>
      <c r="IN57" s="3">
        <v>74</v>
      </c>
      <c r="IO57" s="19">
        <v>0.12521150592216582</v>
      </c>
      <c r="IP57" s="19">
        <v>0.10092567436312364</v>
      </c>
      <c r="IQ57" s="19">
        <v>0.15433807124352619</v>
      </c>
      <c r="IR57" s="3" t="s">
        <v>726</v>
      </c>
      <c r="IS57" s="3">
        <v>679</v>
      </c>
      <c r="IT57" s="3">
        <v>97</v>
      </c>
      <c r="IU57" s="19">
        <v>0.14285714285714285</v>
      </c>
      <c r="IV57" s="19">
        <v>0.11854337217020199</v>
      </c>
      <c r="IW57" s="19">
        <v>0.17118926820341787</v>
      </c>
      <c r="IX57" s="11" t="s">
        <v>726</v>
      </c>
      <c r="IY57" s="11">
        <v>719</v>
      </c>
      <c r="IZ57" s="11">
        <v>88</v>
      </c>
      <c r="JA57" s="497">
        <v>0.12239221140472879</v>
      </c>
      <c r="JB57" s="497">
        <v>0.10042277200808802</v>
      </c>
      <c r="JC57" s="497">
        <v>0.148375158196556</v>
      </c>
      <c r="JD57" s="8" t="str">
        <f t="shared" si="1"/>
        <v>Sig better than Eng.</v>
      </c>
      <c r="JE57" s="3">
        <v>782</v>
      </c>
      <c r="JF57" s="3">
        <v>456</v>
      </c>
      <c r="JG57" s="19">
        <v>0.58312020460358061</v>
      </c>
      <c r="JH57" s="19">
        <v>0.54823960073443256</v>
      </c>
      <c r="JI57" s="19">
        <v>0.61718816913035668</v>
      </c>
      <c r="JJ57" s="3">
        <v>782</v>
      </c>
      <c r="JK57" s="3">
        <v>34</v>
      </c>
      <c r="JL57" s="3">
        <v>156</v>
      </c>
      <c r="JM57" s="383">
        <v>25.679487179487179</v>
      </c>
      <c r="JN57" s="19">
        <v>0.24472096530920062</v>
      </c>
      <c r="JO57" s="3">
        <v>838</v>
      </c>
      <c r="JP57" s="3">
        <v>521</v>
      </c>
      <c r="JQ57" s="19">
        <v>0.62171837708830546</v>
      </c>
      <c r="JR57" s="19">
        <v>0.5883987373583377</v>
      </c>
      <c r="JS57" s="19">
        <v>0.65392717551102397</v>
      </c>
      <c r="JT57" s="3">
        <v>838</v>
      </c>
      <c r="JU57" s="3">
        <v>34</v>
      </c>
      <c r="JV57" s="3">
        <v>166</v>
      </c>
      <c r="JW57" s="383">
        <v>26.8132530120482</v>
      </c>
      <c r="JX57" s="20">
        <v>0.21137491141034706</v>
      </c>
      <c r="JY57" s="44">
        <v>904</v>
      </c>
      <c r="JZ57" s="44">
        <v>601</v>
      </c>
      <c r="KA57" s="20">
        <v>0.66482300884955747</v>
      </c>
      <c r="KB57" s="20">
        <v>0.63341094992293923</v>
      </c>
      <c r="KC57" s="20">
        <v>0.69484019690957977</v>
      </c>
      <c r="KD57" s="438">
        <v>34</v>
      </c>
      <c r="KE57" s="438">
        <v>180</v>
      </c>
      <c r="KF57" s="384">
        <v>25.9</v>
      </c>
      <c r="KG57" s="104">
        <v>0.23699999999999999</v>
      </c>
      <c r="KH57" s="19"/>
      <c r="KI57" s="19"/>
      <c r="KJ57" s="19"/>
      <c r="KK57" s="19"/>
      <c r="KL57" s="19"/>
      <c r="KM57" s="19"/>
      <c r="KN57" s="19"/>
      <c r="KO57" s="19"/>
      <c r="KP57" s="19"/>
      <c r="KQ57" s="19"/>
      <c r="KR57" s="19"/>
      <c r="KS57" s="19"/>
      <c r="KT57" s="19"/>
      <c r="KU57" s="19"/>
      <c r="KV57" s="19"/>
      <c r="KW57" s="104"/>
      <c r="KX57" s="438">
        <v>29</v>
      </c>
      <c r="KY57" s="438">
        <v>305</v>
      </c>
      <c r="KZ57" s="497">
        <v>9.5081967213114751E-2</v>
      </c>
      <c r="LA57" s="497">
        <v>6.7019002492948468E-2</v>
      </c>
      <c r="LB57" s="497">
        <v>0.13321790565026095</v>
      </c>
      <c r="LC57" s="438">
        <v>25</v>
      </c>
      <c r="LD57" s="438">
        <v>305</v>
      </c>
      <c r="LE57" s="497">
        <v>8.1967213114754092E-2</v>
      </c>
      <c r="LF57" s="497">
        <v>5.6134591157410305E-2</v>
      </c>
      <c r="LG57" s="497">
        <v>0.11819905894995164</v>
      </c>
      <c r="LH57" s="438">
        <v>25</v>
      </c>
      <c r="LI57" s="438">
        <v>304</v>
      </c>
      <c r="LJ57" s="497">
        <v>8.2236842105263164E-2</v>
      </c>
      <c r="LK57" s="497">
        <v>5.632132880325684E-2</v>
      </c>
      <c r="LL57" s="497">
        <v>0.11857863115325672</v>
      </c>
      <c r="LM57" s="438">
        <v>45</v>
      </c>
      <c r="LN57" s="438">
        <v>302</v>
      </c>
      <c r="LO57" s="497">
        <v>0.1490066225165563</v>
      </c>
      <c r="LP57" s="497">
        <v>0.11326390430655106</v>
      </c>
      <c r="LQ57" s="104">
        <v>0.19356650116738641</v>
      </c>
      <c r="LR57" s="3">
        <v>214</v>
      </c>
      <c r="LS57" s="3">
        <v>209</v>
      </c>
      <c r="LT57" s="3">
        <v>210</v>
      </c>
      <c r="LU57" s="3">
        <v>210</v>
      </c>
      <c r="LV57" s="3">
        <v>210</v>
      </c>
      <c r="LW57" s="3">
        <v>164</v>
      </c>
      <c r="LX57" s="3">
        <v>154</v>
      </c>
      <c r="LY57" s="3">
        <v>157</v>
      </c>
      <c r="LZ57" s="3">
        <v>154</v>
      </c>
      <c r="MA57" s="3">
        <v>158</v>
      </c>
      <c r="MB57" s="3">
        <v>159</v>
      </c>
      <c r="MC57" s="3">
        <v>154</v>
      </c>
      <c r="MD57" s="3">
        <v>158</v>
      </c>
      <c r="ME57" s="3">
        <v>206</v>
      </c>
      <c r="MF57" s="3">
        <v>197</v>
      </c>
      <c r="MG57" s="3">
        <v>194</v>
      </c>
      <c r="MH57" s="3">
        <v>189</v>
      </c>
      <c r="MI57" s="3">
        <v>193</v>
      </c>
      <c r="MJ57" s="3">
        <v>197</v>
      </c>
      <c r="MK57" s="3">
        <v>189</v>
      </c>
      <c r="ML57" s="3">
        <v>194</v>
      </c>
      <c r="MM57" s="3">
        <v>191</v>
      </c>
      <c r="MN57" s="8">
        <v>201</v>
      </c>
      <c r="MO57" s="3">
        <v>591</v>
      </c>
      <c r="MP57" s="24">
        <v>0.95299999999999996</v>
      </c>
      <c r="MQ57" s="24">
        <v>0.01</v>
      </c>
      <c r="MR57" s="24">
        <v>0.95399999999999996</v>
      </c>
      <c r="MS57" s="3">
        <v>563</v>
      </c>
      <c r="MT57" s="3">
        <v>6</v>
      </c>
      <c r="MU57" s="3">
        <v>564</v>
      </c>
      <c r="MV57" s="3">
        <v>609</v>
      </c>
      <c r="MW57" s="24">
        <v>0.97699999999999998</v>
      </c>
      <c r="MX57" s="24">
        <v>0.93400000000000005</v>
      </c>
      <c r="MY57" s="24">
        <v>0.95399999999999996</v>
      </c>
      <c r="MZ57" s="24">
        <v>0.94699999999999995</v>
      </c>
      <c r="NA57" s="24">
        <v>0.93600000000000005</v>
      </c>
      <c r="NB57" s="3">
        <v>595</v>
      </c>
      <c r="NC57" s="3">
        <v>569</v>
      </c>
      <c r="ND57" s="3">
        <v>581</v>
      </c>
      <c r="NE57" s="3">
        <v>577</v>
      </c>
      <c r="NF57" s="3">
        <v>570</v>
      </c>
      <c r="NG57" s="3">
        <v>750</v>
      </c>
      <c r="NH57" s="24">
        <v>0.96699999999999997</v>
      </c>
      <c r="NI57" s="24">
        <v>0.91300000000000003</v>
      </c>
      <c r="NJ57" s="24">
        <v>0.96699999999999997</v>
      </c>
      <c r="NK57" s="24">
        <v>0.96799999999999997</v>
      </c>
      <c r="NL57" s="24">
        <v>0.96799999999999997</v>
      </c>
      <c r="NM57" s="24">
        <v>0.88700000000000001</v>
      </c>
      <c r="NN57" s="24">
        <v>0.94299999999999995</v>
      </c>
      <c r="NO57" s="24">
        <v>0.89100000000000001</v>
      </c>
      <c r="NP57" s="24">
        <v>0.97199999999999998</v>
      </c>
      <c r="NQ57" s="24">
        <v>0.92</v>
      </c>
      <c r="NR57" s="3">
        <v>725</v>
      </c>
      <c r="NS57" s="3">
        <v>685</v>
      </c>
      <c r="NT57" s="3">
        <v>725</v>
      </c>
      <c r="NU57" s="3">
        <v>726</v>
      </c>
      <c r="NV57" s="3">
        <v>726</v>
      </c>
      <c r="NW57" s="3">
        <v>665</v>
      </c>
      <c r="NX57" s="3">
        <v>707</v>
      </c>
      <c r="NY57" s="3">
        <v>668</v>
      </c>
      <c r="NZ57" s="3">
        <v>729</v>
      </c>
      <c r="OA57" s="8">
        <v>690</v>
      </c>
    </row>
    <row r="58" spans="1:391" s="3" customFormat="1" ht="12.75" x14ac:dyDescent="0.2">
      <c r="A58" s="11" t="s">
        <v>888</v>
      </c>
      <c r="B58" s="8">
        <v>10</v>
      </c>
      <c r="C58" s="11" t="s">
        <v>287</v>
      </c>
      <c r="D58" s="11" t="s">
        <v>287</v>
      </c>
      <c r="E58" s="11" t="s">
        <v>287</v>
      </c>
      <c r="F58" s="11" t="s">
        <v>287</v>
      </c>
      <c r="G58" s="11" t="s">
        <v>287</v>
      </c>
      <c r="H58" s="11" t="s">
        <v>80</v>
      </c>
      <c r="I58" s="11" t="s">
        <v>84</v>
      </c>
      <c r="J58" s="11" t="s">
        <v>271</v>
      </c>
      <c r="K58" s="11" t="s">
        <v>287</v>
      </c>
      <c r="L58" s="11" t="s">
        <v>287</v>
      </c>
      <c r="M58" s="11" t="s">
        <v>287</v>
      </c>
      <c r="N58" s="11" t="s">
        <v>84</v>
      </c>
      <c r="O58" s="128" t="s">
        <v>287</v>
      </c>
      <c r="P58" s="128" t="s">
        <v>287</v>
      </c>
      <c r="Q58" s="128" t="s">
        <v>287</v>
      </c>
      <c r="R58" s="128" t="s">
        <v>287</v>
      </c>
      <c r="S58" s="128" t="s">
        <v>287</v>
      </c>
      <c r="T58" s="38">
        <v>56115</v>
      </c>
      <c r="U58" s="39">
        <v>56850</v>
      </c>
      <c r="V58" s="39">
        <v>57335</v>
      </c>
      <c r="W58" s="39">
        <v>57750</v>
      </c>
      <c r="X58" s="39">
        <v>58185</v>
      </c>
      <c r="Y58" s="39">
        <v>58650</v>
      </c>
      <c r="Z58" s="39">
        <v>59080</v>
      </c>
      <c r="AA58" s="39">
        <v>59530</v>
      </c>
      <c r="AB58" s="39">
        <v>59735</v>
      </c>
      <c r="AC58" s="44">
        <v>60605</v>
      </c>
      <c r="AD58" s="38">
        <v>3325</v>
      </c>
      <c r="AE58" s="39">
        <v>3330</v>
      </c>
      <c r="AF58" s="39">
        <v>3430</v>
      </c>
      <c r="AG58" s="39">
        <v>3440</v>
      </c>
      <c r="AH58" s="39">
        <v>3490</v>
      </c>
      <c r="AI58" s="39">
        <v>3565</v>
      </c>
      <c r="AJ58" s="39">
        <v>3600</v>
      </c>
      <c r="AK58" s="39">
        <v>3660</v>
      </c>
      <c r="AL58" s="39">
        <v>3595</v>
      </c>
      <c r="AM58" s="44">
        <v>3568</v>
      </c>
      <c r="AN58" s="15">
        <v>3573</v>
      </c>
      <c r="AO58" s="3">
        <v>3081</v>
      </c>
      <c r="AP58" s="3">
        <v>125</v>
      </c>
      <c r="AQ58" s="3">
        <v>194</v>
      </c>
      <c r="AR58" s="3">
        <v>139</v>
      </c>
      <c r="AS58" s="3">
        <v>23</v>
      </c>
      <c r="AT58" s="3">
        <v>11</v>
      </c>
      <c r="AU58" s="11">
        <v>492</v>
      </c>
      <c r="AV58" s="18">
        <v>0.86230058774139373</v>
      </c>
      <c r="AW58" s="19">
        <v>3.4984606773019872E-2</v>
      </c>
      <c r="AX58" s="19">
        <v>5.4296109711726839E-2</v>
      </c>
      <c r="AY58" s="19">
        <v>3.8902882731598094E-2</v>
      </c>
      <c r="AZ58" s="19">
        <v>6.4371676462356567E-3</v>
      </c>
      <c r="BA58" s="19">
        <v>3.0786453960257487E-3</v>
      </c>
      <c r="BB58" s="20">
        <v>0.13769941225860627</v>
      </c>
      <c r="BC58" s="15">
        <v>9632</v>
      </c>
      <c r="BD58" s="3">
        <v>9400</v>
      </c>
      <c r="BE58" s="3">
        <v>232</v>
      </c>
      <c r="BF58" s="3">
        <v>203</v>
      </c>
      <c r="BG58" s="3">
        <v>29</v>
      </c>
      <c r="BH58" s="19">
        <v>0.875</v>
      </c>
      <c r="BI58" s="20">
        <v>0.125</v>
      </c>
      <c r="BJ58" s="38">
        <v>6989</v>
      </c>
      <c r="BK58" s="19">
        <v>0.70553727285734724</v>
      </c>
      <c r="BL58" s="19">
        <v>0.14179424810416369</v>
      </c>
      <c r="BM58" s="20">
        <v>0.15266847903848904</v>
      </c>
      <c r="BN58" s="38">
        <v>16944</v>
      </c>
      <c r="BO58" s="39">
        <v>1043</v>
      </c>
      <c r="BP58" s="39">
        <v>1201</v>
      </c>
      <c r="BQ58" s="39">
        <v>501</v>
      </c>
      <c r="BR58" s="39">
        <v>13050</v>
      </c>
      <c r="BS58" s="39">
        <v>7349</v>
      </c>
      <c r="BT58" s="20">
        <v>0.1435569465233365</v>
      </c>
      <c r="BU58" s="38">
        <v>4970</v>
      </c>
      <c r="BV58" s="39">
        <v>5</v>
      </c>
      <c r="BW58" s="39">
        <v>831</v>
      </c>
      <c r="BX58" s="39">
        <v>1172</v>
      </c>
      <c r="BY58" s="39">
        <v>398</v>
      </c>
      <c r="BZ58" s="40">
        <v>7376</v>
      </c>
      <c r="CA58" s="39">
        <v>2755</v>
      </c>
      <c r="CB58" s="39">
        <v>2448</v>
      </c>
      <c r="CC58" s="39">
        <v>303</v>
      </c>
      <c r="CD58" s="39">
        <v>307</v>
      </c>
      <c r="CE58" s="19">
        <v>0.10998185117967332</v>
      </c>
      <c r="CF58" s="104">
        <v>0.11143375680580762</v>
      </c>
      <c r="CG58" s="39">
        <v>285</v>
      </c>
      <c r="CH58" s="39">
        <v>275</v>
      </c>
      <c r="CI58" s="39">
        <v>215</v>
      </c>
      <c r="CJ58" s="39">
        <v>210</v>
      </c>
      <c r="CK58" s="44">
        <v>195</v>
      </c>
      <c r="CL58" s="38">
        <v>1167</v>
      </c>
      <c r="CM58" s="39">
        <v>322</v>
      </c>
      <c r="CN58" s="19">
        <v>0.27592116538131961</v>
      </c>
      <c r="CO58" s="40">
        <v>120</v>
      </c>
      <c r="CP58" s="122">
        <v>702</v>
      </c>
      <c r="CQ58" s="122">
        <v>646</v>
      </c>
      <c r="CR58" s="122">
        <v>689</v>
      </c>
      <c r="CS58" s="122">
        <v>636</v>
      </c>
      <c r="CT58" s="122">
        <v>632</v>
      </c>
      <c r="CU58" s="120" t="s">
        <v>474</v>
      </c>
      <c r="CV58" s="39">
        <v>26</v>
      </c>
      <c r="CW58" s="39">
        <v>18</v>
      </c>
      <c r="CX58" s="39">
        <v>9</v>
      </c>
      <c r="CY58" s="39">
        <v>13</v>
      </c>
      <c r="CZ58" s="39">
        <v>7</v>
      </c>
      <c r="DA58" s="135" t="s">
        <v>474</v>
      </c>
      <c r="DB58" s="15">
        <v>21</v>
      </c>
      <c r="DC58" s="15">
        <v>40</v>
      </c>
      <c r="DD58" s="19">
        <v>6.3291139240506333E-2</v>
      </c>
      <c r="DE58" s="19">
        <v>4.6821004663438637E-2</v>
      </c>
      <c r="DF58" s="20">
        <v>8.5038058091286881E-2</v>
      </c>
      <c r="DG58" s="15">
        <v>67</v>
      </c>
      <c r="DH58" s="20">
        <v>1.8799102132435467E-2</v>
      </c>
      <c r="DI58" s="470" t="s">
        <v>287</v>
      </c>
      <c r="DJ58" s="471" t="s">
        <v>287</v>
      </c>
      <c r="DK58" s="3">
        <v>755</v>
      </c>
      <c r="DL58" s="20">
        <v>3.0908421009538625E-2</v>
      </c>
      <c r="DM58" s="15">
        <v>375</v>
      </c>
      <c r="DN58" s="3">
        <v>385</v>
      </c>
      <c r="DO58" s="3">
        <v>390</v>
      </c>
      <c r="DP58" s="3">
        <v>375</v>
      </c>
      <c r="DQ58" s="11">
        <v>330</v>
      </c>
      <c r="DR58" s="15">
        <v>265</v>
      </c>
      <c r="DS58" s="19">
        <v>8.1664098613251149E-2</v>
      </c>
      <c r="DT58" s="19">
        <v>7.2729028479895458E-2</v>
      </c>
      <c r="DU58" s="19">
        <v>9.158845687209051E-2</v>
      </c>
      <c r="DV58" s="3">
        <v>360</v>
      </c>
      <c r="DW58" s="19">
        <v>0.10794602698650675</v>
      </c>
      <c r="DX58" s="19">
        <v>9.7861784560491591E-2</v>
      </c>
      <c r="DY58" s="19">
        <v>0.11893241419022141</v>
      </c>
      <c r="DZ58" s="3">
        <v>350</v>
      </c>
      <c r="EA58" s="19">
        <v>0.10324483775811209</v>
      </c>
      <c r="EB58" s="19">
        <v>9.3447058616013587E-2</v>
      </c>
      <c r="EC58" s="19">
        <v>0.11394078414587777</v>
      </c>
      <c r="ED58" s="3">
        <v>365</v>
      </c>
      <c r="EE58" s="19">
        <v>0.1083086053412463</v>
      </c>
      <c r="EF58" s="19">
        <v>9.8258751859751234E-2</v>
      </c>
      <c r="EG58" s="19">
        <v>0.11925041914830317</v>
      </c>
      <c r="EH58" s="3">
        <v>360</v>
      </c>
      <c r="EI58" s="20">
        <v>0.10682492581602374</v>
      </c>
      <c r="EJ58" s="20">
        <v>9.684004317133027E-2</v>
      </c>
      <c r="EK58" s="20">
        <v>0.11770514742387585</v>
      </c>
      <c r="EL58" s="438">
        <v>305</v>
      </c>
      <c r="EM58" s="20">
        <v>0.1020066889632107</v>
      </c>
      <c r="EN58" s="20">
        <v>9.166396150395606E-2</v>
      </c>
      <c r="EO58" s="104">
        <v>0.11337076303436093</v>
      </c>
      <c r="EP58" s="38">
        <v>935</v>
      </c>
      <c r="EQ58" s="20">
        <v>8.5505258344764523E-2</v>
      </c>
      <c r="ER58" s="44">
        <v>1005</v>
      </c>
      <c r="ES58" s="20">
        <v>9.1697080291970809E-2</v>
      </c>
      <c r="ET58" s="44">
        <v>985</v>
      </c>
      <c r="EU58" s="20">
        <v>8.9872262773722622E-2</v>
      </c>
      <c r="EV58" s="44">
        <v>975</v>
      </c>
      <c r="EW58" s="20">
        <v>8.9081772498857931E-2</v>
      </c>
      <c r="EX58" s="44">
        <v>925</v>
      </c>
      <c r="EY58" s="20">
        <v>8.4282460136674259E-2</v>
      </c>
      <c r="EZ58" s="44">
        <v>860</v>
      </c>
      <c r="FA58" s="104">
        <v>7.8574691640018277E-2</v>
      </c>
      <c r="FB58" s="3">
        <v>617</v>
      </c>
      <c r="FC58" s="3">
        <v>16</v>
      </c>
      <c r="FD58" s="3">
        <v>601</v>
      </c>
      <c r="FE58" s="19">
        <v>0.97406807131280393</v>
      </c>
      <c r="FF58" s="3">
        <v>283</v>
      </c>
      <c r="FG58" s="3">
        <v>368</v>
      </c>
      <c r="FH58" s="19">
        <v>0.47088186356073214</v>
      </c>
      <c r="FI58" s="19">
        <v>0.61231281198003329</v>
      </c>
      <c r="FJ58" s="19">
        <v>0.4312868407625195</v>
      </c>
      <c r="FK58" s="19">
        <v>0.51084675558809745</v>
      </c>
      <c r="FL58" s="19">
        <v>0.57276407466122725</v>
      </c>
      <c r="FM58" s="104">
        <v>0.65043491084353611</v>
      </c>
      <c r="FN58" s="438">
        <v>514</v>
      </c>
      <c r="FO58" s="438">
        <v>241</v>
      </c>
      <c r="FP58" s="438">
        <v>82</v>
      </c>
      <c r="FQ58" s="438">
        <v>323</v>
      </c>
      <c r="FR58" s="497">
        <v>0.4688715953307393</v>
      </c>
      <c r="FS58" s="497">
        <v>0.62840466926070038</v>
      </c>
      <c r="FT58" s="497">
        <v>0.42612090284028065</v>
      </c>
      <c r="FU58" s="497">
        <v>0.51208412216317278</v>
      </c>
      <c r="FV58" s="497">
        <v>0.58582100428592065</v>
      </c>
      <c r="FW58" s="104">
        <v>0.66908326757483405</v>
      </c>
      <c r="FX58" s="438">
        <v>679</v>
      </c>
      <c r="FY58" s="438">
        <v>55</v>
      </c>
      <c r="FZ58" s="438">
        <v>624</v>
      </c>
      <c r="GA58" s="497">
        <v>0.91899852724594988</v>
      </c>
      <c r="GB58" s="438">
        <v>291</v>
      </c>
      <c r="GC58" s="438">
        <v>93</v>
      </c>
      <c r="GD58" s="438">
        <v>384</v>
      </c>
      <c r="GE58" s="497">
        <v>0.46634615384615385</v>
      </c>
      <c r="GF58" s="497">
        <v>0.61538461538461542</v>
      </c>
      <c r="GG58" s="497">
        <v>0.42752973850133819</v>
      </c>
      <c r="GH58" s="497">
        <v>0.50557439247005276</v>
      </c>
      <c r="GI58" s="497">
        <v>0.57661725870591585</v>
      </c>
      <c r="GJ58" s="104">
        <v>0.6527400065350295</v>
      </c>
      <c r="GK58" s="3">
        <v>584</v>
      </c>
      <c r="GL58" s="3">
        <v>40</v>
      </c>
      <c r="GM58" s="19">
        <v>6.8493150684931503E-2</v>
      </c>
      <c r="GN58" s="19">
        <v>5.0700192152736974E-2</v>
      </c>
      <c r="GO58" s="19">
        <v>9.1925778783191525E-2</v>
      </c>
      <c r="GP58" s="353" t="s">
        <v>726</v>
      </c>
      <c r="GQ58" s="3">
        <v>606</v>
      </c>
      <c r="GR58" s="3">
        <v>41</v>
      </c>
      <c r="GS58" s="19">
        <v>6.7656765676567657E-2</v>
      </c>
      <c r="GT58" s="19">
        <v>5.0261484259510152E-2</v>
      </c>
      <c r="GU58" s="19">
        <v>9.0498802826732824E-2</v>
      </c>
      <c r="GV58" s="3" t="s">
        <v>726</v>
      </c>
      <c r="GW58" s="3">
        <v>390</v>
      </c>
      <c r="GX58" s="3">
        <v>35</v>
      </c>
      <c r="GY58" s="19">
        <v>8.9743589743589744E-2</v>
      </c>
      <c r="GZ58" s="19">
        <v>6.5235527450921732E-2</v>
      </c>
      <c r="HA58" s="19">
        <v>0.12225478665110948</v>
      </c>
      <c r="HB58" s="3" t="s">
        <v>725</v>
      </c>
      <c r="HC58" s="3">
        <v>568</v>
      </c>
      <c r="HD58" s="3">
        <v>39</v>
      </c>
      <c r="HE58" s="19">
        <v>6.8661971830985921E-2</v>
      </c>
      <c r="HF58" s="19">
        <v>5.0631690526542664E-2</v>
      </c>
      <c r="HG58" s="19">
        <v>9.2487451253550318E-2</v>
      </c>
      <c r="HH58" s="3" t="s">
        <v>725</v>
      </c>
      <c r="HI58" s="3">
        <v>352</v>
      </c>
      <c r="HJ58" s="3">
        <v>16</v>
      </c>
      <c r="HK58" s="19">
        <v>4.5454545454545456E-2</v>
      </c>
      <c r="HL58" s="19">
        <v>2.8169773989289198E-2</v>
      </c>
      <c r="HM58" s="19">
        <v>7.2553337194768669E-2</v>
      </c>
      <c r="HN58" s="11" t="s">
        <v>726</v>
      </c>
      <c r="HO58" s="11">
        <v>610</v>
      </c>
      <c r="HP58" s="11">
        <v>33</v>
      </c>
      <c r="HQ58" s="497">
        <v>5.4098360655737705E-2</v>
      </c>
      <c r="HR58" s="497">
        <v>3.8777444302139925E-2</v>
      </c>
      <c r="HS58" s="497">
        <v>7.5000238545924497E-2</v>
      </c>
      <c r="HT58" s="8" t="str">
        <f t="shared" si="0"/>
        <v>Sig better than Eng.</v>
      </c>
      <c r="HU58" s="3">
        <v>593</v>
      </c>
      <c r="HV58" s="3">
        <v>79</v>
      </c>
      <c r="HW58" s="19">
        <v>0.13322091062394603</v>
      </c>
      <c r="HX58" s="19">
        <v>0.10821751503531322</v>
      </c>
      <c r="HY58" s="19">
        <v>0.16294571672220998</v>
      </c>
      <c r="HZ58" s="3" t="s">
        <v>726</v>
      </c>
      <c r="IA58" s="3">
        <v>630</v>
      </c>
      <c r="IB58" s="3">
        <v>88</v>
      </c>
      <c r="IC58" s="19">
        <v>0.13968253968253969</v>
      </c>
      <c r="ID58" s="19">
        <v>0.11479084888788295</v>
      </c>
      <c r="IE58" s="19">
        <v>0.16894170965333588</v>
      </c>
      <c r="IF58" s="3" t="s">
        <v>726</v>
      </c>
      <c r="IG58" s="3">
        <v>603</v>
      </c>
      <c r="IH58" s="3">
        <v>68</v>
      </c>
      <c r="II58" s="19">
        <v>0.11276948590381426</v>
      </c>
      <c r="IJ58" s="19">
        <v>8.9935057926732356E-2</v>
      </c>
      <c r="IK58" s="19">
        <v>0.14050644666732612</v>
      </c>
      <c r="IL58" s="3" t="s">
        <v>726</v>
      </c>
      <c r="IM58" s="3">
        <v>580</v>
      </c>
      <c r="IN58" s="3">
        <v>72</v>
      </c>
      <c r="IO58" s="19">
        <v>0.12413793103448276</v>
      </c>
      <c r="IP58" s="19">
        <v>9.9750144188588658E-2</v>
      </c>
      <c r="IQ58" s="19">
        <v>0.15347178205029172</v>
      </c>
      <c r="IR58" s="3" t="s">
        <v>726</v>
      </c>
      <c r="IS58" s="3">
        <v>656</v>
      </c>
      <c r="IT58" s="3">
        <v>78</v>
      </c>
      <c r="IU58" s="19">
        <v>0.11890243902439024</v>
      </c>
      <c r="IV58" s="19">
        <v>9.6325134776360358E-2</v>
      </c>
      <c r="IW58" s="19">
        <v>0.14591708368983272</v>
      </c>
      <c r="IX58" s="11" t="s">
        <v>726</v>
      </c>
      <c r="IY58" s="11">
        <v>593</v>
      </c>
      <c r="IZ58" s="11">
        <v>78</v>
      </c>
      <c r="JA58" s="497">
        <v>0.13153456998313659</v>
      </c>
      <c r="JB58" s="497">
        <v>0.10668729057071816</v>
      </c>
      <c r="JC58" s="497">
        <v>0.1611249675397132</v>
      </c>
      <c r="JD58" s="8" t="str">
        <f t="shared" si="1"/>
        <v>Sig better than Eng.</v>
      </c>
      <c r="JE58" s="3">
        <v>673</v>
      </c>
      <c r="JF58" s="3">
        <v>392</v>
      </c>
      <c r="JG58" s="19">
        <v>0.58246656760772664</v>
      </c>
      <c r="JH58" s="19">
        <v>0.54484327168467928</v>
      </c>
      <c r="JI58" s="19">
        <v>0.61915377452670772</v>
      </c>
      <c r="JJ58" s="3">
        <v>673</v>
      </c>
      <c r="JK58" s="3">
        <v>34</v>
      </c>
      <c r="JL58" s="3">
        <v>134</v>
      </c>
      <c r="JM58" s="383">
        <v>25.253731343283587</v>
      </c>
      <c r="JN58" s="19">
        <v>0.25724319578577687</v>
      </c>
      <c r="JO58" s="3">
        <v>751</v>
      </c>
      <c r="JP58" s="3">
        <v>468</v>
      </c>
      <c r="JQ58" s="19">
        <v>0.62316910785619173</v>
      </c>
      <c r="JR58" s="19">
        <v>0.58796684159232548</v>
      </c>
      <c r="JS58" s="19">
        <v>0.65711773588839439</v>
      </c>
      <c r="JT58" s="3">
        <v>751</v>
      </c>
      <c r="JU58" s="3">
        <v>34</v>
      </c>
      <c r="JV58" s="3">
        <v>150</v>
      </c>
      <c r="JW58" s="383">
        <v>24.599999999999994</v>
      </c>
      <c r="JX58" s="20">
        <v>0.2764705882352943</v>
      </c>
      <c r="JY58" s="44">
        <v>699</v>
      </c>
      <c r="JZ58" s="44">
        <v>462</v>
      </c>
      <c r="KA58" s="20">
        <v>0.66094420600858372</v>
      </c>
      <c r="KB58" s="20">
        <v>0.62505596442660638</v>
      </c>
      <c r="KC58" s="20">
        <v>0.69507313037313712</v>
      </c>
      <c r="KD58" s="438">
        <v>34</v>
      </c>
      <c r="KE58" s="438">
        <v>139</v>
      </c>
      <c r="KF58" s="384">
        <v>25.1</v>
      </c>
      <c r="KG58" s="104">
        <v>0.26200000000000001</v>
      </c>
      <c r="KH58" s="19"/>
      <c r="KI58" s="19"/>
      <c r="KJ58" s="19"/>
      <c r="KK58" s="19"/>
      <c r="KL58" s="19"/>
      <c r="KM58" s="19"/>
      <c r="KN58" s="19"/>
      <c r="KO58" s="19"/>
      <c r="KP58" s="19"/>
      <c r="KQ58" s="19"/>
      <c r="KR58" s="19"/>
      <c r="KS58" s="19"/>
      <c r="KT58" s="19"/>
      <c r="KU58" s="19"/>
      <c r="KV58" s="19"/>
      <c r="KW58" s="104"/>
      <c r="KX58" s="438">
        <v>20</v>
      </c>
      <c r="KY58" s="438">
        <v>252</v>
      </c>
      <c r="KZ58" s="497">
        <v>7.9365079365079361E-2</v>
      </c>
      <c r="LA58" s="497">
        <v>5.1961785127078337E-2</v>
      </c>
      <c r="LB58" s="497">
        <v>0.11940003802223502</v>
      </c>
      <c r="LC58" s="438">
        <v>17</v>
      </c>
      <c r="LD58" s="438">
        <v>252</v>
      </c>
      <c r="LE58" s="497">
        <v>6.7460317460317457E-2</v>
      </c>
      <c r="LF58" s="497">
        <v>4.254209307182908E-2</v>
      </c>
      <c r="LG58" s="497">
        <v>0.10536770620435162</v>
      </c>
      <c r="LH58" s="438">
        <v>22</v>
      </c>
      <c r="LI58" s="438">
        <v>250</v>
      </c>
      <c r="LJ58" s="497">
        <v>8.7999999999999995E-2</v>
      </c>
      <c r="LK58" s="497">
        <v>5.8831355953781639E-2</v>
      </c>
      <c r="LL58" s="497">
        <v>0.12963848283046467</v>
      </c>
      <c r="LM58" s="438">
        <v>39</v>
      </c>
      <c r="LN58" s="438">
        <v>246</v>
      </c>
      <c r="LO58" s="497">
        <v>0.15853658536585366</v>
      </c>
      <c r="LP58" s="497">
        <v>0.11819391495104363</v>
      </c>
      <c r="LQ58" s="104">
        <v>0.20937965593268223</v>
      </c>
      <c r="LR58" s="3">
        <v>181</v>
      </c>
      <c r="LS58" s="3">
        <v>173</v>
      </c>
      <c r="LT58" s="3">
        <v>173</v>
      </c>
      <c r="LU58" s="3">
        <v>176</v>
      </c>
      <c r="LV58" s="3">
        <v>173</v>
      </c>
      <c r="LW58" s="3">
        <v>189</v>
      </c>
      <c r="LX58" s="3">
        <v>180</v>
      </c>
      <c r="LY58" s="3">
        <v>174</v>
      </c>
      <c r="LZ58" s="3">
        <v>180</v>
      </c>
      <c r="MA58" s="3">
        <v>175</v>
      </c>
      <c r="MB58" s="3">
        <v>178</v>
      </c>
      <c r="MC58" s="3">
        <v>181</v>
      </c>
      <c r="MD58" s="3">
        <v>181</v>
      </c>
      <c r="ME58" s="3">
        <v>168</v>
      </c>
      <c r="MF58" s="3">
        <v>155</v>
      </c>
      <c r="MG58" s="3">
        <v>152</v>
      </c>
      <c r="MH58" s="3">
        <v>147</v>
      </c>
      <c r="MI58" s="3">
        <v>151</v>
      </c>
      <c r="MJ58" s="3">
        <v>158</v>
      </c>
      <c r="MK58" s="3">
        <v>145</v>
      </c>
      <c r="ML58" s="3">
        <v>158</v>
      </c>
      <c r="MM58" s="3">
        <v>154</v>
      </c>
      <c r="MN58" s="8">
        <v>156</v>
      </c>
      <c r="MO58" s="3">
        <v>776</v>
      </c>
      <c r="MP58" s="24">
        <v>0.97399999999999998</v>
      </c>
      <c r="MQ58" s="24">
        <v>4.0000000000000001E-3</v>
      </c>
      <c r="MR58" s="24">
        <v>0.97</v>
      </c>
      <c r="MS58" s="3">
        <v>756</v>
      </c>
      <c r="MT58" s="3">
        <v>3</v>
      </c>
      <c r="MU58" s="3">
        <v>753</v>
      </c>
      <c r="MV58" s="3">
        <v>804</v>
      </c>
      <c r="MW58" s="24">
        <v>0.97599999999999998</v>
      </c>
      <c r="MX58" s="24">
        <v>0.95299999999999996</v>
      </c>
      <c r="MY58" s="24">
        <v>0.95</v>
      </c>
      <c r="MZ58" s="24">
        <v>0.95899999999999996</v>
      </c>
      <c r="NA58" s="24">
        <v>0.95499999999999996</v>
      </c>
      <c r="NB58" s="3">
        <v>785</v>
      </c>
      <c r="NC58" s="3">
        <v>766</v>
      </c>
      <c r="ND58" s="3">
        <v>764</v>
      </c>
      <c r="NE58" s="3">
        <v>771</v>
      </c>
      <c r="NF58" s="3">
        <v>768</v>
      </c>
      <c r="NG58" s="3">
        <v>895</v>
      </c>
      <c r="NH58" s="24">
        <v>0.97099999999999997</v>
      </c>
      <c r="NI58" s="24">
        <v>0.93200000000000005</v>
      </c>
      <c r="NJ58" s="24">
        <v>0.97099999999999997</v>
      </c>
      <c r="NK58" s="24">
        <v>0.96899999999999997</v>
      </c>
      <c r="NL58" s="24">
        <v>0.96199999999999997</v>
      </c>
      <c r="NM58" s="24">
        <v>0.83799999999999997</v>
      </c>
      <c r="NN58" s="24">
        <v>0.93400000000000005</v>
      </c>
      <c r="NO58" s="24">
        <v>0.93400000000000005</v>
      </c>
      <c r="NP58" s="24">
        <v>0.96399999999999997</v>
      </c>
      <c r="NQ58" s="24">
        <v>0.93300000000000005</v>
      </c>
      <c r="NR58" s="3">
        <v>869</v>
      </c>
      <c r="NS58" s="3">
        <v>834</v>
      </c>
      <c r="NT58" s="3">
        <v>869</v>
      </c>
      <c r="NU58" s="3">
        <v>867</v>
      </c>
      <c r="NV58" s="3">
        <v>861</v>
      </c>
      <c r="NW58" s="3">
        <v>750</v>
      </c>
      <c r="NX58" s="3">
        <v>836</v>
      </c>
      <c r="NY58" s="3">
        <v>836</v>
      </c>
      <c r="NZ58" s="3">
        <v>863</v>
      </c>
      <c r="OA58" s="8">
        <v>835</v>
      </c>
    </row>
    <row r="59" spans="1:391" s="3" customFormat="1" ht="12.75" x14ac:dyDescent="0.2">
      <c r="A59" s="11" t="s">
        <v>122</v>
      </c>
      <c r="B59" s="8">
        <v>11</v>
      </c>
      <c r="C59" s="11" t="s">
        <v>287</v>
      </c>
      <c r="D59" s="11" t="s">
        <v>287</v>
      </c>
      <c r="E59" s="11" t="s">
        <v>287</v>
      </c>
      <c r="F59" s="11" t="s">
        <v>287</v>
      </c>
      <c r="G59" s="11" t="s">
        <v>287</v>
      </c>
      <c r="H59" s="11" t="s">
        <v>81</v>
      </c>
      <c r="I59" s="11" t="s">
        <v>81</v>
      </c>
      <c r="J59" s="11" t="s">
        <v>271</v>
      </c>
      <c r="K59" s="11" t="s">
        <v>287</v>
      </c>
      <c r="L59" s="11" t="s">
        <v>287</v>
      </c>
      <c r="M59" s="11" t="s">
        <v>287</v>
      </c>
      <c r="N59" s="11" t="s">
        <v>81</v>
      </c>
      <c r="O59" s="128" t="s">
        <v>287</v>
      </c>
      <c r="P59" s="128" t="s">
        <v>287</v>
      </c>
      <c r="Q59" s="128" t="s">
        <v>287</v>
      </c>
      <c r="R59" s="128" t="s">
        <v>287</v>
      </c>
      <c r="S59" s="128" t="s">
        <v>287</v>
      </c>
      <c r="T59" s="38">
        <v>130505</v>
      </c>
      <c r="U59" s="39">
        <v>132060</v>
      </c>
      <c r="V59" s="39">
        <v>133975</v>
      </c>
      <c r="W59" s="39">
        <v>135735</v>
      </c>
      <c r="X59" s="39">
        <v>137210</v>
      </c>
      <c r="Y59" s="39">
        <v>138895</v>
      </c>
      <c r="Z59" s="39">
        <v>140190</v>
      </c>
      <c r="AA59" s="39">
        <v>141160</v>
      </c>
      <c r="AB59" s="39">
        <v>142765</v>
      </c>
      <c r="AC59" s="44">
        <v>144375</v>
      </c>
      <c r="AD59" s="38">
        <v>7450</v>
      </c>
      <c r="AE59" s="39">
        <v>7665</v>
      </c>
      <c r="AF59" s="39">
        <v>7985</v>
      </c>
      <c r="AG59" s="39">
        <v>8155</v>
      </c>
      <c r="AH59" s="39">
        <v>8140</v>
      </c>
      <c r="AI59" s="39">
        <v>8240</v>
      </c>
      <c r="AJ59" s="39">
        <v>8325</v>
      </c>
      <c r="AK59" s="39">
        <v>8490</v>
      </c>
      <c r="AL59" s="39">
        <v>8560</v>
      </c>
      <c r="AM59" s="44">
        <v>8695</v>
      </c>
      <c r="AN59" s="15">
        <v>8343</v>
      </c>
      <c r="AO59" s="3">
        <v>7298</v>
      </c>
      <c r="AP59" s="3">
        <v>325</v>
      </c>
      <c r="AQ59" s="3">
        <v>336</v>
      </c>
      <c r="AR59" s="3">
        <v>331</v>
      </c>
      <c r="AS59" s="3">
        <v>46</v>
      </c>
      <c r="AT59" s="3">
        <v>7</v>
      </c>
      <c r="AU59" s="11">
        <v>1045</v>
      </c>
      <c r="AV59" s="18">
        <v>0.87474529545726953</v>
      </c>
      <c r="AW59" s="19">
        <v>3.8954812417595588E-2</v>
      </c>
      <c r="AX59" s="19">
        <v>4.0273282991729595E-2</v>
      </c>
      <c r="AY59" s="19">
        <v>3.9673978185305048E-2</v>
      </c>
      <c r="AZ59" s="19">
        <v>5.5136042191058368E-3</v>
      </c>
      <c r="BA59" s="19">
        <v>8.3902672899436649E-4</v>
      </c>
      <c r="BB59" s="20">
        <v>0.12525470454273047</v>
      </c>
      <c r="BC59" s="15">
        <v>22188</v>
      </c>
      <c r="BD59" s="11">
        <v>21777</v>
      </c>
      <c r="BE59" s="11">
        <v>411</v>
      </c>
      <c r="BF59" s="11">
        <v>362</v>
      </c>
      <c r="BG59" s="11">
        <v>49</v>
      </c>
      <c r="BH59" s="20">
        <v>0.88077858880778592</v>
      </c>
      <c r="BI59" s="20">
        <v>0.11922141119221411</v>
      </c>
      <c r="BJ59" s="38">
        <v>16498</v>
      </c>
      <c r="BK59" s="19">
        <v>0.71044975148502854</v>
      </c>
      <c r="BL59" s="19">
        <v>0.12456055279427809</v>
      </c>
      <c r="BM59" s="20">
        <v>0.16498969572069341</v>
      </c>
      <c r="BN59" s="38">
        <v>40824</v>
      </c>
      <c r="BO59" s="39">
        <v>2421</v>
      </c>
      <c r="BP59" s="39">
        <v>2796</v>
      </c>
      <c r="BQ59" s="39">
        <v>1278</v>
      </c>
      <c r="BR59" s="39">
        <v>30486</v>
      </c>
      <c r="BS59" s="39">
        <v>16991</v>
      </c>
      <c r="BT59" s="20">
        <v>0.14837266788299688</v>
      </c>
      <c r="BU59" s="38">
        <v>11413</v>
      </c>
      <c r="BV59" s="39">
        <v>8</v>
      </c>
      <c r="BW59" s="39">
        <v>1979</v>
      </c>
      <c r="BX59" s="39">
        <v>2652</v>
      </c>
      <c r="BY59" s="39">
        <v>993</v>
      </c>
      <c r="BZ59" s="40">
        <v>17045</v>
      </c>
      <c r="CA59" s="39">
        <v>6511</v>
      </c>
      <c r="CB59" s="39">
        <v>5856</v>
      </c>
      <c r="CC59" s="39">
        <v>647</v>
      </c>
      <c r="CD59" s="39">
        <v>655</v>
      </c>
      <c r="CE59" s="19">
        <v>9.9370296421440643E-2</v>
      </c>
      <c r="CF59" s="104">
        <v>0.10059898633082476</v>
      </c>
      <c r="CG59" s="39">
        <v>565</v>
      </c>
      <c r="CH59" s="39">
        <v>525</v>
      </c>
      <c r="CI59" s="39">
        <v>450</v>
      </c>
      <c r="CJ59" s="39">
        <v>450</v>
      </c>
      <c r="CK59" s="44">
        <v>420</v>
      </c>
      <c r="CL59" s="38">
        <v>2645</v>
      </c>
      <c r="CM59" s="39">
        <v>656</v>
      </c>
      <c r="CN59" s="19">
        <v>0.24801512287334593</v>
      </c>
      <c r="CO59" s="40">
        <v>222</v>
      </c>
      <c r="CP59" s="122">
        <v>1457</v>
      </c>
      <c r="CQ59" s="122">
        <v>1513</v>
      </c>
      <c r="CR59" s="122">
        <v>1512</v>
      </c>
      <c r="CS59" s="122">
        <v>1521</v>
      </c>
      <c r="CT59" s="122">
        <v>1486</v>
      </c>
      <c r="CU59" s="120" t="s">
        <v>474</v>
      </c>
      <c r="CV59" s="39">
        <v>48</v>
      </c>
      <c r="CW59" s="39">
        <v>48</v>
      </c>
      <c r="CX59" s="39">
        <v>42</v>
      </c>
      <c r="CY59" s="39">
        <v>29</v>
      </c>
      <c r="CZ59" s="39">
        <v>36</v>
      </c>
      <c r="DA59" s="142" t="s">
        <v>474</v>
      </c>
      <c r="DB59" s="15">
        <v>70</v>
      </c>
      <c r="DC59" s="15">
        <v>74</v>
      </c>
      <c r="DD59" s="19">
        <v>4.9798115746971738E-2</v>
      </c>
      <c r="DE59" s="19">
        <v>3.9852422821900144E-2</v>
      </c>
      <c r="DF59" s="20">
        <v>6.2065440935822419E-2</v>
      </c>
      <c r="DG59" s="15">
        <v>140</v>
      </c>
      <c r="DH59" s="20">
        <v>1.6794625719769675E-2</v>
      </c>
      <c r="DI59" s="470" t="s">
        <v>287</v>
      </c>
      <c r="DJ59" s="471" t="s">
        <v>287</v>
      </c>
      <c r="DK59" s="3">
        <v>1360</v>
      </c>
      <c r="DL59" s="20">
        <v>2.3689665383476458E-2</v>
      </c>
      <c r="DM59" s="15">
        <v>740</v>
      </c>
      <c r="DN59" s="3">
        <v>770</v>
      </c>
      <c r="DO59" s="3">
        <v>785</v>
      </c>
      <c r="DP59" s="3">
        <v>690</v>
      </c>
      <c r="DQ59" s="11">
        <v>665</v>
      </c>
      <c r="DR59" s="15">
        <v>640</v>
      </c>
      <c r="DS59" s="19">
        <v>8.4936960849369608E-2</v>
      </c>
      <c r="DT59" s="19">
        <v>7.8851732870742153E-2</v>
      </c>
      <c r="DU59" s="19">
        <v>9.1445184213056835E-2</v>
      </c>
      <c r="DV59" s="3">
        <v>745</v>
      </c>
      <c r="DW59" s="19">
        <v>9.7833223900196983E-2</v>
      </c>
      <c r="DX59" s="19">
        <v>9.136192840973352E-2</v>
      </c>
      <c r="DY59" s="19">
        <v>0.10471006848045021</v>
      </c>
      <c r="DZ59" s="3">
        <v>705</v>
      </c>
      <c r="EA59" s="19">
        <v>9.0792015453960082E-2</v>
      </c>
      <c r="EB59" s="19">
        <v>8.4602263171927344E-2</v>
      </c>
      <c r="EC59" s="19">
        <v>9.7386449857533086E-2</v>
      </c>
      <c r="ED59" s="3">
        <v>700</v>
      </c>
      <c r="EE59" s="19">
        <v>8.9743589743589744E-2</v>
      </c>
      <c r="EF59" s="19">
        <v>8.3601036696213937E-2</v>
      </c>
      <c r="EG59" s="19">
        <v>9.6290042104974397E-2</v>
      </c>
      <c r="EH59" s="3">
        <v>710</v>
      </c>
      <c r="EI59" s="20">
        <v>9.015873015873016E-2</v>
      </c>
      <c r="EJ59" s="20">
        <v>8.4031227648310711E-2</v>
      </c>
      <c r="EK59" s="20">
        <v>9.6685882381444196E-2</v>
      </c>
      <c r="EL59" s="438">
        <v>630</v>
      </c>
      <c r="EM59" s="20">
        <v>9.3402520385470714E-2</v>
      </c>
      <c r="EN59" s="20">
        <v>8.6687534079971679E-2</v>
      </c>
      <c r="EO59" s="104">
        <v>0.10058037946226468</v>
      </c>
      <c r="EP59" s="38">
        <v>1975</v>
      </c>
      <c r="EQ59" s="20">
        <v>7.9621044144325734E-2</v>
      </c>
      <c r="ER59" s="44">
        <v>2235</v>
      </c>
      <c r="ES59" s="20">
        <v>8.9382123575284939E-2</v>
      </c>
      <c r="ET59" s="44">
        <v>2135</v>
      </c>
      <c r="EU59" s="20">
        <v>8.4537715303900224E-2</v>
      </c>
      <c r="EV59" s="44">
        <v>2105</v>
      </c>
      <c r="EW59" s="20">
        <v>8.2955665024630545E-2</v>
      </c>
      <c r="EX59" s="44">
        <v>1935</v>
      </c>
      <c r="EY59" s="20">
        <v>7.6001571091908873E-2</v>
      </c>
      <c r="EZ59" s="44">
        <v>1845</v>
      </c>
      <c r="FA59" s="104">
        <v>7.2695035460992902E-2</v>
      </c>
      <c r="FB59" s="3">
        <v>1479</v>
      </c>
      <c r="FC59" s="3">
        <v>37</v>
      </c>
      <c r="FD59" s="3">
        <v>1442</v>
      </c>
      <c r="FE59" s="19">
        <v>0.9749830966869506</v>
      </c>
      <c r="FF59" s="3">
        <v>703</v>
      </c>
      <c r="FG59" s="3">
        <v>902</v>
      </c>
      <c r="FH59" s="19">
        <v>0.48751733703190014</v>
      </c>
      <c r="FI59" s="19">
        <v>0.62552011095700422</v>
      </c>
      <c r="FJ59" s="19">
        <v>0.46178594193552791</v>
      </c>
      <c r="FK59" s="19">
        <v>0.51331506254848824</v>
      </c>
      <c r="FL59" s="19">
        <v>0.60023713947888135</v>
      </c>
      <c r="FM59" s="104">
        <v>0.65013609320962285</v>
      </c>
      <c r="FN59" s="438">
        <v>1438</v>
      </c>
      <c r="FO59" s="438">
        <v>680</v>
      </c>
      <c r="FP59" s="438">
        <v>270</v>
      </c>
      <c r="FQ59" s="438">
        <v>950</v>
      </c>
      <c r="FR59" s="497">
        <v>0.47287899860917942</v>
      </c>
      <c r="FS59" s="497">
        <v>0.6606397774687065</v>
      </c>
      <c r="FT59" s="497">
        <v>0.44718085295846682</v>
      </c>
      <c r="FU59" s="497">
        <v>0.49872165974650318</v>
      </c>
      <c r="FV59" s="497">
        <v>0.63576798800794965</v>
      </c>
      <c r="FW59" s="104">
        <v>0.68465559058568948</v>
      </c>
      <c r="FX59" s="438">
        <v>1529</v>
      </c>
      <c r="FY59" s="438">
        <v>68</v>
      </c>
      <c r="FZ59" s="438">
        <v>1461</v>
      </c>
      <c r="GA59" s="497">
        <v>0.95552648790058858</v>
      </c>
      <c r="GB59" s="438">
        <v>703</v>
      </c>
      <c r="GC59" s="438">
        <v>268</v>
      </c>
      <c r="GD59" s="438">
        <v>971</v>
      </c>
      <c r="GE59" s="497">
        <v>0.48117727583846681</v>
      </c>
      <c r="GF59" s="497">
        <v>0.66461327857631758</v>
      </c>
      <c r="GG59" s="497">
        <v>0.45563985718448147</v>
      </c>
      <c r="GH59" s="497">
        <v>0.50681341742157793</v>
      </c>
      <c r="GI59" s="497">
        <v>0.64000030186510848</v>
      </c>
      <c r="GJ59" s="104">
        <v>0.68836287839826327</v>
      </c>
      <c r="GK59" s="3">
        <v>1206</v>
      </c>
      <c r="GL59" s="3">
        <v>69</v>
      </c>
      <c r="GM59" s="19">
        <v>5.721393034825871E-2</v>
      </c>
      <c r="GN59" s="19">
        <v>4.5457515173171009E-2</v>
      </c>
      <c r="GO59" s="19">
        <v>7.1782192382359139E-2</v>
      </c>
      <c r="GP59" s="353" t="s">
        <v>726</v>
      </c>
      <c r="GQ59" s="3">
        <v>1330</v>
      </c>
      <c r="GR59" s="3">
        <v>79</v>
      </c>
      <c r="GS59" s="19">
        <v>5.9398496240601506E-2</v>
      </c>
      <c r="GT59" s="19">
        <v>4.7919231091123504E-2</v>
      </c>
      <c r="GU59" s="19">
        <v>7.341562302548571E-2</v>
      </c>
      <c r="GV59" s="3" t="s">
        <v>726</v>
      </c>
      <c r="GW59" s="3">
        <v>1348</v>
      </c>
      <c r="GX59" s="3">
        <v>69</v>
      </c>
      <c r="GY59" s="19">
        <v>5.118694362017804E-2</v>
      </c>
      <c r="GZ59" s="19">
        <v>4.0645524866629167E-2</v>
      </c>
      <c r="HA59" s="19">
        <v>6.4279100647099616E-2</v>
      </c>
      <c r="HB59" s="3" t="s">
        <v>726</v>
      </c>
      <c r="HC59" s="3">
        <v>1303</v>
      </c>
      <c r="HD59" s="3">
        <v>90</v>
      </c>
      <c r="HE59" s="19">
        <v>6.9071373752877974E-2</v>
      </c>
      <c r="HF59" s="19">
        <v>5.653171765493481E-2</v>
      </c>
      <c r="HG59" s="19">
        <v>8.4144458158001506E-2</v>
      </c>
      <c r="HH59" s="3" t="s">
        <v>726</v>
      </c>
      <c r="HI59" s="3">
        <v>923</v>
      </c>
      <c r="HJ59" s="3">
        <v>52</v>
      </c>
      <c r="HK59" s="19">
        <v>5.6338028169014086E-2</v>
      </c>
      <c r="HL59" s="19">
        <v>4.3219284837576449E-2</v>
      </c>
      <c r="HM59" s="19">
        <v>7.3134442970317209E-2</v>
      </c>
      <c r="HN59" s="11" t="s">
        <v>726</v>
      </c>
      <c r="HO59" s="11">
        <v>1359</v>
      </c>
      <c r="HP59" s="11">
        <v>81</v>
      </c>
      <c r="HQ59" s="497">
        <v>5.9602649006622516E-2</v>
      </c>
      <c r="HR59" s="497">
        <v>4.8213471990640556E-2</v>
      </c>
      <c r="HS59" s="497">
        <v>7.3474533424311761E-2</v>
      </c>
      <c r="HT59" s="8" t="str">
        <f t="shared" si="0"/>
        <v>Sig better than Eng.</v>
      </c>
      <c r="HU59" s="3">
        <v>1204</v>
      </c>
      <c r="HV59" s="3">
        <v>172</v>
      </c>
      <c r="HW59" s="19">
        <v>0.14285714285714285</v>
      </c>
      <c r="HX59" s="19">
        <v>0.1242260956758479</v>
      </c>
      <c r="HY59" s="19">
        <v>0.16375992788747454</v>
      </c>
      <c r="HZ59" s="3" t="s">
        <v>726</v>
      </c>
      <c r="IA59" s="3">
        <v>1143</v>
      </c>
      <c r="IB59" s="3">
        <v>142</v>
      </c>
      <c r="IC59" s="19">
        <v>0.1242344706911636</v>
      </c>
      <c r="ID59" s="19">
        <v>0.10636144655299956</v>
      </c>
      <c r="IE59" s="19">
        <v>0.14462482239186727</v>
      </c>
      <c r="IF59" s="3" t="s">
        <v>726</v>
      </c>
      <c r="IG59" s="3">
        <v>1187</v>
      </c>
      <c r="IH59" s="3">
        <v>158</v>
      </c>
      <c r="II59" s="19">
        <v>0.13310867733782644</v>
      </c>
      <c r="IJ59" s="19">
        <v>0.11496263618686223</v>
      </c>
      <c r="IK59" s="19">
        <v>0.15362178069885599</v>
      </c>
      <c r="IL59" s="3" t="s">
        <v>726</v>
      </c>
      <c r="IM59" s="3">
        <v>1154</v>
      </c>
      <c r="IN59" s="3">
        <v>133</v>
      </c>
      <c r="IO59" s="19">
        <v>0.11525129982668977</v>
      </c>
      <c r="IP59" s="19">
        <v>9.8090404106502271E-2</v>
      </c>
      <c r="IQ59" s="19">
        <v>0.13496521569790343</v>
      </c>
      <c r="IR59" s="3" t="s">
        <v>726</v>
      </c>
      <c r="IS59" s="3">
        <v>1210</v>
      </c>
      <c r="IT59" s="3">
        <v>137</v>
      </c>
      <c r="IU59" s="19">
        <v>0.11322314049586776</v>
      </c>
      <c r="IV59" s="19">
        <v>9.6579694778422029E-2</v>
      </c>
      <c r="IW59" s="19">
        <v>0.13231466107150142</v>
      </c>
      <c r="IX59" s="11" t="s">
        <v>726</v>
      </c>
      <c r="IY59" s="11">
        <v>1250</v>
      </c>
      <c r="IZ59" s="11">
        <v>149</v>
      </c>
      <c r="JA59" s="497">
        <v>0.1192</v>
      </c>
      <c r="JB59" s="497">
        <v>0.10239368062052333</v>
      </c>
      <c r="JC59" s="497">
        <v>0.13833967262542246</v>
      </c>
      <c r="JD59" s="8" t="str">
        <f t="shared" si="1"/>
        <v>Sig better than Eng.</v>
      </c>
      <c r="JE59" s="3">
        <v>1637</v>
      </c>
      <c r="JF59" s="3">
        <v>947</v>
      </c>
      <c r="JG59" s="19">
        <v>0.57849725106902872</v>
      </c>
      <c r="JH59" s="19">
        <v>0.55442004800520173</v>
      </c>
      <c r="JI59" s="19">
        <v>0.60220690618250572</v>
      </c>
      <c r="JJ59" s="3">
        <v>1637</v>
      </c>
      <c r="JK59" s="3">
        <v>34</v>
      </c>
      <c r="JL59" s="3">
        <v>327</v>
      </c>
      <c r="JM59" s="383">
        <v>25.431192660550472</v>
      </c>
      <c r="JN59" s="19">
        <v>0.25202374527792726</v>
      </c>
      <c r="JO59" s="3">
        <v>1614</v>
      </c>
      <c r="JP59" s="3">
        <v>1025</v>
      </c>
      <c r="JQ59" s="19">
        <v>0.63506815365551428</v>
      </c>
      <c r="JR59" s="19">
        <v>0.61128697123654441</v>
      </c>
      <c r="JS59" s="19">
        <v>0.65820791506573717</v>
      </c>
      <c r="JT59" s="3">
        <v>1614</v>
      </c>
      <c r="JU59" s="3">
        <v>34</v>
      </c>
      <c r="JV59" s="3">
        <v>320</v>
      </c>
      <c r="JW59" s="383">
        <v>26.740624999999991</v>
      </c>
      <c r="JX59" s="20">
        <v>0.21351102941176497</v>
      </c>
      <c r="JY59" s="44">
        <v>1729</v>
      </c>
      <c r="JZ59" s="44">
        <v>1190</v>
      </c>
      <c r="KA59" s="20">
        <v>0.68825910931174084</v>
      </c>
      <c r="KB59" s="20">
        <v>0.66602848238634826</v>
      </c>
      <c r="KC59" s="20">
        <v>0.70965504981806127</v>
      </c>
      <c r="KD59" s="438">
        <v>34</v>
      </c>
      <c r="KE59" s="438">
        <v>345</v>
      </c>
      <c r="KF59" s="384">
        <v>26.3</v>
      </c>
      <c r="KG59" s="104">
        <v>0.22600000000000001</v>
      </c>
      <c r="KH59" s="19"/>
      <c r="KI59" s="19"/>
      <c r="KJ59" s="19"/>
      <c r="KK59" s="19"/>
      <c r="KL59" s="19"/>
      <c r="KM59" s="19"/>
      <c r="KN59" s="19"/>
      <c r="KO59" s="19"/>
      <c r="KP59" s="19"/>
      <c r="KQ59" s="19"/>
      <c r="KR59" s="19"/>
      <c r="KS59" s="19"/>
      <c r="KT59" s="19"/>
      <c r="KU59" s="19"/>
      <c r="KV59" s="19"/>
      <c r="KW59" s="104"/>
      <c r="KX59" s="438">
        <v>55</v>
      </c>
      <c r="KY59" s="438">
        <v>823</v>
      </c>
      <c r="KZ59" s="497">
        <v>6.6828675577156743E-2</v>
      </c>
      <c r="LA59" s="497">
        <v>5.170105847217684E-2</v>
      </c>
      <c r="LB59" s="497">
        <v>8.5981271805581239E-2</v>
      </c>
      <c r="LC59" s="438">
        <v>43</v>
      </c>
      <c r="LD59" s="438">
        <v>823</v>
      </c>
      <c r="LE59" s="497">
        <v>5.2247873633049821E-2</v>
      </c>
      <c r="LF59" s="497">
        <v>3.9018455733918607E-2</v>
      </c>
      <c r="LG59" s="497">
        <v>6.9637753823876228E-2</v>
      </c>
      <c r="LH59" s="438">
        <v>50</v>
      </c>
      <c r="LI59" s="438">
        <v>818</v>
      </c>
      <c r="LJ59" s="497">
        <v>6.1124694376528114E-2</v>
      </c>
      <c r="LK59" s="497">
        <v>4.6669911343793682E-2</v>
      </c>
      <c r="LL59" s="497">
        <v>7.9682267298668577E-2</v>
      </c>
      <c r="LM59" s="438">
        <v>112</v>
      </c>
      <c r="LN59" s="438">
        <v>814</v>
      </c>
      <c r="LO59" s="497">
        <v>0.13759213759213759</v>
      </c>
      <c r="LP59" s="497">
        <v>0.11562469537313362</v>
      </c>
      <c r="LQ59" s="104">
        <v>0.16296409022014693</v>
      </c>
      <c r="LR59" s="3">
        <v>397</v>
      </c>
      <c r="LS59" s="3">
        <v>380</v>
      </c>
      <c r="LT59" s="3">
        <v>381</v>
      </c>
      <c r="LU59" s="3">
        <v>383</v>
      </c>
      <c r="LV59" s="3">
        <v>381</v>
      </c>
      <c r="LW59" s="3">
        <v>441</v>
      </c>
      <c r="LX59" s="3">
        <v>409</v>
      </c>
      <c r="LY59" s="3">
        <v>410</v>
      </c>
      <c r="LZ59" s="3">
        <v>403</v>
      </c>
      <c r="MA59" s="3">
        <v>413</v>
      </c>
      <c r="MB59" s="3">
        <v>421</v>
      </c>
      <c r="MC59" s="3">
        <v>411</v>
      </c>
      <c r="MD59" s="3">
        <v>422</v>
      </c>
      <c r="ME59" s="3">
        <v>492</v>
      </c>
      <c r="MF59" s="3">
        <v>456</v>
      </c>
      <c r="MG59" s="3">
        <v>453</v>
      </c>
      <c r="MH59" s="3">
        <v>440</v>
      </c>
      <c r="MI59" s="3">
        <v>455</v>
      </c>
      <c r="MJ59" s="3">
        <v>457</v>
      </c>
      <c r="MK59" s="3">
        <v>430</v>
      </c>
      <c r="ML59" s="3">
        <v>463</v>
      </c>
      <c r="MM59" s="3">
        <v>453</v>
      </c>
      <c r="MN59" s="8">
        <v>460</v>
      </c>
      <c r="MO59" s="3">
        <v>1641</v>
      </c>
      <c r="MP59" s="24">
        <v>0.96199999999999997</v>
      </c>
      <c r="MQ59" s="24">
        <v>1.2999999999999999E-2</v>
      </c>
      <c r="MR59" s="24">
        <v>0.96199999999999997</v>
      </c>
      <c r="MS59" s="3">
        <v>1579</v>
      </c>
      <c r="MT59" s="3">
        <v>22</v>
      </c>
      <c r="MU59" s="3">
        <v>1579</v>
      </c>
      <c r="MV59" s="3">
        <v>1648</v>
      </c>
      <c r="MW59" s="24">
        <v>0.95599999999999996</v>
      </c>
      <c r="MX59" s="24">
        <v>0.91700000000000004</v>
      </c>
      <c r="MY59" s="24">
        <v>0.94099999999999995</v>
      </c>
      <c r="MZ59" s="24">
        <v>0.92200000000000004</v>
      </c>
      <c r="NA59" s="24">
        <v>0.92100000000000004</v>
      </c>
      <c r="NB59" s="3">
        <v>1575</v>
      </c>
      <c r="NC59" s="3">
        <v>1512</v>
      </c>
      <c r="ND59" s="3">
        <v>1551</v>
      </c>
      <c r="NE59" s="3">
        <v>1519</v>
      </c>
      <c r="NF59" s="3">
        <v>1517</v>
      </c>
      <c r="NG59" s="3">
        <v>1832</v>
      </c>
      <c r="NH59" s="24">
        <v>0.95299999999999996</v>
      </c>
      <c r="NI59" s="24">
        <v>0.89500000000000002</v>
      </c>
      <c r="NJ59" s="24">
        <v>0.95299999999999996</v>
      </c>
      <c r="NK59" s="24">
        <v>0.95199999999999996</v>
      </c>
      <c r="NL59" s="24">
        <v>0.94499999999999995</v>
      </c>
      <c r="NM59" s="24">
        <v>0.871</v>
      </c>
      <c r="NN59" s="24">
        <v>0.93400000000000005</v>
      </c>
      <c r="NO59" s="24">
        <v>0.90900000000000003</v>
      </c>
      <c r="NP59" s="24">
        <v>0.94799999999999995</v>
      </c>
      <c r="NQ59" s="24">
        <v>0.90700000000000003</v>
      </c>
      <c r="NR59" s="3">
        <v>1746</v>
      </c>
      <c r="NS59" s="3">
        <v>1640</v>
      </c>
      <c r="NT59" s="3">
        <v>1746</v>
      </c>
      <c r="NU59" s="3">
        <v>1744</v>
      </c>
      <c r="NV59" s="3">
        <v>1732</v>
      </c>
      <c r="NW59" s="3">
        <v>1596</v>
      </c>
      <c r="NX59" s="3">
        <v>1712</v>
      </c>
      <c r="NY59" s="3">
        <v>1666</v>
      </c>
      <c r="NZ59" s="3">
        <v>1737</v>
      </c>
      <c r="OA59" s="8">
        <v>1661</v>
      </c>
    </row>
    <row r="60" spans="1:391" s="4" customFormat="1" ht="12.75" x14ac:dyDescent="0.2">
      <c r="A60" s="4" t="s">
        <v>123</v>
      </c>
      <c r="B60" s="9">
        <v>12</v>
      </c>
      <c r="C60" s="4" t="s">
        <v>287</v>
      </c>
      <c r="D60" s="4" t="s">
        <v>287</v>
      </c>
      <c r="E60" s="4" t="s">
        <v>287</v>
      </c>
      <c r="F60" s="4" t="s">
        <v>287</v>
      </c>
      <c r="G60" s="4" t="s">
        <v>287</v>
      </c>
      <c r="H60" s="4" t="s">
        <v>82</v>
      </c>
      <c r="I60" s="4" t="s">
        <v>82</v>
      </c>
      <c r="J60" s="4" t="s">
        <v>269</v>
      </c>
      <c r="K60" s="4" t="s">
        <v>287</v>
      </c>
      <c r="L60" s="4" t="s">
        <v>287</v>
      </c>
      <c r="M60" s="4" t="s">
        <v>287</v>
      </c>
      <c r="N60" s="4" t="s">
        <v>831</v>
      </c>
      <c r="O60" s="129" t="s">
        <v>287</v>
      </c>
      <c r="P60" s="129" t="s">
        <v>287</v>
      </c>
      <c r="Q60" s="129" t="s">
        <v>287</v>
      </c>
      <c r="R60" s="129" t="s">
        <v>287</v>
      </c>
      <c r="S60" s="129" t="s">
        <v>287</v>
      </c>
      <c r="T60" s="41">
        <v>106970</v>
      </c>
      <c r="U60" s="42">
        <v>107615</v>
      </c>
      <c r="V60" s="42">
        <v>108555</v>
      </c>
      <c r="W60" s="42">
        <v>109370</v>
      </c>
      <c r="X60" s="42">
        <v>109795</v>
      </c>
      <c r="Y60" s="42">
        <v>110865</v>
      </c>
      <c r="Z60" s="42">
        <v>112025</v>
      </c>
      <c r="AA60" s="42">
        <v>112725</v>
      </c>
      <c r="AB60" s="42">
        <v>113170</v>
      </c>
      <c r="AC60" s="42">
        <v>113925</v>
      </c>
      <c r="AD60" s="41">
        <v>5620</v>
      </c>
      <c r="AE60" s="42">
        <v>5730</v>
      </c>
      <c r="AF60" s="42">
        <v>5915</v>
      </c>
      <c r="AG60" s="42">
        <v>6175</v>
      </c>
      <c r="AH60" s="42">
        <v>6205</v>
      </c>
      <c r="AI60" s="42">
        <v>6365</v>
      </c>
      <c r="AJ60" s="42">
        <v>6570</v>
      </c>
      <c r="AK60" s="42">
        <v>6540</v>
      </c>
      <c r="AL60" s="42">
        <v>6395</v>
      </c>
      <c r="AM60" s="42">
        <v>6250</v>
      </c>
      <c r="AN60" s="16">
        <v>6573</v>
      </c>
      <c r="AO60" s="4">
        <v>5577</v>
      </c>
      <c r="AP60" s="4">
        <v>215</v>
      </c>
      <c r="AQ60" s="4">
        <v>411</v>
      </c>
      <c r="AR60" s="4">
        <v>291</v>
      </c>
      <c r="AS60" s="4">
        <v>52</v>
      </c>
      <c r="AT60" s="4">
        <v>27</v>
      </c>
      <c r="AU60" s="4">
        <v>996</v>
      </c>
      <c r="AV60" s="21">
        <v>0.84847101780009127</v>
      </c>
      <c r="AW60" s="22">
        <v>3.2709569450783509E-2</v>
      </c>
      <c r="AX60" s="22">
        <v>6.2528525787311731E-2</v>
      </c>
      <c r="AY60" s="22">
        <v>4.4272021907804653E-2</v>
      </c>
      <c r="AZ60" s="22">
        <v>7.9111516811197317E-3</v>
      </c>
      <c r="BA60" s="22">
        <v>4.1077133728890918E-3</v>
      </c>
      <c r="BB60" s="22">
        <v>0.15152898219990873</v>
      </c>
      <c r="BC60" s="16">
        <v>15545</v>
      </c>
      <c r="BD60" s="4">
        <v>15138</v>
      </c>
      <c r="BE60" s="4">
        <v>407</v>
      </c>
      <c r="BF60" s="4">
        <v>335</v>
      </c>
      <c r="BG60" s="4">
        <v>72</v>
      </c>
      <c r="BH60" s="22">
        <v>0.82309582309582308</v>
      </c>
      <c r="BI60" s="22">
        <v>0.1769041769041769</v>
      </c>
      <c r="BJ60" s="41">
        <v>12349</v>
      </c>
      <c r="BK60" s="22">
        <v>0.63632682808324559</v>
      </c>
      <c r="BL60" s="22">
        <v>0.12438254109644506</v>
      </c>
      <c r="BM60" s="22">
        <v>0.23929063082030932</v>
      </c>
      <c r="BN60" s="41">
        <v>31508</v>
      </c>
      <c r="BO60" s="42">
        <v>2106</v>
      </c>
      <c r="BP60" s="42">
        <v>2016</v>
      </c>
      <c r="BQ60" s="42">
        <v>959</v>
      </c>
      <c r="BR60" s="42">
        <v>22122</v>
      </c>
      <c r="BS60" s="42">
        <v>12626</v>
      </c>
      <c r="BT60" s="22">
        <v>0.14169174718834152</v>
      </c>
      <c r="BU60" s="41">
        <v>6958</v>
      </c>
      <c r="BV60" s="42">
        <v>11</v>
      </c>
      <c r="BW60" s="42">
        <v>1832</v>
      </c>
      <c r="BX60" s="42">
        <v>2901</v>
      </c>
      <c r="BY60" s="42">
        <v>986</v>
      </c>
      <c r="BZ60" s="43">
        <v>12688</v>
      </c>
      <c r="CA60" s="42">
        <v>5133</v>
      </c>
      <c r="CB60" s="42">
        <v>4143</v>
      </c>
      <c r="CC60" s="42">
        <v>979</v>
      </c>
      <c r="CD60" s="42">
        <v>990</v>
      </c>
      <c r="CE60" s="22">
        <v>0.19072667056302356</v>
      </c>
      <c r="CF60" s="105">
        <v>0.19286966686148452</v>
      </c>
      <c r="CG60" s="42">
        <v>830</v>
      </c>
      <c r="CH60" s="42">
        <v>750</v>
      </c>
      <c r="CI60" s="42">
        <v>585</v>
      </c>
      <c r="CJ60" s="42">
        <v>595</v>
      </c>
      <c r="CK60" s="42">
        <v>550</v>
      </c>
      <c r="CL60" s="41">
        <v>2898</v>
      </c>
      <c r="CM60" s="42">
        <v>1015</v>
      </c>
      <c r="CN60" s="22">
        <v>0.35024154589371981</v>
      </c>
      <c r="CO60" s="43">
        <v>295</v>
      </c>
      <c r="CP60" s="66">
        <v>1245</v>
      </c>
      <c r="CQ60" s="66">
        <v>1186</v>
      </c>
      <c r="CR60" s="66">
        <v>1285</v>
      </c>
      <c r="CS60" s="66">
        <v>1197</v>
      </c>
      <c r="CT60" s="66">
        <v>1141</v>
      </c>
      <c r="CU60" s="121" t="s">
        <v>474</v>
      </c>
      <c r="CV60" s="42">
        <v>71</v>
      </c>
      <c r="CW60" s="42">
        <v>66</v>
      </c>
      <c r="CX60" s="42">
        <v>51</v>
      </c>
      <c r="CY60" s="42">
        <v>53</v>
      </c>
      <c r="CZ60" s="42">
        <v>46</v>
      </c>
      <c r="DA60" s="143" t="s">
        <v>474</v>
      </c>
      <c r="DB60" s="16">
        <v>99</v>
      </c>
      <c r="DC60" s="16">
        <v>70</v>
      </c>
      <c r="DD60" s="22">
        <v>6.1349693251533742E-2</v>
      </c>
      <c r="DE60" s="22">
        <v>4.8843255749594285E-2</v>
      </c>
      <c r="DF60" s="22">
        <v>7.6799869516733704E-2</v>
      </c>
      <c r="DG60" s="16">
        <v>120</v>
      </c>
      <c r="DH60" s="22">
        <v>1.827875095201828E-2</v>
      </c>
      <c r="DI60" s="472" t="s">
        <v>287</v>
      </c>
      <c r="DJ60" s="473" t="s">
        <v>287</v>
      </c>
      <c r="DK60" s="4">
        <v>2423</v>
      </c>
      <c r="DL60" s="22">
        <v>4.8062046256992105E-2</v>
      </c>
      <c r="DM60" s="16">
        <v>1110</v>
      </c>
      <c r="DN60" s="4">
        <v>1095</v>
      </c>
      <c r="DO60" s="4">
        <v>1100</v>
      </c>
      <c r="DP60" s="4">
        <v>985</v>
      </c>
      <c r="DQ60" s="4">
        <v>900</v>
      </c>
      <c r="DR60" s="16">
        <v>925</v>
      </c>
      <c r="DS60" s="22">
        <v>0.15625</v>
      </c>
      <c r="DT60" s="22">
        <v>0.14722402635582668</v>
      </c>
      <c r="DU60" s="22">
        <v>0.1657217997111918</v>
      </c>
      <c r="DV60" s="4">
        <v>1095</v>
      </c>
      <c r="DW60" s="22">
        <v>0.18129139072847683</v>
      </c>
      <c r="DX60" s="22">
        <v>0.17177904083132728</v>
      </c>
      <c r="DY60" s="22">
        <v>0.19120888229145563</v>
      </c>
      <c r="DZ60" s="4">
        <v>1070</v>
      </c>
      <c r="EA60" s="22">
        <v>0.17412530512611879</v>
      </c>
      <c r="EB60" s="22">
        <v>0.16484821076045011</v>
      </c>
      <c r="EC60" s="22">
        <v>0.18380957675581289</v>
      </c>
      <c r="ED60" s="4">
        <v>1055</v>
      </c>
      <c r="EE60" s="22">
        <v>0.16746031746031745</v>
      </c>
      <c r="EF60" s="22">
        <v>0.15844343117329812</v>
      </c>
      <c r="EG60" s="22">
        <v>0.17688249233369091</v>
      </c>
      <c r="EH60" s="4">
        <v>935</v>
      </c>
      <c r="EI60" s="22">
        <v>0.14900398406374502</v>
      </c>
      <c r="EJ60" s="22">
        <v>0.14040823672736014</v>
      </c>
      <c r="EK60" s="22">
        <v>0.15802921723769714</v>
      </c>
      <c r="EL60" s="439">
        <v>940</v>
      </c>
      <c r="EM60" s="22">
        <v>0.15945716709075489</v>
      </c>
      <c r="EN60" s="22">
        <v>0.15033372774432044</v>
      </c>
      <c r="EO60" s="105">
        <v>0.1690241448094055</v>
      </c>
      <c r="EP60" s="41">
        <v>2710</v>
      </c>
      <c r="EQ60" s="22">
        <v>0.14565976887933352</v>
      </c>
      <c r="ER60" s="42">
        <v>2995</v>
      </c>
      <c r="ES60" s="22">
        <v>0.15901247677196709</v>
      </c>
      <c r="ET60" s="42">
        <v>2895</v>
      </c>
      <c r="EU60" s="22">
        <v>0.15256916996047432</v>
      </c>
      <c r="EV60" s="42">
        <v>2855</v>
      </c>
      <c r="EW60" s="22">
        <v>0.14916405433646812</v>
      </c>
      <c r="EX60" s="42">
        <v>2545</v>
      </c>
      <c r="EY60" s="22">
        <v>0.13231089160384715</v>
      </c>
      <c r="EZ60" s="42">
        <v>2515</v>
      </c>
      <c r="FA60" s="105">
        <v>0.13136589187777487</v>
      </c>
      <c r="FB60" s="4">
        <v>1193</v>
      </c>
      <c r="FC60" s="4">
        <v>54</v>
      </c>
      <c r="FD60" s="4">
        <v>1139</v>
      </c>
      <c r="FE60" s="22">
        <v>0.95473595976529757</v>
      </c>
      <c r="FF60" s="4">
        <v>471</v>
      </c>
      <c r="FG60" s="4">
        <v>617</v>
      </c>
      <c r="FH60" s="22">
        <v>0.41352063213345042</v>
      </c>
      <c r="FI60" s="22">
        <v>0.54170324846356455</v>
      </c>
      <c r="FJ60" s="22">
        <v>0.3852582632790188</v>
      </c>
      <c r="FK60" s="22">
        <v>0.44236437109470655</v>
      </c>
      <c r="FL60" s="22">
        <v>0.51267528026756404</v>
      </c>
      <c r="FM60" s="105">
        <v>0.57045086051668015</v>
      </c>
      <c r="FN60" s="439">
        <v>1031</v>
      </c>
      <c r="FO60" s="439">
        <v>424</v>
      </c>
      <c r="FP60" s="439">
        <v>157</v>
      </c>
      <c r="FQ60" s="439">
        <v>581</v>
      </c>
      <c r="FR60" s="22">
        <v>0.41125121241513096</v>
      </c>
      <c r="FS60" s="22">
        <v>0.56353055286129972</v>
      </c>
      <c r="FT60" s="22">
        <v>0.38159897568673273</v>
      </c>
      <c r="FU60" s="22">
        <v>0.44156234198163086</v>
      </c>
      <c r="FV60" s="22">
        <v>0.53307711281828196</v>
      </c>
      <c r="FW60" s="105">
        <v>0.59351232644644136</v>
      </c>
      <c r="FX60" s="439">
        <v>1165</v>
      </c>
      <c r="FY60" s="439">
        <v>131</v>
      </c>
      <c r="FZ60" s="439">
        <v>1034</v>
      </c>
      <c r="GA60" s="22">
        <v>0.88755364806866954</v>
      </c>
      <c r="GB60" s="439">
        <v>426</v>
      </c>
      <c r="GC60" s="439">
        <v>154</v>
      </c>
      <c r="GD60" s="439">
        <v>580</v>
      </c>
      <c r="GE60" s="22">
        <v>0.41199226305609282</v>
      </c>
      <c r="GF60" s="22">
        <v>0.56092843326885877</v>
      </c>
      <c r="GG60" s="22">
        <v>0.38237163436624527</v>
      </c>
      <c r="GH60" s="22">
        <v>0.44226439413968116</v>
      </c>
      <c r="GI60" s="22">
        <v>0.53050923083171719</v>
      </c>
      <c r="GJ60" s="105">
        <v>0.59089659558725682</v>
      </c>
      <c r="GK60" s="4">
        <v>829</v>
      </c>
      <c r="GL60" s="4">
        <v>68</v>
      </c>
      <c r="GM60" s="22">
        <v>8.2026537997587454E-2</v>
      </c>
      <c r="GN60" s="22">
        <v>6.5218698302625541E-2</v>
      </c>
      <c r="GO60" s="22">
        <v>0.10269016038785084</v>
      </c>
      <c r="GP60" s="352" t="s">
        <v>725</v>
      </c>
      <c r="GQ60" s="4">
        <v>1066</v>
      </c>
      <c r="GR60" s="4">
        <v>86</v>
      </c>
      <c r="GS60" s="22">
        <v>8.0675422138836772E-2</v>
      </c>
      <c r="GT60" s="22">
        <v>6.5792774479139837E-2</v>
      </c>
      <c r="GU60" s="22">
        <v>9.856939093416113E-2</v>
      </c>
      <c r="GV60" s="4" t="s">
        <v>725</v>
      </c>
      <c r="GW60" s="4">
        <v>1024</v>
      </c>
      <c r="GX60" s="4">
        <v>76</v>
      </c>
      <c r="GY60" s="22">
        <v>7.421875E-2</v>
      </c>
      <c r="GZ60" s="22">
        <v>5.9706323437482188E-2</v>
      </c>
      <c r="HA60" s="22">
        <v>9.1913809690345377E-2</v>
      </c>
      <c r="HB60" s="4" t="s">
        <v>726</v>
      </c>
      <c r="HC60" s="4">
        <v>1216</v>
      </c>
      <c r="HD60" s="4">
        <v>109</v>
      </c>
      <c r="HE60" s="22">
        <v>8.9638157894736836E-2</v>
      </c>
      <c r="HF60" s="22">
        <v>7.484783954991038E-2</v>
      </c>
      <c r="HG60" s="22">
        <v>0.10701305492662574</v>
      </c>
      <c r="HH60" s="4" t="s">
        <v>725</v>
      </c>
      <c r="HI60" s="4">
        <v>736</v>
      </c>
      <c r="HJ60" s="4">
        <v>61</v>
      </c>
      <c r="HK60" s="22">
        <v>8.2880434782608689E-2</v>
      </c>
      <c r="HL60" s="22">
        <v>6.5062191326932459E-2</v>
      </c>
      <c r="HM60" s="22">
        <v>0.10503027553925963</v>
      </c>
      <c r="HN60" s="4" t="s">
        <v>725</v>
      </c>
      <c r="HO60" s="4">
        <v>1131</v>
      </c>
      <c r="HP60" s="4">
        <v>90</v>
      </c>
      <c r="HQ60" s="22">
        <v>7.9575596816976124E-2</v>
      </c>
      <c r="HR60" s="22">
        <v>6.5188766195224374E-2</v>
      </c>
      <c r="HS60" s="22">
        <v>9.6808715824633032E-2</v>
      </c>
      <c r="HT60" s="9" t="str">
        <f t="shared" si="0"/>
        <v>No Sig diff</v>
      </c>
      <c r="HU60" s="4">
        <v>936</v>
      </c>
      <c r="HV60" s="4">
        <v>136</v>
      </c>
      <c r="HW60" s="22">
        <v>0.14529914529914531</v>
      </c>
      <c r="HX60" s="22">
        <v>0.12417242623970695</v>
      </c>
      <c r="HY60" s="22">
        <v>0.16932543580057574</v>
      </c>
      <c r="HZ60" s="4" t="s">
        <v>726</v>
      </c>
      <c r="IA60" s="4">
        <v>957</v>
      </c>
      <c r="IB60" s="4">
        <v>155</v>
      </c>
      <c r="IC60" s="22">
        <v>0.16196447230929989</v>
      </c>
      <c r="ID60" s="22">
        <v>0.13998174091720603</v>
      </c>
      <c r="IE60" s="22">
        <v>0.18665014610179606</v>
      </c>
      <c r="IF60" s="4" t="s">
        <v>726</v>
      </c>
      <c r="IG60" s="4">
        <v>920</v>
      </c>
      <c r="IH60" s="4">
        <v>136</v>
      </c>
      <c r="II60" s="22">
        <v>0.14782608695652175</v>
      </c>
      <c r="IJ60" s="22">
        <v>0.12635666559262351</v>
      </c>
      <c r="IK60" s="22">
        <v>0.1722242826718248</v>
      </c>
      <c r="IL60" s="4" t="s">
        <v>726</v>
      </c>
      <c r="IM60" s="4">
        <v>913</v>
      </c>
      <c r="IN60" s="4">
        <v>142</v>
      </c>
      <c r="IO60" s="22">
        <v>0.15553121577217963</v>
      </c>
      <c r="IP60" s="22">
        <v>0.13347157187867184</v>
      </c>
      <c r="IQ60" s="22">
        <v>0.18047742775637524</v>
      </c>
      <c r="IR60" s="4" t="s">
        <v>726</v>
      </c>
      <c r="IS60" s="4">
        <v>945</v>
      </c>
      <c r="IT60" s="4">
        <v>176</v>
      </c>
      <c r="IU60" s="22">
        <v>0.18624338624338624</v>
      </c>
      <c r="IV60" s="22">
        <v>0.16271036668576777</v>
      </c>
      <c r="IW60" s="22">
        <v>0.21231694215776237</v>
      </c>
      <c r="IX60" s="4" t="s">
        <v>725</v>
      </c>
      <c r="IY60" s="4">
        <v>1017</v>
      </c>
      <c r="IZ60" s="4">
        <v>179</v>
      </c>
      <c r="JA60" s="22">
        <v>0.17600786627335299</v>
      </c>
      <c r="JB60" s="22">
        <v>0.15383399313877943</v>
      </c>
      <c r="JC60" s="22">
        <v>0.20062012477949551</v>
      </c>
      <c r="JD60" s="9" t="str">
        <f t="shared" si="1"/>
        <v>Sig better than Eng.</v>
      </c>
      <c r="JE60" s="4">
        <v>1347</v>
      </c>
      <c r="JF60" s="4">
        <v>734</v>
      </c>
      <c r="JG60" s="22">
        <v>0.54491462509279887</v>
      </c>
      <c r="JH60" s="22">
        <v>0.51823096411520353</v>
      </c>
      <c r="JI60" s="22">
        <v>0.57134283391260865</v>
      </c>
      <c r="JJ60" s="4">
        <v>1347</v>
      </c>
      <c r="JK60" s="4">
        <v>34</v>
      </c>
      <c r="JL60" s="4">
        <v>269</v>
      </c>
      <c r="JM60" s="385">
        <v>25.000000000000004</v>
      </c>
      <c r="JN60" s="22">
        <v>0.26470588235294107</v>
      </c>
      <c r="JO60" s="4">
        <v>1275</v>
      </c>
      <c r="JP60" s="4">
        <v>778</v>
      </c>
      <c r="JQ60" s="22">
        <v>0.61019607843137258</v>
      </c>
      <c r="JR60" s="22">
        <v>0.58313310248936623</v>
      </c>
      <c r="JS60" s="22">
        <v>0.63659702751371405</v>
      </c>
      <c r="JT60" s="4">
        <v>1275</v>
      </c>
      <c r="JU60" s="4">
        <v>34</v>
      </c>
      <c r="JV60" s="4">
        <v>252</v>
      </c>
      <c r="JW60" s="385">
        <v>25.519841269841287</v>
      </c>
      <c r="JX60" s="22">
        <v>0.24941643323996215</v>
      </c>
      <c r="JY60" s="42">
        <v>1286</v>
      </c>
      <c r="JZ60" s="42">
        <v>808</v>
      </c>
      <c r="KA60" s="22">
        <v>0.6283048211508554</v>
      </c>
      <c r="KB60" s="22">
        <v>0.60154698795536432</v>
      </c>
      <c r="KC60" s="22">
        <v>0.65429840896785141</v>
      </c>
      <c r="KD60" s="439">
        <v>34</v>
      </c>
      <c r="KE60" s="439">
        <v>257</v>
      </c>
      <c r="KF60" s="385">
        <v>24.3</v>
      </c>
      <c r="KG60" s="105">
        <v>0.28499999999999998</v>
      </c>
      <c r="KH60" s="22"/>
      <c r="KI60" s="22"/>
      <c r="KJ60" s="22"/>
      <c r="KK60" s="22"/>
      <c r="KL60" s="22"/>
      <c r="KM60" s="22"/>
      <c r="KN60" s="22"/>
      <c r="KO60" s="22"/>
      <c r="KP60" s="22"/>
      <c r="KQ60" s="22"/>
      <c r="KR60" s="22"/>
      <c r="KS60" s="22"/>
      <c r="KT60" s="22"/>
      <c r="KU60" s="22"/>
      <c r="KV60" s="22"/>
      <c r="KW60" s="105"/>
      <c r="KX60" s="439">
        <v>49</v>
      </c>
      <c r="KY60" s="439">
        <v>467</v>
      </c>
      <c r="KZ60" s="22">
        <v>0.10492505353319058</v>
      </c>
      <c r="LA60" s="22">
        <v>8.0280428944841942E-2</v>
      </c>
      <c r="LB60" s="22">
        <v>0.13601628179038963</v>
      </c>
      <c r="LC60" s="439">
        <v>37</v>
      </c>
      <c r="LD60" s="439">
        <v>467</v>
      </c>
      <c r="LE60" s="22">
        <v>7.922912205567452E-2</v>
      </c>
      <c r="LF60" s="22">
        <v>5.8025140945452455E-2</v>
      </c>
      <c r="LG60" s="22">
        <v>0.10729899813028199</v>
      </c>
      <c r="LH60" s="439">
        <v>43</v>
      </c>
      <c r="LI60" s="439">
        <v>465</v>
      </c>
      <c r="LJ60" s="22">
        <v>9.2473118279569888E-2</v>
      </c>
      <c r="LK60" s="22">
        <v>6.937804749311173E-2</v>
      </c>
      <c r="LL60" s="22">
        <v>0.12224634307737643</v>
      </c>
      <c r="LM60" s="439">
        <v>91</v>
      </c>
      <c r="LN60" s="439">
        <v>464</v>
      </c>
      <c r="LO60" s="22">
        <v>0.1961206896551724</v>
      </c>
      <c r="LP60" s="22">
        <v>0.16254987384113809</v>
      </c>
      <c r="LQ60" s="105">
        <v>0.23468182787497704</v>
      </c>
      <c r="LR60" s="4">
        <v>281</v>
      </c>
      <c r="LS60" s="4">
        <v>273</v>
      </c>
      <c r="LT60" s="4">
        <v>271</v>
      </c>
      <c r="LU60" s="4">
        <v>279</v>
      </c>
      <c r="LV60" s="4">
        <v>275</v>
      </c>
      <c r="LW60" s="4">
        <v>336</v>
      </c>
      <c r="LX60" s="4">
        <v>320</v>
      </c>
      <c r="LY60" s="4">
        <v>323</v>
      </c>
      <c r="LZ60" s="4">
        <v>318</v>
      </c>
      <c r="MA60" s="4">
        <v>324</v>
      </c>
      <c r="MB60" s="4">
        <v>328</v>
      </c>
      <c r="MC60" s="4">
        <v>317</v>
      </c>
      <c r="MD60" s="4">
        <v>327</v>
      </c>
      <c r="ME60" s="4">
        <v>360</v>
      </c>
      <c r="MF60" s="4">
        <v>337</v>
      </c>
      <c r="MG60" s="4">
        <v>325</v>
      </c>
      <c r="MH60" s="4">
        <v>317</v>
      </c>
      <c r="MI60" s="4">
        <v>330</v>
      </c>
      <c r="MJ60" s="4">
        <v>337</v>
      </c>
      <c r="MK60" s="4">
        <v>326</v>
      </c>
      <c r="ML60" s="4">
        <v>342</v>
      </c>
      <c r="MM60" s="4">
        <v>331</v>
      </c>
      <c r="MN60" s="9">
        <v>340</v>
      </c>
      <c r="MO60" s="4">
        <v>1167</v>
      </c>
      <c r="MP60" s="25">
        <v>0.874</v>
      </c>
      <c r="MQ60" s="25">
        <v>1.2E-2</v>
      </c>
      <c r="MR60" s="25">
        <v>0.877</v>
      </c>
      <c r="MS60" s="4">
        <v>1020</v>
      </c>
      <c r="MT60" s="4">
        <v>14</v>
      </c>
      <c r="MU60" s="4">
        <v>1024</v>
      </c>
      <c r="MV60" s="4">
        <v>1175</v>
      </c>
      <c r="MW60" s="25">
        <v>0.96299999999999997</v>
      </c>
      <c r="MX60" s="25">
        <v>0.92</v>
      </c>
      <c r="MY60" s="25">
        <v>0.95499999999999996</v>
      </c>
      <c r="MZ60" s="25">
        <v>0.91900000000000004</v>
      </c>
      <c r="NA60" s="25">
        <v>0.91600000000000004</v>
      </c>
      <c r="NB60" s="4">
        <v>1132</v>
      </c>
      <c r="NC60" s="4">
        <v>1081</v>
      </c>
      <c r="ND60" s="4">
        <v>1122</v>
      </c>
      <c r="NE60" s="4">
        <v>1080</v>
      </c>
      <c r="NF60" s="4">
        <v>1076</v>
      </c>
      <c r="NG60" s="4">
        <v>1337</v>
      </c>
      <c r="NH60" s="25">
        <v>0.96299999999999997</v>
      </c>
      <c r="NI60" s="25">
        <v>0.92400000000000004</v>
      </c>
      <c r="NJ60" s="25">
        <v>0.96299999999999997</v>
      </c>
      <c r="NK60" s="25">
        <v>0.96</v>
      </c>
      <c r="NL60" s="25">
        <v>0.95799999999999996</v>
      </c>
      <c r="NM60" s="25">
        <v>0.89500000000000002</v>
      </c>
      <c r="NN60" s="25">
        <v>0.94699999999999995</v>
      </c>
      <c r="NO60" s="25">
        <v>0.92400000000000004</v>
      </c>
      <c r="NP60" s="25">
        <v>0.96299999999999997</v>
      </c>
      <c r="NQ60" s="25">
        <v>0.91400000000000003</v>
      </c>
      <c r="NR60" s="4">
        <v>1288</v>
      </c>
      <c r="NS60" s="4">
        <v>1236</v>
      </c>
      <c r="NT60" s="4">
        <v>1288</v>
      </c>
      <c r="NU60" s="4">
        <v>1283</v>
      </c>
      <c r="NV60" s="4">
        <v>1281</v>
      </c>
      <c r="NW60" s="4">
        <v>1196</v>
      </c>
      <c r="NX60" s="4">
        <v>1266</v>
      </c>
      <c r="NY60" s="4">
        <v>1235</v>
      </c>
      <c r="NZ60" s="4">
        <v>1288</v>
      </c>
      <c r="OA60" s="9">
        <v>1222</v>
      </c>
    </row>
    <row r="61" spans="1:391" s="3" customFormat="1" ht="12.75" x14ac:dyDescent="0.2">
      <c r="A61" s="11" t="s">
        <v>124</v>
      </c>
      <c r="B61" s="8">
        <v>1</v>
      </c>
      <c r="C61" s="11" t="s">
        <v>287</v>
      </c>
      <c r="D61" s="11" t="s">
        <v>287</v>
      </c>
      <c r="E61" s="11" t="s">
        <v>287</v>
      </c>
      <c r="F61" s="11" t="s">
        <v>287</v>
      </c>
      <c r="G61" s="11" t="s">
        <v>287</v>
      </c>
      <c r="H61" s="11" t="s">
        <v>287</v>
      </c>
      <c r="I61" s="11" t="s">
        <v>399</v>
      </c>
      <c r="J61" s="11" t="s">
        <v>269</v>
      </c>
      <c r="K61" s="11" t="s">
        <v>287</v>
      </c>
      <c r="L61" s="11" t="s">
        <v>287</v>
      </c>
      <c r="M61" s="11" t="s">
        <v>287</v>
      </c>
      <c r="N61" s="11" t="s">
        <v>287</v>
      </c>
      <c r="O61" s="128" t="s">
        <v>287</v>
      </c>
      <c r="P61" s="128" t="s">
        <v>287</v>
      </c>
      <c r="Q61" s="128" t="s">
        <v>287</v>
      </c>
      <c r="R61" s="128" t="s">
        <v>287</v>
      </c>
      <c r="S61" s="128" t="s">
        <v>287</v>
      </c>
      <c r="T61" s="38">
        <v>59800</v>
      </c>
      <c r="U61" s="39">
        <v>60300</v>
      </c>
      <c r="V61" s="39">
        <v>60600</v>
      </c>
      <c r="W61" s="39">
        <v>60700</v>
      </c>
      <c r="X61" s="39">
        <v>61000</v>
      </c>
      <c r="Y61" s="39">
        <v>61200</v>
      </c>
      <c r="Z61" s="39">
        <v>61300</v>
      </c>
      <c r="AA61" s="39">
        <v>61900</v>
      </c>
      <c r="AB61" s="39">
        <v>62500</v>
      </c>
      <c r="AC61" s="44">
        <v>63175</v>
      </c>
      <c r="AD61" s="38">
        <v>3000</v>
      </c>
      <c r="AE61" s="39">
        <v>3100</v>
      </c>
      <c r="AF61" s="39">
        <v>3200</v>
      </c>
      <c r="AG61" s="39">
        <v>3200</v>
      </c>
      <c r="AH61" s="39">
        <v>3300</v>
      </c>
      <c r="AI61" s="39">
        <v>3500</v>
      </c>
      <c r="AJ61" s="39">
        <v>3600</v>
      </c>
      <c r="AK61" s="39">
        <v>3700</v>
      </c>
      <c r="AL61" s="39">
        <v>3800</v>
      </c>
      <c r="AM61" s="44">
        <v>3915</v>
      </c>
      <c r="AN61" s="15">
        <v>3537</v>
      </c>
      <c r="AO61" s="3">
        <v>3168</v>
      </c>
      <c r="AP61" s="3">
        <v>95</v>
      </c>
      <c r="AQ61" s="3">
        <v>148</v>
      </c>
      <c r="AR61" s="3">
        <v>81</v>
      </c>
      <c r="AS61" s="3">
        <v>13</v>
      </c>
      <c r="AT61" s="3">
        <v>32</v>
      </c>
      <c r="AU61" s="11">
        <v>369</v>
      </c>
      <c r="AV61" s="18">
        <v>0.89567430025445294</v>
      </c>
      <c r="AW61" s="19">
        <v>2.6858919988690982E-2</v>
      </c>
      <c r="AX61" s="19">
        <v>4.1843370087644896E-2</v>
      </c>
      <c r="AY61" s="19">
        <v>2.2900763358778626E-2</v>
      </c>
      <c r="AZ61" s="19">
        <v>3.6754311563471868E-3</v>
      </c>
      <c r="BA61" s="19">
        <v>9.0472151540853824E-3</v>
      </c>
      <c r="BB61" s="20">
        <v>0.10432569974554706</v>
      </c>
      <c r="BC61" s="15">
        <v>8470</v>
      </c>
      <c r="BD61" s="3">
        <v>8307</v>
      </c>
      <c r="BE61" s="3">
        <v>163</v>
      </c>
      <c r="BF61" s="3">
        <v>144</v>
      </c>
      <c r="BG61" s="3">
        <v>19</v>
      </c>
      <c r="BH61" s="24">
        <v>0.8834355828220859</v>
      </c>
      <c r="BI61" s="20">
        <v>0.1165644171779141</v>
      </c>
      <c r="BJ61" s="38">
        <v>6645</v>
      </c>
      <c r="BK61" s="20">
        <v>0.6155003762227238</v>
      </c>
      <c r="BL61" s="20">
        <v>0.17757712565838976</v>
      </c>
      <c r="BM61" s="20">
        <v>0.20692249811888638</v>
      </c>
      <c r="BN61" s="38">
        <v>18076</v>
      </c>
      <c r="BO61" s="39">
        <v>1172</v>
      </c>
      <c r="BP61" s="39">
        <v>1136</v>
      </c>
      <c r="BQ61" s="39">
        <v>475</v>
      </c>
      <c r="BR61" s="39">
        <v>11987</v>
      </c>
      <c r="BS61" s="39">
        <v>6939</v>
      </c>
      <c r="BT61" s="20">
        <v>0.12523418359994234</v>
      </c>
      <c r="BU61" s="38">
        <v>3646</v>
      </c>
      <c r="BV61" s="39">
        <v>6</v>
      </c>
      <c r="BW61" s="39">
        <v>1174</v>
      </c>
      <c r="BX61" s="39">
        <v>1615</v>
      </c>
      <c r="BY61" s="39">
        <v>542</v>
      </c>
      <c r="BZ61" s="40">
        <v>6983</v>
      </c>
      <c r="CA61" s="39">
        <v>2803</v>
      </c>
      <c r="CB61" s="39">
        <v>2248</v>
      </c>
      <c r="CC61" s="39">
        <v>545</v>
      </c>
      <c r="CD61" s="39">
        <v>555</v>
      </c>
      <c r="CE61" s="19">
        <v>0.19443453442739922</v>
      </c>
      <c r="CF61" s="104">
        <v>0.19800214056368176</v>
      </c>
      <c r="CG61" s="39">
        <v>545</v>
      </c>
      <c r="CH61" s="39">
        <v>500</v>
      </c>
      <c r="CI61" s="39">
        <v>475</v>
      </c>
      <c r="CJ61" s="39">
        <v>400</v>
      </c>
      <c r="CK61" s="44">
        <v>415</v>
      </c>
      <c r="CL61" s="38">
        <v>1614</v>
      </c>
      <c r="CM61" s="39">
        <v>637</v>
      </c>
      <c r="CN61" s="19">
        <v>0.39467162329615862</v>
      </c>
      <c r="CO61" s="40">
        <v>158</v>
      </c>
      <c r="CP61" s="122">
        <v>682</v>
      </c>
      <c r="CQ61" s="122">
        <v>718</v>
      </c>
      <c r="CR61" s="122">
        <v>679</v>
      </c>
      <c r="CS61" s="122">
        <v>775</v>
      </c>
      <c r="CT61" s="122">
        <v>758</v>
      </c>
      <c r="CU61" s="123">
        <v>692</v>
      </c>
      <c r="CV61" s="39">
        <v>43</v>
      </c>
      <c r="CW61" s="39">
        <v>42</v>
      </c>
      <c r="CX61" s="39">
        <v>29</v>
      </c>
      <c r="CY61" s="39">
        <v>37</v>
      </c>
      <c r="CZ61" s="39">
        <v>26</v>
      </c>
      <c r="DA61" s="434">
        <v>25</v>
      </c>
      <c r="DB61" s="379" t="s">
        <v>287</v>
      </c>
      <c r="DC61" s="15">
        <v>43</v>
      </c>
      <c r="DD61" s="19">
        <v>5.6728232189973617E-2</v>
      </c>
      <c r="DE61" s="19">
        <v>4.2385909050972136E-2</v>
      </c>
      <c r="DF61" s="20">
        <v>7.5540803627234948E-2</v>
      </c>
      <c r="DG61" s="15">
        <v>82</v>
      </c>
      <c r="DH61" s="20">
        <v>2.3196605374823195E-2</v>
      </c>
      <c r="DI61" s="470" t="s">
        <v>287</v>
      </c>
      <c r="DJ61" s="471" t="s">
        <v>287</v>
      </c>
      <c r="DK61" s="3">
        <v>1300</v>
      </c>
      <c r="DL61" s="20">
        <v>4.8224950847646254E-2</v>
      </c>
      <c r="DM61" s="15">
        <v>770</v>
      </c>
      <c r="DN61" s="3">
        <v>725</v>
      </c>
      <c r="DO61" s="3">
        <v>735</v>
      </c>
      <c r="DP61" s="3">
        <v>680</v>
      </c>
      <c r="DQ61" s="11">
        <v>595</v>
      </c>
      <c r="DR61" s="15">
        <v>640</v>
      </c>
      <c r="DS61" s="19">
        <v>0.19937694704049844</v>
      </c>
      <c r="DT61" s="19">
        <v>0.18591862447450719</v>
      </c>
      <c r="DU61" s="19">
        <v>0.21355393049458399</v>
      </c>
      <c r="DV61" s="3">
        <v>695</v>
      </c>
      <c r="DW61" s="19">
        <v>0.20902255639097744</v>
      </c>
      <c r="DX61" s="19">
        <v>0.19554151105863429</v>
      </c>
      <c r="DY61" s="19">
        <v>0.22317517342849327</v>
      </c>
      <c r="DZ61" s="3">
        <v>690</v>
      </c>
      <c r="EA61" s="19">
        <v>0.20116618075801748</v>
      </c>
      <c r="EB61" s="19">
        <v>0.18808833084637455</v>
      </c>
      <c r="EC61" s="19">
        <v>0.21491264500413992</v>
      </c>
      <c r="ED61" s="3">
        <v>685</v>
      </c>
      <c r="EE61" s="19">
        <v>0.1957142857142857</v>
      </c>
      <c r="EF61" s="19">
        <v>0.18290677379639977</v>
      </c>
      <c r="EG61" s="19">
        <v>0.20918900878021682</v>
      </c>
      <c r="EH61" s="3">
        <v>655</v>
      </c>
      <c r="EI61" s="20">
        <v>0.17945205479452056</v>
      </c>
      <c r="EJ61" s="20">
        <v>0.16734223421229999</v>
      </c>
      <c r="EK61" s="20">
        <v>0.19223589024325496</v>
      </c>
      <c r="EL61" s="438">
        <v>615</v>
      </c>
      <c r="EM61" s="20">
        <v>0.17083333333333334</v>
      </c>
      <c r="EN61" s="20">
        <v>0.15889144187166687</v>
      </c>
      <c r="EO61" s="104">
        <v>0.18347696498506846</v>
      </c>
      <c r="EP61" s="38">
        <v>1825</v>
      </c>
      <c r="EQ61" s="20">
        <v>0.17641372643789272</v>
      </c>
      <c r="ER61" s="44">
        <v>1975</v>
      </c>
      <c r="ES61" s="20">
        <v>0.18863419293218719</v>
      </c>
      <c r="ET61" s="44">
        <v>1785</v>
      </c>
      <c r="EU61" s="20">
        <v>0.17</v>
      </c>
      <c r="EV61" s="44">
        <v>1785</v>
      </c>
      <c r="EW61" s="20">
        <v>0.17</v>
      </c>
      <c r="EX61" s="44">
        <v>1725</v>
      </c>
      <c r="EY61" s="20">
        <v>0.16136576239476147</v>
      </c>
      <c r="EZ61" s="44">
        <v>1640</v>
      </c>
      <c r="FA61" s="104">
        <v>0.15157116451016636</v>
      </c>
      <c r="FB61" s="3">
        <v>722</v>
      </c>
      <c r="FC61" s="3">
        <v>46</v>
      </c>
      <c r="FD61" s="3">
        <v>668</v>
      </c>
      <c r="FE61" s="19">
        <v>0.92520775623268703</v>
      </c>
      <c r="FF61" s="3">
        <v>263</v>
      </c>
      <c r="FG61" s="3">
        <v>344</v>
      </c>
      <c r="FH61" s="19">
        <v>0.39371257485029942</v>
      </c>
      <c r="FI61" s="19">
        <v>0.51497005988023947</v>
      </c>
      <c r="FJ61" s="19">
        <v>0.34200000000000003</v>
      </c>
      <c r="FK61" s="19">
        <v>0.41499999999999998</v>
      </c>
      <c r="FL61" s="19">
        <v>0.46800000000000003</v>
      </c>
      <c r="FM61" s="104">
        <v>0.54300000000000004</v>
      </c>
      <c r="FN61" s="438">
        <v>534</v>
      </c>
      <c r="FO61" s="438">
        <v>193</v>
      </c>
      <c r="FP61" s="438">
        <v>83</v>
      </c>
      <c r="FQ61" s="438">
        <v>276</v>
      </c>
      <c r="FR61" s="497">
        <v>0.36142322097378277</v>
      </c>
      <c r="FS61" s="497">
        <v>0.5168539325842697</v>
      </c>
      <c r="FT61" s="497">
        <v>0.32180003547003144</v>
      </c>
      <c r="FU61" s="497">
        <v>0.40302593773680473</v>
      </c>
      <c r="FV61" s="497">
        <v>0.47450114676399985</v>
      </c>
      <c r="FW61" s="104">
        <v>0.55896596460273629</v>
      </c>
      <c r="FX61" s="534" t="s">
        <v>287</v>
      </c>
      <c r="FY61" s="528" t="s">
        <v>287</v>
      </c>
      <c r="FZ61" s="528" t="s">
        <v>287</v>
      </c>
      <c r="GA61" s="344" t="s">
        <v>287</v>
      </c>
      <c r="GB61" s="528" t="s">
        <v>287</v>
      </c>
      <c r="GC61" s="528" t="s">
        <v>287</v>
      </c>
      <c r="GD61" s="528" t="s">
        <v>287</v>
      </c>
      <c r="GE61" s="344" t="s">
        <v>287</v>
      </c>
      <c r="GF61" s="344" t="s">
        <v>287</v>
      </c>
      <c r="GG61" s="344" t="s">
        <v>287</v>
      </c>
      <c r="GH61" s="344" t="s">
        <v>287</v>
      </c>
      <c r="GI61" s="344" t="s">
        <v>287</v>
      </c>
      <c r="GJ61" s="345" t="s">
        <v>287</v>
      </c>
      <c r="GK61" s="3">
        <v>499</v>
      </c>
      <c r="GL61" s="354">
        <v>26.945999999999998</v>
      </c>
      <c r="GM61" s="19">
        <v>5.3999999999999999E-2</v>
      </c>
      <c r="GN61" s="19">
        <v>3.4000000000000002E-2</v>
      </c>
      <c r="GO61" s="19">
        <v>7.3999999999999996E-2</v>
      </c>
      <c r="GP61" s="353" t="s">
        <v>726</v>
      </c>
      <c r="GQ61" s="3">
        <v>612</v>
      </c>
      <c r="GR61" s="354">
        <v>47.735999999999997</v>
      </c>
      <c r="GS61" s="19">
        <v>7.8E-2</v>
      </c>
      <c r="GT61" s="19">
        <v>5.6999999999999995E-2</v>
      </c>
      <c r="GU61" s="19">
        <v>9.9000000000000005E-2</v>
      </c>
      <c r="GV61" s="3" t="s">
        <v>725</v>
      </c>
      <c r="GW61" s="3">
        <v>536</v>
      </c>
      <c r="GX61" s="354">
        <v>55.744</v>
      </c>
      <c r="GY61" s="19">
        <v>0.104</v>
      </c>
      <c r="GZ61" s="19">
        <v>7.8E-2</v>
      </c>
      <c r="HA61" s="19">
        <v>0.13</v>
      </c>
      <c r="HB61" s="3" t="s">
        <v>725</v>
      </c>
      <c r="HC61" s="3">
        <v>639</v>
      </c>
      <c r="HD61" s="354">
        <v>56.870999999999995</v>
      </c>
      <c r="HE61" s="19">
        <v>8.8999999999999996E-2</v>
      </c>
      <c r="HF61" s="19">
        <v>6.7000000000000004E-2</v>
      </c>
      <c r="HG61" s="19">
        <v>0.11099999999999999</v>
      </c>
      <c r="HH61" s="3" t="s">
        <v>725</v>
      </c>
      <c r="HI61" s="3">
        <v>430</v>
      </c>
      <c r="HJ61" s="354">
        <v>46.999859999999998</v>
      </c>
      <c r="HK61" s="19">
        <v>0.109302</v>
      </c>
      <c r="HL61" s="19">
        <v>8.3198000000000008E-2</v>
      </c>
      <c r="HM61" s="19">
        <v>0.14232500000000001</v>
      </c>
      <c r="HN61" s="11" t="s">
        <v>792</v>
      </c>
      <c r="HO61" s="11">
        <v>703</v>
      </c>
      <c r="HP61" s="11">
        <v>51.999999999999993</v>
      </c>
      <c r="HQ61" s="19">
        <v>7.3968705547652905E-2</v>
      </c>
      <c r="HR61" s="19">
        <v>5.6851549521626896E-2</v>
      </c>
      <c r="HS61" s="19">
        <v>9.5716551111036288E-2</v>
      </c>
      <c r="HT61" s="8" t="str">
        <f t="shared" si="0"/>
        <v>No Sig diff</v>
      </c>
      <c r="HU61" s="3">
        <v>517</v>
      </c>
      <c r="HV61" s="354">
        <v>87.89</v>
      </c>
      <c r="HW61" s="19">
        <v>0.17</v>
      </c>
      <c r="HX61" s="19">
        <v>0.13800000000000001</v>
      </c>
      <c r="HY61" s="19">
        <v>0.20200000000000001</v>
      </c>
      <c r="HZ61" s="3" t="s">
        <v>725</v>
      </c>
      <c r="IA61" s="3">
        <v>523</v>
      </c>
      <c r="IB61" s="354">
        <v>87.864000000000004</v>
      </c>
      <c r="IC61" s="19">
        <v>0.16800000000000001</v>
      </c>
      <c r="ID61" s="19">
        <v>0.13600000000000001</v>
      </c>
      <c r="IE61" s="19">
        <v>0.2</v>
      </c>
      <c r="IF61" s="3" t="s">
        <v>725</v>
      </c>
      <c r="IG61" s="3">
        <v>486</v>
      </c>
      <c r="IH61" s="354">
        <v>83.106000000000009</v>
      </c>
      <c r="II61" s="19">
        <v>0.17100000000000001</v>
      </c>
      <c r="IJ61" s="19">
        <v>0.13800000000000001</v>
      </c>
      <c r="IK61" s="19">
        <v>0.20400000000000001</v>
      </c>
      <c r="IL61" s="3" t="s">
        <v>725</v>
      </c>
      <c r="IM61" s="3">
        <v>518</v>
      </c>
      <c r="IN61" s="354">
        <v>89.095999999999989</v>
      </c>
      <c r="IO61" s="19">
        <v>0.17199999999999999</v>
      </c>
      <c r="IP61" s="19">
        <v>0.16869999999999999</v>
      </c>
      <c r="IQ61" s="19">
        <v>0.20499999999999999</v>
      </c>
      <c r="IR61" s="3" t="s">
        <v>725</v>
      </c>
      <c r="IS61" s="3">
        <v>545</v>
      </c>
      <c r="IT61" s="354">
        <v>81.000079999999997</v>
      </c>
      <c r="IU61" s="19">
        <v>0.14862400000000001</v>
      </c>
      <c r="IV61" s="19">
        <v>0.121222</v>
      </c>
      <c r="IW61" s="19">
        <v>0.18094399999999999</v>
      </c>
      <c r="IX61" s="11" t="s">
        <v>726</v>
      </c>
      <c r="IY61" s="11">
        <v>534</v>
      </c>
      <c r="IZ61" s="11">
        <v>164.00000000000009</v>
      </c>
      <c r="JA61" s="585">
        <v>0.307116104868914</v>
      </c>
      <c r="JB61" s="585">
        <v>0.26948397419397901</v>
      </c>
      <c r="JC61" s="585">
        <v>0.34750352905337401</v>
      </c>
      <c r="JD61" s="8" t="str">
        <f t="shared" si="1"/>
        <v>No sig diff</v>
      </c>
      <c r="JE61" s="3">
        <v>688</v>
      </c>
      <c r="JF61" s="3">
        <v>340</v>
      </c>
      <c r="JG61" s="19">
        <v>0.4941860465116279</v>
      </c>
      <c r="JH61" s="19">
        <v>0.45696323963020558</v>
      </c>
      <c r="JI61" s="19">
        <v>0.53147341749983013</v>
      </c>
      <c r="JJ61" s="3">
        <v>688</v>
      </c>
      <c r="JK61" s="3">
        <v>34</v>
      </c>
      <c r="JL61" s="3">
        <v>137</v>
      </c>
      <c r="JM61" s="383">
        <v>22.175182481751833</v>
      </c>
      <c r="JN61" s="19">
        <v>0.34778875053671082</v>
      </c>
      <c r="JO61" s="3">
        <v>654</v>
      </c>
      <c r="JP61" s="3">
        <v>370</v>
      </c>
      <c r="JQ61" s="19">
        <v>0.56574923547400613</v>
      </c>
      <c r="JR61" s="19">
        <v>0.52748685508392112</v>
      </c>
      <c r="JS61" s="19">
        <v>0.60324373181793112</v>
      </c>
      <c r="JT61" s="3">
        <v>654</v>
      </c>
      <c r="JU61" s="3">
        <v>34</v>
      </c>
      <c r="JV61" s="3">
        <v>130</v>
      </c>
      <c r="JW61" s="383">
        <v>23.223076923076924</v>
      </c>
      <c r="JX61" s="20">
        <v>0.31696832579185519</v>
      </c>
      <c r="JY61" s="44">
        <v>699</v>
      </c>
      <c r="JZ61" s="44">
        <v>472</v>
      </c>
      <c r="KA61" s="497">
        <v>0.67525035765379116</v>
      </c>
      <c r="KB61" s="497">
        <v>0.63965933121944973</v>
      </c>
      <c r="KC61" s="497">
        <v>0.70892568311804871</v>
      </c>
      <c r="KD61" s="438">
        <v>34</v>
      </c>
      <c r="KE61" s="438">
        <v>139</v>
      </c>
      <c r="KF61" s="384">
        <v>24.553956834532375</v>
      </c>
      <c r="KG61" s="104">
        <v>0.27782479898434193</v>
      </c>
      <c r="KH61" s="19"/>
      <c r="KI61" s="19"/>
      <c r="KJ61" s="19"/>
      <c r="KK61" s="19"/>
      <c r="KL61" s="19"/>
      <c r="KM61" s="19"/>
      <c r="KN61" s="19"/>
      <c r="KO61" s="19"/>
      <c r="KP61" s="19"/>
      <c r="KQ61" s="19"/>
      <c r="KR61" s="19"/>
      <c r="KS61" s="19"/>
      <c r="KT61" s="19"/>
      <c r="KU61" s="19"/>
      <c r="KV61" s="19"/>
      <c r="KW61" s="104"/>
      <c r="KX61" s="438">
        <v>25</v>
      </c>
      <c r="KY61" s="438">
        <v>161</v>
      </c>
      <c r="KZ61" s="497">
        <v>0.15527950310559005</v>
      </c>
      <c r="LA61" s="497">
        <v>0.10744458691768186</v>
      </c>
      <c r="LB61" s="497">
        <v>0.21918112487767438</v>
      </c>
      <c r="LC61" s="438">
        <v>16</v>
      </c>
      <c r="LD61" s="438">
        <v>162</v>
      </c>
      <c r="LE61" s="497">
        <v>9.8765432098765427E-2</v>
      </c>
      <c r="LF61" s="497">
        <v>6.1710998226063796E-2</v>
      </c>
      <c r="LG61" s="497">
        <v>0.15440781232688419</v>
      </c>
      <c r="LH61" s="438">
        <v>20</v>
      </c>
      <c r="LI61" s="438">
        <v>161</v>
      </c>
      <c r="LJ61" s="497">
        <v>0.12422360248447205</v>
      </c>
      <c r="LK61" s="497">
        <v>8.1873213753564711E-2</v>
      </c>
      <c r="LL61" s="497">
        <v>0.18408814775308488</v>
      </c>
      <c r="LM61" s="438">
        <v>29</v>
      </c>
      <c r="LN61" s="438">
        <v>160</v>
      </c>
      <c r="LO61" s="497">
        <v>0.18124999999999999</v>
      </c>
      <c r="LP61" s="497">
        <v>0.12926566148989363</v>
      </c>
      <c r="LQ61" s="104">
        <v>0.24818128793194091</v>
      </c>
      <c r="LR61" s="495" t="s">
        <v>287</v>
      </c>
      <c r="LS61" s="495" t="s">
        <v>287</v>
      </c>
      <c r="LT61" s="495" t="s">
        <v>287</v>
      </c>
      <c r="LU61" s="495" t="s">
        <v>287</v>
      </c>
      <c r="LV61" s="495" t="s">
        <v>287</v>
      </c>
      <c r="LW61" s="495" t="s">
        <v>287</v>
      </c>
      <c r="LX61" s="495" t="s">
        <v>287</v>
      </c>
      <c r="LY61" s="495" t="s">
        <v>287</v>
      </c>
      <c r="LZ61" s="495" t="s">
        <v>287</v>
      </c>
      <c r="MA61" s="495" t="s">
        <v>287</v>
      </c>
      <c r="MB61" s="495" t="s">
        <v>287</v>
      </c>
      <c r="MC61" s="495" t="s">
        <v>287</v>
      </c>
      <c r="MD61" s="495" t="s">
        <v>287</v>
      </c>
      <c r="ME61" s="495" t="s">
        <v>287</v>
      </c>
      <c r="MF61" s="495" t="s">
        <v>287</v>
      </c>
      <c r="MG61" s="495" t="s">
        <v>287</v>
      </c>
      <c r="MH61" s="495" t="s">
        <v>287</v>
      </c>
      <c r="MI61" s="495" t="s">
        <v>287</v>
      </c>
      <c r="MJ61" s="495" t="s">
        <v>287</v>
      </c>
      <c r="MK61" s="495" t="s">
        <v>287</v>
      </c>
      <c r="ML61" s="495" t="s">
        <v>287</v>
      </c>
      <c r="MM61" s="495" t="s">
        <v>287</v>
      </c>
      <c r="MN61" s="136" t="s">
        <v>287</v>
      </c>
      <c r="MO61" s="3">
        <v>721</v>
      </c>
      <c r="MP61" s="24">
        <v>0.95699999999999996</v>
      </c>
      <c r="MQ61" s="24">
        <v>4.0000000000000001E-3</v>
      </c>
      <c r="MR61" s="24">
        <v>0.95</v>
      </c>
      <c r="MS61" s="3">
        <v>690</v>
      </c>
      <c r="MT61" s="3">
        <v>3</v>
      </c>
      <c r="MU61" s="3">
        <v>685</v>
      </c>
      <c r="MV61" s="3">
        <v>735</v>
      </c>
      <c r="MW61" s="24">
        <v>0.96899999999999997</v>
      </c>
      <c r="MX61" s="24">
        <v>0.93200000000000005</v>
      </c>
      <c r="MY61" s="24">
        <v>0.96099999999999997</v>
      </c>
      <c r="MZ61" s="24">
        <v>0.93700000000000006</v>
      </c>
      <c r="NA61" s="24">
        <v>0.93500000000000005</v>
      </c>
      <c r="NB61" s="3">
        <v>712</v>
      </c>
      <c r="NC61" s="3">
        <v>685</v>
      </c>
      <c r="ND61" s="3">
        <v>706</v>
      </c>
      <c r="NE61" s="3">
        <v>689</v>
      </c>
      <c r="NF61" s="3">
        <v>687</v>
      </c>
      <c r="NG61" s="3">
        <v>744</v>
      </c>
      <c r="NH61" s="24">
        <v>0.96899999999999997</v>
      </c>
      <c r="NI61" s="24">
        <v>0.93400000000000005</v>
      </c>
      <c r="NJ61" s="24">
        <v>0.96899999999999997</v>
      </c>
      <c r="NK61" s="24">
        <v>0.96899999999999997</v>
      </c>
      <c r="NL61" s="24">
        <v>0.97</v>
      </c>
      <c r="NM61" s="24">
        <v>0.90200000000000002</v>
      </c>
      <c r="NN61" s="24">
        <v>0.95299999999999996</v>
      </c>
      <c r="NO61" s="24">
        <v>0.94599999999999995</v>
      </c>
      <c r="NP61" s="24">
        <v>0.97299999999999998</v>
      </c>
      <c r="NQ61" s="24">
        <v>0.92300000000000004</v>
      </c>
      <c r="NR61" s="3">
        <v>721</v>
      </c>
      <c r="NS61" s="3">
        <v>695</v>
      </c>
      <c r="NT61" s="3">
        <v>721</v>
      </c>
      <c r="NU61" s="3">
        <v>721</v>
      </c>
      <c r="NV61" s="3">
        <v>722</v>
      </c>
      <c r="NW61" s="3">
        <v>671</v>
      </c>
      <c r="NX61" s="3">
        <v>709</v>
      </c>
      <c r="NY61" s="3">
        <v>704</v>
      </c>
      <c r="NZ61" s="3">
        <v>724</v>
      </c>
      <c r="OA61" s="8">
        <v>687</v>
      </c>
    </row>
    <row r="62" spans="1:391" s="3" customFormat="1" ht="12.75" x14ac:dyDescent="0.2">
      <c r="A62" s="11" t="s">
        <v>125</v>
      </c>
      <c r="B62" s="8">
        <v>2</v>
      </c>
      <c r="C62" s="11" t="s">
        <v>287</v>
      </c>
      <c r="D62" s="11" t="s">
        <v>287</v>
      </c>
      <c r="E62" s="11" t="s">
        <v>287</v>
      </c>
      <c r="F62" s="11" t="s">
        <v>287</v>
      </c>
      <c r="G62" s="11" t="s">
        <v>287</v>
      </c>
      <c r="H62" s="11" t="s">
        <v>287</v>
      </c>
      <c r="I62" s="11" t="s">
        <v>83</v>
      </c>
      <c r="J62" s="11" t="s">
        <v>269</v>
      </c>
      <c r="K62" s="11" t="s">
        <v>287</v>
      </c>
      <c r="L62" s="11" t="s">
        <v>287</v>
      </c>
      <c r="M62" s="11" t="s">
        <v>287</v>
      </c>
      <c r="N62" s="11" t="s">
        <v>287</v>
      </c>
      <c r="O62" s="128" t="s">
        <v>287</v>
      </c>
      <c r="P62" s="128" t="s">
        <v>287</v>
      </c>
      <c r="Q62" s="128" t="s">
        <v>287</v>
      </c>
      <c r="R62" s="128" t="s">
        <v>287</v>
      </c>
      <c r="S62" s="128" t="s">
        <v>287</v>
      </c>
      <c r="T62" s="38">
        <v>146000</v>
      </c>
      <c r="U62" s="39">
        <v>146800</v>
      </c>
      <c r="V62" s="39">
        <v>147700</v>
      </c>
      <c r="W62" s="39">
        <v>148500</v>
      </c>
      <c r="X62" s="39">
        <v>148900</v>
      </c>
      <c r="Y62" s="39">
        <v>149500</v>
      </c>
      <c r="Z62" s="39">
        <v>149800</v>
      </c>
      <c r="AA62" s="39">
        <v>151400</v>
      </c>
      <c r="AB62" s="39">
        <v>152800</v>
      </c>
      <c r="AC62" s="44">
        <v>154415</v>
      </c>
      <c r="AD62" s="38">
        <v>6800</v>
      </c>
      <c r="AE62" s="39">
        <v>6800</v>
      </c>
      <c r="AF62" s="39">
        <v>6900</v>
      </c>
      <c r="AG62" s="39">
        <v>7000</v>
      </c>
      <c r="AH62" s="39">
        <v>7200</v>
      </c>
      <c r="AI62" s="39">
        <v>7300</v>
      </c>
      <c r="AJ62" s="39">
        <v>7500</v>
      </c>
      <c r="AK62" s="39">
        <v>7800</v>
      </c>
      <c r="AL62" s="39">
        <v>8000</v>
      </c>
      <c r="AM62" s="44">
        <v>7936</v>
      </c>
      <c r="AN62" s="15">
        <v>7386</v>
      </c>
      <c r="AO62" s="3">
        <v>6463</v>
      </c>
      <c r="AP62" s="3">
        <v>502</v>
      </c>
      <c r="AQ62" s="3">
        <v>239</v>
      </c>
      <c r="AR62" s="3">
        <v>149</v>
      </c>
      <c r="AS62" s="3">
        <v>19</v>
      </c>
      <c r="AT62" s="3">
        <v>14</v>
      </c>
      <c r="AU62" s="11">
        <v>923</v>
      </c>
      <c r="AV62" s="18">
        <v>0.87503384782020033</v>
      </c>
      <c r="AW62" s="19">
        <v>6.7966422962361217E-2</v>
      </c>
      <c r="AX62" s="19">
        <v>3.2358516111562416E-2</v>
      </c>
      <c r="AY62" s="19">
        <v>2.017330083942594E-2</v>
      </c>
      <c r="AZ62" s="19">
        <v>2.5724343352288115E-3</v>
      </c>
      <c r="BA62" s="19">
        <v>1.8954779312212293E-3</v>
      </c>
      <c r="BB62" s="20">
        <v>0.12496615217979967</v>
      </c>
      <c r="BC62" s="15">
        <v>18877</v>
      </c>
      <c r="BD62" s="3">
        <v>18250</v>
      </c>
      <c r="BE62" s="3">
        <v>627</v>
      </c>
      <c r="BF62" s="3">
        <v>496</v>
      </c>
      <c r="BG62" s="3">
        <v>131</v>
      </c>
      <c r="BH62" s="24">
        <v>0.7910685805422647</v>
      </c>
      <c r="BI62" s="20">
        <v>0.20893141945773525</v>
      </c>
      <c r="BJ62" s="38">
        <v>14349</v>
      </c>
      <c r="BK62" s="20">
        <v>0.60241131786187185</v>
      </c>
      <c r="BL62" s="20">
        <v>0.12544428183148651</v>
      </c>
      <c r="BM62" s="20">
        <v>0.27214440030664155</v>
      </c>
      <c r="BN62" s="38">
        <v>43896</v>
      </c>
      <c r="BO62" s="39">
        <v>2438</v>
      </c>
      <c r="BP62" s="39">
        <v>2332</v>
      </c>
      <c r="BQ62" s="39">
        <v>1070</v>
      </c>
      <c r="BR62" s="39">
        <v>26818</v>
      </c>
      <c r="BS62" s="39">
        <v>15402</v>
      </c>
      <c r="BT62" s="20">
        <v>0.13744968185949877</v>
      </c>
      <c r="BU62" s="38">
        <v>8393</v>
      </c>
      <c r="BV62" s="39">
        <v>8</v>
      </c>
      <c r="BW62" s="39">
        <v>2262</v>
      </c>
      <c r="BX62" s="39">
        <v>3530</v>
      </c>
      <c r="BY62" s="39">
        <v>1296</v>
      </c>
      <c r="BZ62" s="40">
        <v>15489</v>
      </c>
      <c r="CA62" s="39">
        <v>5902</v>
      </c>
      <c r="CB62" s="39">
        <v>4770</v>
      </c>
      <c r="CC62" s="39">
        <v>1113</v>
      </c>
      <c r="CD62" s="39">
        <v>1132</v>
      </c>
      <c r="CE62" s="19">
        <v>0.18858014232463571</v>
      </c>
      <c r="CF62" s="104">
        <v>0.1917993900372755</v>
      </c>
      <c r="CG62" s="39">
        <v>1075</v>
      </c>
      <c r="CH62" s="39">
        <v>995</v>
      </c>
      <c r="CI62" s="39">
        <v>875</v>
      </c>
      <c r="CJ62" s="39">
        <v>870</v>
      </c>
      <c r="CK62" s="44">
        <v>775</v>
      </c>
      <c r="CL62" s="38">
        <v>3519</v>
      </c>
      <c r="CM62" s="39">
        <v>1200</v>
      </c>
      <c r="CN62" s="19">
        <v>0.34100596760443308</v>
      </c>
      <c r="CO62" s="40">
        <v>332</v>
      </c>
      <c r="CP62" s="122">
        <v>1435</v>
      </c>
      <c r="CQ62" s="122">
        <v>1496</v>
      </c>
      <c r="CR62" s="122">
        <v>1567</v>
      </c>
      <c r="CS62" s="122">
        <v>1619</v>
      </c>
      <c r="CT62" s="122">
        <v>1493</v>
      </c>
      <c r="CU62" s="123">
        <v>1463</v>
      </c>
      <c r="CV62" s="39">
        <v>109</v>
      </c>
      <c r="CW62" s="39">
        <v>76</v>
      </c>
      <c r="CX62" s="39">
        <v>101</v>
      </c>
      <c r="CY62" s="39">
        <v>76</v>
      </c>
      <c r="CZ62" s="39">
        <v>77</v>
      </c>
      <c r="DA62" s="434">
        <v>64</v>
      </c>
      <c r="DB62" s="379" t="s">
        <v>287</v>
      </c>
      <c r="DC62" s="15">
        <v>96</v>
      </c>
      <c r="DD62" s="19">
        <v>6.4300066979236431E-2</v>
      </c>
      <c r="DE62" s="19">
        <v>5.2941947229811305E-2</v>
      </c>
      <c r="DF62" s="20">
        <v>7.7894526911538545E-2</v>
      </c>
      <c r="DG62" s="15">
        <v>150</v>
      </c>
      <c r="DH62" s="20">
        <v>2.0319696559198051E-2</v>
      </c>
      <c r="DI62" s="470" t="s">
        <v>287</v>
      </c>
      <c r="DJ62" s="471" t="s">
        <v>287</v>
      </c>
      <c r="DK62" s="3">
        <v>2878</v>
      </c>
      <c r="DL62" s="20">
        <v>4.3144544718616014E-2</v>
      </c>
      <c r="DM62" s="15">
        <v>1345</v>
      </c>
      <c r="DN62" s="3">
        <v>1395</v>
      </c>
      <c r="DO62" s="3">
        <v>1465</v>
      </c>
      <c r="DP62" s="3">
        <v>1430</v>
      </c>
      <c r="DQ62" s="11">
        <v>1285</v>
      </c>
      <c r="DR62" s="15">
        <v>1255</v>
      </c>
      <c r="DS62" s="19">
        <v>0.17915774446823698</v>
      </c>
      <c r="DT62" s="19">
        <v>0.17035401644177106</v>
      </c>
      <c r="DU62" s="19">
        <v>0.18831317179331172</v>
      </c>
      <c r="DV62" s="3">
        <v>1350</v>
      </c>
      <c r="DW62" s="19">
        <v>0.1888111888111888</v>
      </c>
      <c r="DX62" s="19">
        <v>0.17990787908661307</v>
      </c>
      <c r="DY62" s="19">
        <v>0.19804870191740886</v>
      </c>
      <c r="DZ62" s="3">
        <v>1335</v>
      </c>
      <c r="EA62" s="19">
        <v>0.18375774260151412</v>
      </c>
      <c r="EB62" s="19">
        <v>0.17502006739259235</v>
      </c>
      <c r="EC62" s="19">
        <v>0.19282967509642618</v>
      </c>
      <c r="ED62" s="3">
        <v>1450</v>
      </c>
      <c r="EE62" s="19">
        <v>0.19541778975741239</v>
      </c>
      <c r="EF62" s="19">
        <v>0.18655413350967132</v>
      </c>
      <c r="EG62" s="19">
        <v>0.20459665748283737</v>
      </c>
      <c r="EH62" s="3">
        <v>1435</v>
      </c>
      <c r="EI62" s="20">
        <v>0.18612191958495461</v>
      </c>
      <c r="EJ62" s="20">
        <v>0.17759139605505248</v>
      </c>
      <c r="EK62" s="20">
        <v>0.19496506289763801</v>
      </c>
      <c r="EL62" s="438">
        <v>1390</v>
      </c>
      <c r="EM62" s="20">
        <v>0.18374091209517515</v>
      </c>
      <c r="EN62" s="20">
        <v>0.17517525189936017</v>
      </c>
      <c r="EO62" s="104">
        <v>0.19262759797754109</v>
      </c>
      <c r="EP62" s="38">
        <v>3840</v>
      </c>
      <c r="EQ62" s="20">
        <v>0.16368286445012789</v>
      </c>
      <c r="ER62" s="44">
        <v>4050</v>
      </c>
      <c r="ES62" s="20">
        <v>0.17088607594936708</v>
      </c>
      <c r="ET62" s="44">
        <v>3850</v>
      </c>
      <c r="EU62" s="20">
        <v>0.16251582946390883</v>
      </c>
      <c r="EV62" s="44">
        <v>3875</v>
      </c>
      <c r="EW62" s="20">
        <v>0.16291780533949968</v>
      </c>
      <c r="EX62" s="44">
        <v>3645</v>
      </c>
      <c r="EY62" s="20">
        <v>0.15074441687344914</v>
      </c>
      <c r="EZ62" s="44">
        <v>3540</v>
      </c>
      <c r="FA62" s="104">
        <v>0.14532019704433496</v>
      </c>
      <c r="FB62" s="3">
        <v>1536</v>
      </c>
      <c r="FC62" s="3">
        <v>59</v>
      </c>
      <c r="FD62" s="3">
        <v>1486</v>
      </c>
      <c r="FE62" s="19">
        <v>0.96744791666666663</v>
      </c>
      <c r="FF62" s="3">
        <v>572</v>
      </c>
      <c r="FG62" s="3">
        <v>708</v>
      </c>
      <c r="FH62" s="19">
        <v>0.38492597577388965</v>
      </c>
      <c r="FI62" s="19">
        <v>0.47644683714670255</v>
      </c>
      <c r="FJ62" s="19">
        <v>0.376</v>
      </c>
      <c r="FK62" s="19">
        <v>0.42599999999999999</v>
      </c>
      <c r="FL62" s="19">
        <v>0.47</v>
      </c>
      <c r="FM62" s="104">
        <v>0.52100000000000002</v>
      </c>
      <c r="FN62" s="438">
        <v>1388</v>
      </c>
      <c r="FO62" s="438">
        <v>489</v>
      </c>
      <c r="FP62" s="438">
        <v>174</v>
      </c>
      <c r="FQ62" s="438">
        <v>663</v>
      </c>
      <c r="FR62" s="497">
        <v>0.35230547550432278</v>
      </c>
      <c r="FS62" s="497">
        <v>0.4776657060518732</v>
      </c>
      <c r="FT62" s="497">
        <v>0.32761417446210717</v>
      </c>
      <c r="FU62" s="497">
        <v>0.37781204531195201</v>
      </c>
      <c r="FV62" s="497">
        <v>0.45148572445823193</v>
      </c>
      <c r="FW62" s="104">
        <v>0.50396897219052827</v>
      </c>
      <c r="FX62" s="534" t="s">
        <v>287</v>
      </c>
      <c r="FY62" s="528" t="s">
        <v>287</v>
      </c>
      <c r="FZ62" s="528" t="s">
        <v>287</v>
      </c>
      <c r="GA62" s="344" t="s">
        <v>287</v>
      </c>
      <c r="GB62" s="528" t="s">
        <v>287</v>
      </c>
      <c r="GC62" s="528" t="s">
        <v>287</v>
      </c>
      <c r="GD62" s="528" t="s">
        <v>287</v>
      </c>
      <c r="GE62" s="344" t="s">
        <v>287</v>
      </c>
      <c r="GF62" s="344" t="s">
        <v>287</v>
      </c>
      <c r="GG62" s="344" t="s">
        <v>287</v>
      </c>
      <c r="GH62" s="344" t="s">
        <v>287</v>
      </c>
      <c r="GI62" s="344" t="s">
        <v>287</v>
      </c>
      <c r="GJ62" s="345" t="s">
        <v>287</v>
      </c>
      <c r="GK62" s="3">
        <v>1142</v>
      </c>
      <c r="GL62" s="354">
        <v>102.78</v>
      </c>
      <c r="GM62" s="19">
        <v>0.09</v>
      </c>
      <c r="GN62" s="19">
        <v>7.2999999999999995E-2</v>
      </c>
      <c r="GO62" s="19">
        <v>0.107</v>
      </c>
      <c r="GP62" s="353" t="s">
        <v>725</v>
      </c>
      <c r="GQ62" s="3">
        <v>1241</v>
      </c>
      <c r="GR62" s="354">
        <v>105.48500000000001</v>
      </c>
      <c r="GS62" s="19">
        <v>8.5000000000000006E-2</v>
      </c>
      <c r="GT62" s="19">
        <v>6.9000000000000006E-2</v>
      </c>
      <c r="GU62" s="19">
        <v>0.10100000000000001</v>
      </c>
      <c r="GV62" s="3" t="s">
        <v>725</v>
      </c>
      <c r="GW62" s="3">
        <v>1158</v>
      </c>
      <c r="GX62" s="354">
        <v>119.27399999999999</v>
      </c>
      <c r="GY62" s="19">
        <v>0.10299999999999999</v>
      </c>
      <c r="GZ62" s="19">
        <v>8.5999999999999993E-2</v>
      </c>
      <c r="HA62" s="19">
        <v>0.12</v>
      </c>
      <c r="HB62" s="3" t="s">
        <v>725</v>
      </c>
      <c r="HC62" s="3">
        <v>1432</v>
      </c>
      <c r="HD62" s="354">
        <v>140.33600000000001</v>
      </c>
      <c r="HE62" s="19">
        <v>9.8000000000000004E-2</v>
      </c>
      <c r="HF62" s="19">
        <v>8.3000000000000004E-2</v>
      </c>
      <c r="HG62" s="19">
        <v>0.113</v>
      </c>
      <c r="HH62" s="3" t="s">
        <v>725</v>
      </c>
      <c r="HI62" s="3">
        <v>1047</v>
      </c>
      <c r="HJ62" s="354">
        <v>103.999557</v>
      </c>
      <c r="HK62" s="19">
        <v>9.9331000000000003E-2</v>
      </c>
      <c r="HL62" s="19">
        <v>8.2652000000000003E-2</v>
      </c>
      <c r="HM62" s="19">
        <v>0.11894</v>
      </c>
      <c r="HN62" s="11" t="s">
        <v>792</v>
      </c>
      <c r="HO62" s="11">
        <v>1320</v>
      </c>
      <c r="HP62" s="11">
        <v>134.99999999999963</v>
      </c>
      <c r="HQ62" s="19">
        <v>0.102272727272727</v>
      </c>
      <c r="HR62" s="19">
        <v>8.7063749187249892E-2</v>
      </c>
      <c r="HS62" s="19">
        <v>0.119789916707636</v>
      </c>
      <c r="HT62" s="8" t="str">
        <f t="shared" si="0"/>
        <v>No Sig diff</v>
      </c>
      <c r="HU62" s="3">
        <v>1236</v>
      </c>
      <c r="HV62" s="354">
        <v>196.524</v>
      </c>
      <c r="HW62" s="19">
        <v>0.159</v>
      </c>
      <c r="HX62" s="19">
        <v>0.13900000000000001</v>
      </c>
      <c r="HY62" s="19">
        <v>0.17899999999999999</v>
      </c>
      <c r="HZ62" s="3" t="s">
        <v>726</v>
      </c>
      <c r="IA62" s="3">
        <v>1196</v>
      </c>
      <c r="IB62" s="354">
        <v>218.86799999999999</v>
      </c>
      <c r="IC62" s="19">
        <v>0.183</v>
      </c>
      <c r="ID62" s="19">
        <v>0.161</v>
      </c>
      <c r="IE62" s="19">
        <v>0.20499999999999999</v>
      </c>
      <c r="IF62" s="3" t="s">
        <v>725</v>
      </c>
      <c r="IG62" s="3">
        <v>1187</v>
      </c>
      <c r="IH62" s="354">
        <v>214.84699999999998</v>
      </c>
      <c r="II62" s="19">
        <v>0.18099999999999999</v>
      </c>
      <c r="IJ62" s="19">
        <v>0.159</v>
      </c>
      <c r="IK62" s="19">
        <v>0.20299999999999999</v>
      </c>
      <c r="IL62" s="3" t="s">
        <v>725</v>
      </c>
      <c r="IM62" s="3">
        <v>1199</v>
      </c>
      <c r="IN62" s="354">
        <v>183.447</v>
      </c>
      <c r="IO62" s="19">
        <v>0.153</v>
      </c>
      <c r="IP62" s="19">
        <v>0.13300000000000001</v>
      </c>
      <c r="IQ62" s="19">
        <v>0.17299999999999999</v>
      </c>
      <c r="IR62" s="3" t="s">
        <v>726</v>
      </c>
      <c r="IS62" s="3">
        <v>1273</v>
      </c>
      <c r="IT62" s="354">
        <v>238.99938499999999</v>
      </c>
      <c r="IU62" s="19">
        <v>0.187745</v>
      </c>
      <c r="IV62" s="19">
        <v>0.16724499999999998</v>
      </c>
      <c r="IW62" s="19">
        <v>0.21012500000000001</v>
      </c>
      <c r="IX62" s="11" t="s">
        <v>792</v>
      </c>
      <c r="IY62" s="11">
        <v>1298</v>
      </c>
      <c r="IZ62" s="11">
        <v>418.00000000000034</v>
      </c>
      <c r="JA62" s="497">
        <v>0.322033898305085</v>
      </c>
      <c r="JB62" s="497">
        <v>0.29717172441547102</v>
      </c>
      <c r="JC62" s="497">
        <v>0.34794635285139203</v>
      </c>
      <c r="JD62" s="8" t="str">
        <f t="shared" si="1"/>
        <v>No sig diff</v>
      </c>
      <c r="JE62" s="3">
        <v>1542</v>
      </c>
      <c r="JF62" s="3">
        <v>715</v>
      </c>
      <c r="JG62" s="19">
        <v>0.46368352788586253</v>
      </c>
      <c r="JH62" s="19">
        <v>0.43891441899559364</v>
      </c>
      <c r="JI62" s="19">
        <v>0.48863313165333022</v>
      </c>
      <c r="JJ62" s="3">
        <v>1542</v>
      </c>
      <c r="JK62" s="3">
        <v>33</v>
      </c>
      <c r="JL62" s="3">
        <v>308</v>
      </c>
      <c r="JM62" s="383">
        <v>22.461038961038945</v>
      </c>
      <c r="JN62" s="19">
        <v>0.31936245572609256</v>
      </c>
      <c r="JO62" s="3">
        <v>1589</v>
      </c>
      <c r="JP62" s="3">
        <v>889</v>
      </c>
      <c r="JQ62" s="19">
        <v>0.55947136563876654</v>
      </c>
      <c r="JR62" s="19">
        <v>0.53494728540455549</v>
      </c>
      <c r="JS62" s="19">
        <v>0.58370859145837573</v>
      </c>
      <c r="JT62" s="3">
        <v>1589</v>
      </c>
      <c r="JU62" s="3">
        <v>34</v>
      </c>
      <c r="JV62" s="3">
        <v>317</v>
      </c>
      <c r="JW62" s="383">
        <v>23.64984227129338</v>
      </c>
      <c r="JX62" s="20">
        <v>0.30441640378548884</v>
      </c>
      <c r="JY62" s="44">
        <v>1485</v>
      </c>
      <c r="JZ62" s="44">
        <v>854</v>
      </c>
      <c r="KA62" s="497">
        <v>0.57508417508417509</v>
      </c>
      <c r="KB62" s="497">
        <v>0.54978002690346328</v>
      </c>
      <c r="KC62" s="497">
        <v>0.60000086392196916</v>
      </c>
      <c r="KD62" s="438">
        <v>34</v>
      </c>
      <c r="KE62" s="438">
        <v>297</v>
      </c>
      <c r="KF62" s="384">
        <v>22.144781144781145</v>
      </c>
      <c r="KG62" s="104">
        <v>0.34868290750643688</v>
      </c>
      <c r="KH62" s="19"/>
      <c r="KI62" s="19"/>
      <c r="KJ62" s="19"/>
      <c r="KK62" s="19"/>
      <c r="KL62" s="19"/>
      <c r="KM62" s="19"/>
      <c r="KN62" s="19"/>
      <c r="KO62" s="19"/>
      <c r="KP62" s="19"/>
      <c r="KQ62" s="19"/>
      <c r="KR62" s="19"/>
      <c r="KS62" s="19"/>
      <c r="KT62" s="19"/>
      <c r="KU62" s="19"/>
      <c r="KV62" s="19"/>
      <c r="KW62" s="104"/>
      <c r="KX62" s="438">
        <v>107</v>
      </c>
      <c r="KY62" s="438">
        <v>759</v>
      </c>
      <c r="KZ62" s="497">
        <v>0.14097496706192358</v>
      </c>
      <c r="LA62" s="497">
        <v>0.11802206187263255</v>
      </c>
      <c r="LB62" s="497">
        <v>0.16754377399248102</v>
      </c>
      <c r="LC62" s="438">
        <v>82</v>
      </c>
      <c r="LD62" s="438">
        <v>759</v>
      </c>
      <c r="LE62" s="497">
        <v>0.1080368906455863</v>
      </c>
      <c r="LF62" s="497">
        <v>8.7893677254453781E-2</v>
      </c>
      <c r="LG62" s="497">
        <v>0.13212773988268856</v>
      </c>
      <c r="LH62" s="438">
        <v>91</v>
      </c>
      <c r="LI62" s="438">
        <v>751</v>
      </c>
      <c r="LJ62" s="497">
        <v>0.12117177097203728</v>
      </c>
      <c r="LK62" s="497">
        <v>9.9740508015234847E-2</v>
      </c>
      <c r="LL62" s="497">
        <v>0.1464588185440647</v>
      </c>
      <c r="LM62" s="438">
        <v>169</v>
      </c>
      <c r="LN62" s="438">
        <v>754</v>
      </c>
      <c r="LO62" s="497">
        <v>0.22413793103448276</v>
      </c>
      <c r="LP62" s="497">
        <v>0.19581344264540859</v>
      </c>
      <c r="LQ62" s="104">
        <v>0.25525908029711636</v>
      </c>
      <c r="LR62" s="495" t="s">
        <v>287</v>
      </c>
      <c r="LS62" s="495" t="s">
        <v>287</v>
      </c>
      <c r="LT62" s="495" t="s">
        <v>287</v>
      </c>
      <c r="LU62" s="495" t="s">
        <v>287</v>
      </c>
      <c r="LV62" s="495" t="s">
        <v>287</v>
      </c>
      <c r="LW62" s="495" t="s">
        <v>287</v>
      </c>
      <c r="LX62" s="495" t="s">
        <v>287</v>
      </c>
      <c r="LY62" s="495" t="s">
        <v>287</v>
      </c>
      <c r="LZ62" s="495" t="s">
        <v>287</v>
      </c>
      <c r="MA62" s="495" t="s">
        <v>287</v>
      </c>
      <c r="MB62" s="495" t="s">
        <v>287</v>
      </c>
      <c r="MC62" s="495" t="s">
        <v>287</v>
      </c>
      <c r="MD62" s="495" t="s">
        <v>287</v>
      </c>
      <c r="ME62" s="495" t="s">
        <v>287</v>
      </c>
      <c r="MF62" s="495" t="s">
        <v>287</v>
      </c>
      <c r="MG62" s="495" t="s">
        <v>287</v>
      </c>
      <c r="MH62" s="495" t="s">
        <v>287</v>
      </c>
      <c r="MI62" s="495" t="s">
        <v>287</v>
      </c>
      <c r="MJ62" s="495" t="s">
        <v>287</v>
      </c>
      <c r="MK62" s="495" t="s">
        <v>287</v>
      </c>
      <c r="ML62" s="495" t="s">
        <v>287</v>
      </c>
      <c r="MM62" s="495" t="s">
        <v>287</v>
      </c>
      <c r="MN62" s="136" t="s">
        <v>287</v>
      </c>
      <c r="MO62" s="3">
        <v>1461</v>
      </c>
      <c r="MP62" s="24">
        <v>0.95299999999999996</v>
      </c>
      <c r="MQ62" s="24">
        <v>5.0000000000000001E-3</v>
      </c>
      <c r="MR62" s="24">
        <v>0.95499999999999996</v>
      </c>
      <c r="MS62" s="3">
        <v>1393</v>
      </c>
      <c r="MT62" s="3">
        <v>7</v>
      </c>
      <c r="MU62" s="3">
        <v>1395</v>
      </c>
      <c r="MV62" s="3">
        <v>1597</v>
      </c>
      <c r="MW62" s="24">
        <v>0.97399999999999998</v>
      </c>
      <c r="MX62" s="24">
        <v>0.92700000000000005</v>
      </c>
      <c r="MY62" s="24">
        <v>0.97199999999999998</v>
      </c>
      <c r="MZ62" s="24">
        <v>0.93</v>
      </c>
      <c r="NA62" s="24">
        <v>0.92700000000000005</v>
      </c>
      <c r="NB62" s="3">
        <v>1556</v>
      </c>
      <c r="NC62" s="3">
        <v>1481</v>
      </c>
      <c r="ND62" s="3">
        <v>1552</v>
      </c>
      <c r="NE62" s="3">
        <v>1486</v>
      </c>
      <c r="NF62" s="3">
        <v>1481</v>
      </c>
      <c r="NG62" s="3">
        <v>1587</v>
      </c>
      <c r="NH62" s="24">
        <v>0.96099999999999997</v>
      </c>
      <c r="NI62" s="24">
        <v>0.91200000000000003</v>
      </c>
      <c r="NJ62" s="24">
        <v>0.96099999999999997</v>
      </c>
      <c r="NK62" s="24">
        <v>0.95899999999999996</v>
      </c>
      <c r="NL62" s="24">
        <v>0.95399999999999996</v>
      </c>
      <c r="NM62" s="24">
        <v>0.86699999999999999</v>
      </c>
      <c r="NN62" s="24">
        <v>0.93799999999999994</v>
      </c>
      <c r="NO62" s="24">
        <v>0.90900000000000003</v>
      </c>
      <c r="NP62" s="24">
        <v>0.95499999999999996</v>
      </c>
      <c r="NQ62" s="24">
        <v>0.90900000000000003</v>
      </c>
      <c r="NR62" s="3">
        <v>1525</v>
      </c>
      <c r="NS62" s="3">
        <v>1448</v>
      </c>
      <c r="NT62" s="3">
        <v>1525</v>
      </c>
      <c r="NU62" s="3">
        <v>1522</v>
      </c>
      <c r="NV62" s="3">
        <v>1514</v>
      </c>
      <c r="NW62" s="3">
        <v>1376</v>
      </c>
      <c r="NX62" s="3">
        <v>1488</v>
      </c>
      <c r="NY62" s="3">
        <v>1443</v>
      </c>
      <c r="NZ62" s="3">
        <v>1515</v>
      </c>
      <c r="OA62" s="8">
        <v>1442</v>
      </c>
    </row>
    <row r="63" spans="1:391" s="3" customFormat="1" ht="12.75" x14ac:dyDescent="0.2">
      <c r="A63" s="11" t="s">
        <v>126</v>
      </c>
      <c r="B63" s="8">
        <v>3</v>
      </c>
      <c r="C63" s="11" t="s">
        <v>287</v>
      </c>
      <c r="D63" s="11" t="s">
        <v>287</v>
      </c>
      <c r="E63" s="11" t="s">
        <v>287</v>
      </c>
      <c r="F63" s="11" t="s">
        <v>287</v>
      </c>
      <c r="G63" s="11" t="s">
        <v>287</v>
      </c>
      <c r="H63" s="11" t="s">
        <v>287</v>
      </c>
      <c r="I63" s="11" t="s">
        <v>44</v>
      </c>
      <c r="J63" s="11" t="s">
        <v>269</v>
      </c>
      <c r="K63" s="11" t="s">
        <v>287</v>
      </c>
      <c r="L63" s="11" t="s">
        <v>287</v>
      </c>
      <c r="M63" s="11" t="s">
        <v>287</v>
      </c>
      <c r="N63" s="11" t="s">
        <v>287</v>
      </c>
      <c r="O63" s="128" t="s">
        <v>287</v>
      </c>
      <c r="P63" s="128" t="s">
        <v>287</v>
      </c>
      <c r="Q63" s="128" t="s">
        <v>287</v>
      </c>
      <c r="R63" s="128" t="s">
        <v>287</v>
      </c>
      <c r="S63" s="128" t="s">
        <v>287</v>
      </c>
      <c r="T63" s="38">
        <v>108800</v>
      </c>
      <c r="U63" s="39">
        <v>109700</v>
      </c>
      <c r="V63" s="39">
        <v>110600</v>
      </c>
      <c r="W63" s="39">
        <v>111800</v>
      </c>
      <c r="X63" s="39">
        <v>112500</v>
      </c>
      <c r="Y63" s="39">
        <v>113400</v>
      </c>
      <c r="Z63" s="39">
        <v>114000</v>
      </c>
      <c r="AA63" s="39">
        <v>114500</v>
      </c>
      <c r="AB63" s="39">
        <v>115300</v>
      </c>
      <c r="AC63" s="44">
        <v>115525</v>
      </c>
      <c r="AD63" s="38">
        <v>5000</v>
      </c>
      <c r="AE63" s="39">
        <v>5100</v>
      </c>
      <c r="AF63" s="39">
        <v>5300</v>
      </c>
      <c r="AG63" s="39">
        <v>5500</v>
      </c>
      <c r="AH63" s="39">
        <v>5600</v>
      </c>
      <c r="AI63" s="39">
        <v>5600</v>
      </c>
      <c r="AJ63" s="39">
        <v>5600</v>
      </c>
      <c r="AK63" s="39">
        <v>5800</v>
      </c>
      <c r="AL63" s="39">
        <v>5800</v>
      </c>
      <c r="AM63" s="44">
        <v>5725</v>
      </c>
      <c r="AN63" s="15">
        <v>5652</v>
      </c>
      <c r="AO63" s="3">
        <v>5123</v>
      </c>
      <c r="AP63" s="3">
        <v>182</v>
      </c>
      <c r="AQ63" s="3">
        <v>157</v>
      </c>
      <c r="AR63" s="3">
        <v>119</v>
      </c>
      <c r="AS63" s="3">
        <v>50</v>
      </c>
      <c r="AT63" s="3">
        <v>21</v>
      </c>
      <c r="AU63" s="11">
        <v>529</v>
      </c>
      <c r="AV63" s="18">
        <v>0.90640481245576787</v>
      </c>
      <c r="AW63" s="19">
        <v>3.2200990799716916E-2</v>
      </c>
      <c r="AX63" s="19">
        <v>2.7777777777777776E-2</v>
      </c>
      <c r="AY63" s="19">
        <v>2.1054493984430291E-2</v>
      </c>
      <c r="AZ63" s="19">
        <v>8.8464260438782735E-3</v>
      </c>
      <c r="BA63" s="19">
        <v>3.7154989384288748E-3</v>
      </c>
      <c r="BB63" s="20">
        <v>9.3595187544232128E-2</v>
      </c>
      <c r="BC63" s="15">
        <v>15282</v>
      </c>
      <c r="BD63" s="3">
        <v>15073</v>
      </c>
      <c r="BE63" s="3">
        <v>209</v>
      </c>
      <c r="BF63" s="3">
        <v>179</v>
      </c>
      <c r="BG63" s="3">
        <v>30</v>
      </c>
      <c r="BH63" s="24">
        <v>0.8564593301435407</v>
      </c>
      <c r="BI63" s="20">
        <v>0.14354066985645933</v>
      </c>
      <c r="BJ63" s="38">
        <v>11231</v>
      </c>
      <c r="BK63" s="20">
        <v>0.5725224824147449</v>
      </c>
      <c r="BL63" s="20">
        <v>0.20470127326150833</v>
      </c>
      <c r="BM63" s="20">
        <v>0.22277624432374676</v>
      </c>
      <c r="BN63" s="38">
        <v>32930</v>
      </c>
      <c r="BO63" s="39">
        <v>1623</v>
      </c>
      <c r="BP63" s="39">
        <v>1811</v>
      </c>
      <c r="BQ63" s="39">
        <v>909</v>
      </c>
      <c r="BR63" s="39">
        <v>21007</v>
      </c>
      <c r="BS63" s="39">
        <v>11757</v>
      </c>
      <c r="BT63" s="20">
        <v>0.15446117206770435</v>
      </c>
      <c r="BU63" s="38">
        <v>7237</v>
      </c>
      <c r="BV63" s="39">
        <v>5</v>
      </c>
      <c r="BW63" s="39">
        <v>1457</v>
      </c>
      <c r="BX63" s="39">
        <v>2293</v>
      </c>
      <c r="BY63" s="39">
        <v>835</v>
      </c>
      <c r="BZ63" s="40">
        <v>11827</v>
      </c>
      <c r="CA63" s="39">
        <v>4366</v>
      </c>
      <c r="CB63" s="39">
        <v>3704</v>
      </c>
      <c r="CC63" s="39">
        <v>655</v>
      </c>
      <c r="CD63" s="39">
        <v>662</v>
      </c>
      <c r="CE63" s="19">
        <v>0.15002290426019241</v>
      </c>
      <c r="CF63" s="104">
        <v>0.1516262024736601</v>
      </c>
      <c r="CG63" s="39">
        <v>635</v>
      </c>
      <c r="CH63" s="39">
        <v>590</v>
      </c>
      <c r="CI63" s="39">
        <v>495</v>
      </c>
      <c r="CJ63" s="39">
        <v>500</v>
      </c>
      <c r="CK63" s="44">
        <v>490</v>
      </c>
      <c r="CL63" s="38">
        <v>2288</v>
      </c>
      <c r="CM63" s="39">
        <v>731</v>
      </c>
      <c r="CN63" s="19">
        <v>0.31949300699300698</v>
      </c>
      <c r="CO63" s="40">
        <v>191</v>
      </c>
      <c r="CP63" s="122">
        <v>1131</v>
      </c>
      <c r="CQ63" s="122">
        <v>1067</v>
      </c>
      <c r="CR63" s="122">
        <v>1134</v>
      </c>
      <c r="CS63" s="122">
        <v>1136</v>
      </c>
      <c r="CT63" s="122">
        <v>1046</v>
      </c>
      <c r="CU63" s="123">
        <v>1060</v>
      </c>
      <c r="CV63" s="39">
        <v>59</v>
      </c>
      <c r="CW63" s="39">
        <v>55</v>
      </c>
      <c r="CX63" s="39">
        <v>48</v>
      </c>
      <c r="CY63" s="39">
        <v>51</v>
      </c>
      <c r="CZ63" s="39">
        <v>50</v>
      </c>
      <c r="DA63" s="434">
        <v>27</v>
      </c>
      <c r="DB63" s="379" t="s">
        <v>287</v>
      </c>
      <c r="DC63" s="15">
        <v>64</v>
      </c>
      <c r="DD63" s="19">
        <v>6.1185468451242828E-2</v>
      </c>
      <c r="DE63" s="19">
        <v>4.820474463457429E-2</v>
      </c>
      <c r="DF63" s="20">
        <v>7.7377511346051614E-2</v>
      </c>
      <c r="DG63" s="15">
        <v>89</v>
      </c>
      <c r="DH63" s="20">
        <v>1.5766164747564215E-2</v>
      </c>
      <c r="DI63" s="470" t="s">
        <v>287</v>
      </c>
      <c r="DJ63" s="471" t="s">
        <v>287</v>
      </c>
      <c r="DK63" s="3">
        <v>1500</v>
      </c>
      <c r="DL63" s="20">
        <v>3.0091478093403949E-2</v>
      </c>
      <c r="DM63" s="15">
        <v>825</v>
      </c>
      <c r="DN63" s="3">
        <v>820</v>
      </c>
      <c r="DO63" s="3">
        <v>865</v>
      </c>
      <c r="DP63" s="3">
        <v>770</v>
      </c>
      <c r="DQ63" s="11">
        <v>740</v>
      </c>
      <c r="DR63" s="15">
        <v>725</v>
      </c>
      <c r="DS63" s="19">
        <v>0.13731060606060605</v>
      </c>
      <c r="DT63" s="19">
        <v>0.12829044708641998</v>
      </c>
      <c r="DU63" s="19">
        <v>0.14685812997652209</v>
      </c>
      <c r="DV63" s="3">
        <v>810</v>
      </c>
      <c r="DW63" s="19">
        <v>0.14835164835164835</v>
      </c>
      <c r="DX63" s="19">
        <v>0.13917076888037969</v>
      </c>
      <c r="DY63" s="19">
        <v>0.15802699409629006</v>
      </c>
      <c r="DZ63" s="3">
        <v>810</v>
      </c>
      <c r="EA63" s="19">
        <v>0.14660633484162897</v>
      </c>
      <c r="EB63" s="19">
        <v>0.13752507435808467</v>
      </c>
      <c r="EC63" s="19">
        <v>0.15617867369025612</v>
      </c>
      <c r="ED63" s="3">
        <v>835</v>
      </c>
      <c r="EE63" s="19">
        <v>0.1496415770609319</v>
      </c>
      <c r="EF63" s="19">
        <v>0.14052310721598951</v>
      </c>
      <c r="EG63" s="19">
        <v>0.15924211197313282</v>
      </c>
      <c r="EH63" s="3">
        <v>770</v>
      </c>
      <c r="EI63" s="20">
        <v>0.13640389725420726</v>
      </c>
      <c r="EJ63" s="20">
        <v>0.1276974533495126</v>
      </c>
      <c r="EK63" s="20">
        <v>0.14560486360788366</v>
      </c>
      <c r="EL63" s="438">
        <v>780</v>
      </c>
      <c r="EM63" s="20">
        <v>0.15537848605577689</v>
      </c>
      <c r="EN63" s="20">
        <v>0.14562109661438943</v>
      </c>
      <c r="EO63" s="104">
        <v>0.16566290222179061</v>
      </c>
      <c r="EP63" s="38">
        <v>2325</v>
      </c>
      <c r="EQ63" s="20">
        <v>0.12718818380743982</v>
      </c>
      <c r="ER63" s="44">
        <v>2410</v>
      </c>
      <c r="ES63" s="20">
        <v>0.13055254604550379</v>
      </c>
      <c r="ET63" s="44">
        <v>2340</v>
      </c>
      <c r="EU63" s="20">
        <v>0.12658912631863672</v>
      </c>
      <c r="EV63" s="44">
        <v>2250</v>
      </c>
      <c r="EW63" s="20">
        <v>0.12139196115457243</v>
      </c>
      <c r="EX63" s="44">
        <v>2115</v>
      </c>
      <c r="EY63" s="20">
        <v>0.11398544866612773</v>
      </c>
      <c r="EZ63" s="44">
        <v>2075</v>
      </c>
      <c r="FA63" s="104">
        <v>0.1136674883593536</v>
      </c>
      <c r="FB63" s="3">
        <v>952</v>
      </c>
      <c r="FC63" s="3">
        <v>67</v>
      </c>
      <c r="FD63" s="3">
        <v>896</v>
      </c>
      <c r="FE63" s="19">
        <v>0.94117647058823528</v>
      </c>
      <c r="FF63" s="3">
        <v>387</v>
      </c>
      <c r="FG63" s="3">
        <v>497</v>
      </c>
      <c r="FH63" s="19">
        <v>0.43191964285714285</v>
      </c>
      <c r="FI63" s="19">
        <v>0.5546875</v>
      </c>
      <c r="FJ63" s="19">
        <v>0.39500000000000002</v>
      </c>
      <c r="FK63" s="19">
        <v>0.46</v>
      </c>
      <c r="FL63" s="19">
        <v>0.51600000000000001</v>
      </c>
      <c r="FM63" s="104">
        <v>0.58099999999999996</v>
      </c>
      <c r="FN63" s="438">
        <v>845</v>
      </c>
      <c r="FO63" s="438">
        <v>334</v>
      </c>
      <c r="FP63" s="438">
        <v>117</v>
      </c>
      <c r="FQ63" s="438">
        <v>451</v>
      </c>
      <c r="FR63" s="497">
        <v>0.39526627218934912</v>
      </c>
      <c r="FS63" s="497">
        <v>0.53372781065088759</v>
      </c>
      <c r="FT63" s="497">
        <v>0.3628469919208408</v>
      </c>
      <c r="FU63" s="497">
        <v>0.4286335040413754</v>
      </c>
      <c r="FV63" s="497">
        <v>0.50001540526009736</v>
      </c>
      <c r="FW63" s="104">
        <v>0.567134943497833</v>
      </c>
      <c r="FX63" s="534" t="s">
        <v>287</v>
      </c>
      <c r="FY63" s="528" t="s">
        <v>287</v>
      </c>
      <c r="FZ63" s="528" t="s">
        <v>287</v>
      </c>
      <c r="GA63" s="344" t="s">
        <v>287</v>
      </c>
      <c r="GB63" s="528" t="s">
        <v>287</v>
      </c>
      <c r="GC63" s="528" t="s">
        <v>287</v>
      </c>
      <c r="GD63" s="528" t="s">
        <v>287</v>
      </c>
      <c r="GE63" s="344" t="s">
        <v>287</v>
      </c>
      <c r="GF63" s="344" t="s">
        <v>287</v>
      </c>
      <c r="GG63" s="344" t="s">
        <v>287</v>
      </c>
      <c r="GH63" s="344" t="s">
        <v>287</v>
      </c>
      <c r="GI63" s="344" t="s">
        <v>287</v>
      </c>
      <c r="GJ63" s="345" t="s">
        <v>287</v>
      </c>
      <c r="GK63" s="3">
        <v>991</v>
      </c>
      <c r="GL63" s="354">
        <v>99.100000000000009</v>
      </c>
      <c r="GM63" s="19">
        <v>0.1</v>
      </c>
      <c r="GN63" s="19">
        <v>8.1000000000000003E-2</v>
      </c>
      <c r="GO63" s="19">
        <v>0.11900000000000001</v>
      </c>
      <c r="GP63" s="353" t="s">
        <v>725</v>
      </c>
      <c r="GQ63" s="3">
        <v>956</v>
      </c>
      <c r="GR63" s="354">
        <v>75.524000000000001</v>
      </c>
      <c r="GS63" s="19">
        <v>7.9000000000000001E-2</v>
      </c>
      <c r="GT63" s="19">
        <v>6.2E-2</v>
      </c>
      <c r="GU63" s="19">
        <v>9.6000000000000002E-2</v>
      </c>
      <c r="GV63" s="3" t="s">
        <v>725</v>
      </c>
      <c r="GW63" s="3">
        <v>951</v>
      </c>
      <c r="GX63" s="354">
        <v>65.619</v>
      </c>
      <c r="GY63" s="19">
        <v>6.9000000000000006E-2</v>
      </c>
      <c r="GZ63" s="19">
        <v>5.3000000000000005E-2</v>
      </c>
      <c r="HA63" s="19">
        <v>8.5000000000000006E-2</v>
      </c>
      <c r="HB63" s="3" t="s">
        <v>726</v>
      </c>
      <c r="HC63" s="3">
        <v>988</v>
      </c>
      <c r="HD63" s="354">
        <v>83.98</v>
      </c>
      <c r="HE63" s="19">
        <v>8.5000000000000006E-2</v>
      </c>
      <c r="HF63" s="19">
        <v>6.8000000000000005E-2</v>
      </c>
      <c r="HG63" s="19">
        <v>0.10200000000000001</v>
      </c>
      <c r="HH63" s="3" t="s">
        <v>725</v>
      </c>
      <c r="HI63" s="3">
        <v>774</v>
      </c>
      <c r="HJ63" s="354">
        <v>62.99973</v>
      </c>
      <c r="HK63" s="19">
        <v>8.1394999999999995E-2</v>
      </c>
      <c r="HL63" s="19">
        <v>6.4135999999999999E-2</v>
      </c>
      <c r="HM63" s="19">
        <v>0.10278999999999999</v>
      </c>
      <c r="HN63" s="11" t="s">
        <v>792</v>
      </c>
      <c r="HO63" s="11">
        <v>871</v>
      </c>
      <c r="HP63" s="11">
        <v>49.999999999999993</v>
      </c>
      <c r="HQ63" s="19">
        <v>5.7405281285878296E-2</v>
      </c>
      <c r="HR63" s="19">
        <v>4.3812466379009096E-2</v>
      </c>
      <c r="HS63" s="19">
        <v>7.4884993342063902E-2</v>
      </c>
      <c r="HT63" s="8" t="str">
        <f t="shared" si="0"/>
        <v>Sig better than Eng.</v>
      </c>
      <c r="HU63" s="3">
        <v>885</v>
      </c>
      <c r="HV63" s="354">
        <v>130.97999999999999</v>
      </c>
      <c r="HW63" s="19">
        <v>0.14799999999999999</v>
      </c>
      <c r="HX63" s="19">
        <v>0.125</v>
      </c>
      <c r="HY63" s="19">
        <v>0.17099999999999999</v>
      </c>
      <c r="HZ63" s="3" t="s">
        <v>726</v>
      </c>
      <c r="IA63" s="3">
        <v>801</v>
      </c>
      <c r="IB63" s="354">
        <v>129.762</v>
      </c>
      <c r="IC63" s="19">
        <v>0.16200000000000001</v>
      </c>
      <c r="ID63" s="19">
        <v>0.13600000000000001</v>
      </c>
      <c r="IE63" s="19">
        <v>0.188</v>
      </c>
      <c r="IF63" s="3" t="s">
        <v>726</v>
      </c>
      <c r="IG63" s="3">
        <v>821</v>
      </c>
      <c r="IH63" s="354">
        <v>127.255</v>
      </c>
      <c r="II63" s="19">
        <v>0.155</v>
      </c>
      <c r="IJ63" s="19">
        <v>0.13</v>
      </c>
      <c r="IK63" s="19">
        <v>0.18</v>
      </c>
      <c r="IL63" s="3" t="s">
        <v>726</v>
      </c>
      <c r="IM63" s="3">
        <v>831</v>
      </c>
      <c r="IN63" s="354">
        <v>108.861</v>
      </c>
      <c r="IO63" s="19">
        <v>0.13100000000000001</v>
      </c>
      <c r="IP63" s="19">
        <v>0.10800000000000001</v>
      </c>
      <c r="IQ63" s="19">
        <v>0.154</v>
      </c>
      <c r="IR63" s="3" t="s">
        <v>726</v>
      </c>
      <c r="IS63" s="3">
        <v>863</v>
      </c>
      <c r="IT63" s="354">
        <v>134.999953</v>
      </c>
      <c r="IU63" s="19">
        <v>0.15643100000000001</v>
      </c>
      <c r="IV63" s="19">
        <v>0.13372299999999998</v>
      </c>
      <c r="IW63" s="19">
        <v>0.18218399999999998</v>
      </c>
      <c r="IX63" s="11" t="s">
        <v>726</v>
      </c>
      <c r="IY63" s="11">
        <v>868</v>
      </c>
      <c r="IZ63" s="11">
        <v>218.00000000000011</v>
      </c>
      <c r="JA63" s="497">
        <v>0.25115207373271903</v>
      </c>
      <c r="JB63" s="497">
        <v>0.22344078389690603</v>
      </c>
      <c r="JC63" s="497">
        <v>0.28105628305337499</v>
      </c>
      <c r="JD63" s="8" t="str">
        <f t="shared" si="1"/>
        <v>Sig better than Eng.</v>
      </c>
      <c r="JE63" s="3">
        <v>1138</v>
      </c>
      <c r="JF63" s="3">
        <v>610</v>
      </c>
      <c r="JG63" s="19">
        <v>0.53602811950790863</v>
      </c>
      <c r="JH63" s="19">
        <v>0.50698089567473048</v>
      </c>
      <c r="JI63" s="19">
        <v>0.5648329269593596</v>
      </c>
      <c r="JJ63" s="3">
        <v>1138</v>
      </c>
      <c r="JK63" s="3">
        <v>34</v>
      </c>
      <c r="JL63" s="3">
        <v>227</v>
      </c>
      <c r="JM63" s="383">
        <v>22.969162995594704</v>
      </c>
      <c r="JN63" s="19">
        <v>0.32443638248250872</v>
      </c>
      <c r="JO63" s="3">
        <v>1158</v>
      </c>
      <c r="JP63" s="3">
        <v>658</v>
      </c>
      <c r="JQ63" s="19">
        <v>0.56822107081174433</v>
      </c>
      <c r="JR63" s="19">
        <v>0.53951303675508588</v>
      </c>
      <c r="JS63" s="19">
        <v>0.59647797888690635</v>
      </c>
      <c r="JT63" s="3">
        <v>1158</v>
      </c>
      <c r="JU63" s="3">
        <v>34</v>
      </c>
      <c r="JV63" s="3">
        <v>231</v>
      </c>
      <c r="JW63" s="383">
        <v>23.199134199134214</v>
      </c>
      <c r="JX63" s="20">
        <v>0.31767252355487607</v>
      </c>
      <c r="JY63" s="44">
        <v>1064</v>
      </c>
      <c r="JZ63" s="44">
        <v>673</v>
      </c>
      <c r="KA63" s="497">
        <v>0.63251879699248126</v>
      </c>
      <c r="KB63" s="497">
        <v>0.60312142673891267</v>
      </c>
      <c r="KC63" s="497">
        <v>0.66096271952699093</v>
      </c>
      <c r="KD63" s="438">
        <v>34</v>
      </c>
      <c r="KE63" s="438">
        <v>212</v>
      </c>
      <c r="KF63" s="384">
        <v>25.160377358490567</v>
      </c>
      <c r="KG63" s="104">
        <v>0.25998890122086565</v>
      </c>
      <c r="KH63" s="19"/>
      <c r="KI63" s="19"/>
      <c r="KJ63" s="19"/>
      <c r="KK63" s="19"/>
      <c r="KL63" s="19"/>
      <c r="KM63" s="19"/>
      <c r="KN63" s="19"/>
      <c r="KO63" s="19"/>
      <c r="KP63" s="19"/>
      <c r="KQ63" s="19"/>
      <c r="KR63" s="19"/>
      <c r="KS63" s="19"/>
      <c r="KT63" s="19"/>
      <c r="KU63" s="19"/>
      <c r="KV63" s="19"/>
      <c r="KW63" s="104"/>
      <c r="KX63" s="438">
        <v>57</v>
      </c>
      <c r="KY63" s="438">
        <v>458</v>
      </c>
      <c r="KZ63" s="497">
        <v>0.12445414847161572</v>
      </c>
      <c r="LA63" s="497">
        <v>9.731071248680441E-2</v>
      </c>
      <c r="LB63" s="497">
        <v>0.15784494010792083</v>
      </c>
      <c r="LC63" s="438">
        <v>41</v>
      </c>
      <c r="LD63" s="438">
        <v>457</v>
      </c>
      <c r="LE63" s="497">
        <v>8.9715536105032828E-2</v>
      </c>
      <c r="LF63" s="497">
        <v>6.6821131596200095E-2</v>
      </c>
      <c r="LG63" s="497">
        <v>0.11944999739545957</v>
      </c>
      <c r="LH63" s="438">
        <v>56</v>
      </c>
      <c r="LI63" s="438">
        <v>458</v>
      </c>
      <c r="LJ63" s="497">
        <v>0.1222707423580786</v>
      </c>
      <c r="LK63" s="497">
        <v>9.5370414089532674E-2</v>
      </c>
      <c r="LL63" s="497">
        <v>0.15545474811330143</v>
      </c>
      <c r="LM63" s="438">
        <v>93</v>
      </c>
      <c r="LN63" s="438">
        <v>445</v>
      </c>
      <c r="LO63" s="497">
        <v>0.20898876404494382</v>
      </c>
      <c r="LP63" s="497">
        <v>0.17378262319556442</v>
      </c>
      <c r="LQ63" s="104">
        <v>0.24917620801288046</v>
      </c>
      <c r="LR63" s="495" t="s">
        <v>287</v>
      </c>
      <c r="LS63" s="495" t="s">
        <v>287</v>
      </c>
      <c r="LT63" s="495" t="s">
        <v>287</v>
      </c>
      <c r="LU63" s="495" t="s">
        <v>287</v>
      </c>
      <c r="LV63" s="495" t="s">
        <v>287</v>
      </c>
      <c r="LW63" s="495" t="s">
        <v>287</v>
      </c>
      <c r="LX63" s="495" t="s">
        <v>287</v>
      </c>
      <c r="LY63" s="495" t="s">
        <v>287</v>
      </c>
      <c r="LZ63" s="495" t="s">
        <v>287</v>
      </c>
      <c r="MA63" s="495" t="s">
        <v>287</v>
      </c>
      <c r="MB63" s="495" t="s">
        <v>287</v>
      </c>
      <c r="MC63" s="495" t="s">
        <v>287</v>
      </c>
      <c r="MD63" s="495" t="s">
        <v>287</v>
      </c>
      <c r="ME63" s="495" t="s">
        <v>287</v>
      </c>
      <c r="MF63" s="495" t="s">
        <v>287</v>
      </c>
      <c r="MG63" s="495" t="s">
        <v>287</v>
      </c>
      <c r="MH63" s="495" t="s">
        <v>287</v>
      </c>
      <c r="MI63" s="495" t="s">
        <v>287</v>
      </c>
      <c r="MJ63" s="495" t="s">
        <v>287</v>
      </c>
      <c r="MK63" s="495" t="s">
        <v>287</v>
      </c>
      <c r="ML63" s="495" t="s">
        <v>287</v>
      </c>
      <c r="MM63" s="495" t="s">
        <v>287</v>
      </c>
      <c r="MN63" s="136" t="s">
        <v>287</v>
      </c>
      <c r="MO63" s="3">
        <v>891</v>
      </c>
      <c r="MP63" s="24">
        <v>0.95699999999999996</v>
      </c>
      <c r="MQ63" s="24">
        <v>7.0000000000000001E-3</v>
      </c>
      <c r="MR63" s="24">
        <v>0.95399999999999996</v>
      </c>
      <c r="MS63" s="3">
        <v>853</v>
      </c>
      <c r="MT63" s="3">
        <v>6</v>
      </c>
      <c r="MU63" s="3">
        <v>850</v>
      </c>
      <c r="MV63" s="3">
        <v>951</v>
      </c>
      <c r="MW63" s="24">
        <v>0.96</v>
      </c>
      <c r="MX63" s="24">
        <v>0.92800000000000005</v>
      </c>
      <c r="MY63" s="24">
        <v>0.95599999999999996</v>
      </c>
      <c r="MZ63" s="24">
        <v>0.93400000000000005</v>
      </c>
      <c r="NA63" s="24">
        <v>0.93700000000000006</v>
      </c>
      <c r="NB63" s="3">
        <v>913</v>
      </c>
      <c r="NC63" s="3">
        <v>883</v>
      </c>
      <c r="ND63" s="3">
        <v>909</v>
      </c>
      <c r="NE63" s="3">
        <v>888</v>
      </c>
      <c r="NF63" s="3">
        <v>891</v>
      </c>
      <c r="NG63" s="3">
        <v>976</v>
      </c>
      <c r="NH63" s="24">
        <v>0.94799999999999995</v>
      </c>
      <c r="NI63" s="24">
        <v>0.91500000000000004</v>
      </c>
      <c r="NJ63" s="24">
        <v>0.94799999999999995</v>
      </c>
      <c r="NK63" s="24">
        <v>0.94299999999999995</v>
      </c>
      <c r="NL63" s="24">
        <v>0.94699999999999995</v>
      </c>
      <c r="NM63" s="24">
        <v>0.90300000000000002</v>
      </c>
      <c r="NN63" s="24">
        <v>0.93400000000000005</v>
      </c>
      <c r="NO63" s="24">
        <v>0.90600000000000003</v>
      </c>
      <c r="NP63" s="24">
        <v>0.95499999999999996</v>
      </c>
      <c r="NQ63" s="24">
        <v>0.90200000000000002</v>
      </c>
      <c r="NR63" s="3">
        <v>925</v>
      </c>
      <c r="NS63" s="3">
        <v>893</v>
      </c>
      <c r="NT63" s="3">
        <v>925</v>
      </c>
      <c r="NU63" s="3">
        <v>920</v>
      </c>
      <c r="NV63" s="3">
        <v>924</v>
      </c>
      <c r="NW63" s="3">
        <v>881</v>
      </c>
      <c r="NX63" s="3">
        <v>912</v>
      </c>
      <c r="NY63" s="3">
        <v>884</v>
      </c>
      <c r="NZ63" s="3">
        <v>932</v>
      </c>
      <c r="OA63" s="8">
        <v>880</v>
      </c>
    </row>
    <row r="64" spans="1:391" s="3" customFormat="1" ht="12.75" x14ac:dyDescent="0.2">
      <c r="A64" s="11" t="s">
        <v>127</v>
      </c>
      <c r="B64" s="8">
        <v>4</v>
      </c>
      <c r="C64" s="11" t="s">
        <v>287</v>
      </c>
      <c r="D64" s="11" t="s">
        <v>287</v>
      </c>
      <c r="E64" s="11" t="s">
        <v>287</v>
      </c>
      <c r="F64" s="11" t="s">
        <v>287</v>
      </c>
      <c r="G64" s="11" t="s">
        <v>287</v>
      </c>
      <c r="H64" s="11" t="s">
        <v>287</v>
      </c>
      <c r="I64" s="11" t="s">
        <v>79</v>
      </c>
      <c r="J64" s="11" t="s">
        <v>270</v>
      </c>
      <c r="K64" s="11" t="s">
        <v>287</v>
      </c>
      <c r="L64" s="11" t="s">
        <v>287</v>
      </c>
      <c r="M64" s="11" t="s">
        <v>287</v>
      </c>
      <c r="N64" s="11" t="s">
        <v>287</v>
      </c>
      <c r="O64" s="128" t="s">
        <v>287</v>
      </c>
      <c r="P64" s="128" t="s">
        <v>287</v>
      </c>
      <c r="Q64" s="128" t="s">
        <v>287</v>
      </c>
      <c r="R64" s="128" t="s">
        <v>287</v>
      </c>
      <c r="S64" s="128" t="s">
        <v>287</v>
      </c>
      <c r="T64" s="38">
        <v>99700</v>
      </c>
      <c r="U64" s="39">
        <v>100700</v>
      </c>
      <c r="V64" s="39">
        <v>101600</v>
      </c>
      <c r="W64" s="39">
        <v>102800</v>
      </c>
      <c r="X64" s="39">
        <v>103800</v>
      </c>
      <c r="Y64" s="39">
        <v>105500</v>
      </c>
      <c r="Z64" s="39">
        <v>107100</v>
      </c>
      <c r="AA64" s="39">
        <v>108300</v>
      </c>
      <c r="AB64" s="39">
        <v>109000</v>
      </c>
      <c r="AC64" s="44">
        <v>109885</v>
      </c>
      <c r="AD64" s="38">
        <v>6300</v>
      </c>
      <c r="AE64" s="39">
        <v>6400</v>
      </c>
      <c r="AF64" s="39">
        <v>6600</v>
      </c>
      <c r="AG64" s="39">
        <v>6900</v>
      </c>
      <c r="AH64" s="39">
        <v>7200</v>
      </c>
      <c r="AI64" s="39">
        <v>7700</v>
      </c>
      <c r="AJ64" s="39">
        <v>8100</v>
      </c>
      <c r="AK64" s="39">
        <v>8300</v>
      </c>
      <c r="AL64" s="39">
        <v>8400</v>
      </c>
      <c r="AM64" s="44">
        <v>8470</v>
      </c>
      <c r="AN64" s="15">
        <v>8071</v>
      </c>
      <c r="AO64" s="3">
        <v>5020</v>
      </c>
      <c r="AP64" s="3">
        <v>530</v>
      </c>
      <c r="AQ64" s="3">
        <v>622</v>
      </c>
      <c r="AR64" s="3">
        <v>1401</v>
      </c>
      <c r="AS64" s="3">
        <v>393</v>
      </c>
      <c r="AT64" s="3">
        <v>105</v>
      </c>
      <c r="AU64" s="11">
        <v>3051</v>
      </c>
      <c r="AV64" s="18">
        <v>0.62197992813777725</v>
      </c>
      <c r="AW64" s="19">
        <v>6.5667203568331056E-2</v>
      </c>
      <c r="AX64" s="19">
        <v>7.7066038904720607E-2</v>
      </c>
      <c r="AY64" s="19">
        <v>0.17358443811175814</v>
      </c>
      <c r="AZ64" s="19">
        <v>4.8692850947837936E-2</v>
      </c>
      <c r="BA64" s="19">
        <v>1.3009540329575022E-2</v>
      </c>
      <c r="BB64" s="20">
        <v>0.37802007186222275</v>
      </c>
      <c r="BC64" s="15">
        <v>17053</v>
      </c>
      <c r="BD64" s="3">
        <v>15550</v>
      </c>
      <c r="BE64" s="3">
        <v>1503</v>
      </c>
      <c r="BF64" s="3">
        <v>1270</v>
      </c>
      <c r="BG64" s="3">
        <v>233</v>
      </c>
      <c r="BH64" s="24">
        <v>0.84497671324018631</v>
      </c>
      <c r="BI64" s="20">
        <v>0.15502328675981369</v>
      </c>
      <c r="BJ64" s="38">
        <v>14546</v>
      </c>
      <c r="BK64" s="20">
        <v>0.49099408772171044</v>
      </c>
      <c r="BL64" s="20">
        <v>0.31527567716210642</v>
      </c>
      <c r="BM64" s="20">
        <v>0.19373023511618315</v>
      </c>
      <c r="BN64" s="38">
        <v>29829</v>
      </c>
      <c r="BO64" s="39">
        <v>2712</v>
      </c>
      <c r="BP64" s="39">
        <v>2241</v>
      </c>
      <c r="BQ64" s="39">
        <v>1333</v>
      </c>
      <c r="BR64" s="39">
        <v>24916</v>
      </c>
      <c r="BS64" s="39">
        <v>14021</v>
      </c>
      <c r="BT64" s="20">
        <v>0.16311247414592397</v>
      </c>
      <c r="BU64" s="38">
        <v>7410</v>
      </c>
      <c r="BV64" s="39">
        <v>6</v>
      </c>
      <c r="BW64" s="39">
        <v>1842</v>
      </c>
      <c r="BX64" s="39">
        <v>3310</v>
      </c>
      <c r="BY64" s="39">
        <v>1505</v>
      </c>
      <c r="BZ64" s="40">
        <v>14073</v>
      </c>
      <c r="CA64" s="39">
        <v>6335</v>
      </c>
      <c r="CB64" s="39">
        <v>4992</v>
      </c>
      <c r="CC64" s="39">
        <v>1317</v>
      </c>
      <c r="CD64" s="39">
        <v>1343</v>
      </c>
      <c r="CE64" s="19">
        <v>0.20789265982636149</v>
      </c>
      <c r="CF64" s="104">
        <v>0.21199684293606946</v>
      </c>
      <c r="CG64" s="39">
        <v>1190</v>
      </c>
      <c r="CH64" s="39">
        <v>1060</v>
      </c>
      <c r="CI64" s="39">
        <v>940</v>
      </c>
      <c r="CJ64" s="39">
        <v>925</v>
      </c>
      <c r="CK64" s="44">
        <v>885</v>
      </c>
      <c r="CL64" s="38">
        <v>3293</v>
      </c>
      <c r="CM64" s="39">
        <v>1363</v>
      </c>
      <c r="CN64" s="19">
        <v>0.4139082903127847</v>
      </c>
      <c r="CO64" s="40">
        <v>248</v>
      </c>
      <c r="CP64" s="122">
        <v>1576</v>
      </c>
      <c r="CQ64" s="122">
        <v>1716</v>
      </c>
      <c r="CR64" s="122">
        <v>1718</v>
      </c>
      <c r="CS64" s="122">
        <v>1648</v>
      </c>
      <c r="CT64" s="122">
        <v>1646</v>
      </c>
      <c r="CU64" s="123">
        <v>1618</v>
      </c>
      <c r="CV64" s="39">
        <v>73</v>
      </c>
      <c r="CW64" s="39">
        <v>80</v>
      </c>
      <c r="CX64" s="39">
        <v>79</v>
      </c>
      <c r="CY64" s="39">
        <v>71</v>
      </c>
      <c r="CZ64" s="39">
        <v>66</v>
      </c>
      <c r="DA64" s="434">
        <v>48</v>
      </c>
      <c r="DB64" s="379" t="s">
        <v>287</v>
      </c>
      <c r="DC64" s="15">
        <v>128</v>
      </c>
      <c r="DD64" s="19">
        <v>7.7764277035236931E-2</v>
      </c>
      <c r="DE64" s="19">
        <v>6.5787811734052848E-2</v>
      </c>
      <c r="DF64" s="20">
        <v>9.1706993255530014E-2</v>
      </c>
      <c r="DG64" s="15">
        <v>158</v>
      </c>
      <c r="DH64" s="20">
        <v>1.9602977667493797E-2</v>
      </c>
      <c r="DI64" s="470" t="s">
        <v>287</v>
      </c>
      <c r="DJ64" s="471" t="s">
        <v>287</v>
      </c>
      <c r="DK64" s="3">
        <v>2084</v>
      </c>
      <c r="DL64" s="20">
        <v>4.8774779413485618E-2</v>
      </c>
      <c r="DM64" s="15">
        <v>1650</v>
      </c>
      <c r="DN64" s="3">
        <v>1650</v>
      </c>
      <c r="DO64" s="3">
        <v>1580</v>
      </c>
      <c r="DP64" s="3">
        <v>1475</v>
      </c>
      <c r="DQ64" s="11">
        <v>1395</v>
      </c>
      <c r="DR64" s="15">
        <v>1345</v>
      </c>
      <c r="DS64" s="19">
        <v>0.20014880952380953</v>
      </c>
      <c r="DT64" s="19">
        <v>0.19075500674711679</v>
      </c>
      <c r="DU64" s="19">
        <v>0.20988523370453294</v>
      </c>
      <c r="DV64" s="3">
        <v>1480</v>
      </c>
      <c r="DW64" s="19">
        <v>0.21203438395415472</v>
      </c>
      <c r="DX64" s="19">
        <v>0.20260502362203447</v>
      </c>
      <c r="DY64" s="19">
        <v>0.22178053499876138</v>
      </c>
      <c r="DZ64" s="3">
        <v>1575</v>
      </c>
      <c r="EA64" s="19">
        <v>0.21240728253540123</v>
      </c>
      <c r="EB64" s="19">
        <v>0.20324788013175979</v>
      </c>
      <c r="EC64" s="19">
        <v>0.22186451461700626</v>
      </c>
      <c r="ED64" s="3">
        <v>1605</v>
      </c>
      <c r="EE64" s="19">
        <v>0.20603337612323491</v>
      </c>
      <c r="EF64" s="19">
        <v>0.19719780402123743</v>
      </c>
      <c r="EG64" s="19">
        <v>0.21515873104574462</v>
      </c>
      <c r="EH64" s="3">
        <v>1475</v>
      </c>
      <c r="EI64" s="20">
        <v>0.1857682619647355</v>
      </c>
      <c r="EJ64" s="20">
        <v>0.17736637729794572</v>
      </c>
      <c r="EK64" s="20">
        <v>0.19447405709803575</v>
      </c>
      <c r="EL64" s="438">
        <v>1495</v>
      </c>
      <c r="EM64" s="20">
        <v>0.19315245478036175</v>
      </c>
      <c r="EN64" s="20">
        <v>0.18451078630887058</v>
      </c>
      <c r="EO64" s="104">
        <v>0.20209855670789939</v>
      </c>
      <c r="EP64" s="38">
        <v>3780</v>
      </c>
      <c r="EQ64" s="20">
        <v>0.18694362017804153</v>
      </c>
      <c r="ER64" s="44">
        <v>4080</v>
      </c>
      <c r="ES64" s="20">
        <v>0.19507530480516375</v>
      </c>
      <c r="ET64" s="44">
        <v>4160</v>
      </c>
      <c r="EU64" s="20">
        <v>0.19493908153701969</v>
      </c>
      <c r="EV64" s="44">
        <v>4170</v>
      </c>
      <c r="EW64" s="20">
        <v>0.19002050580997951</v>
      </c>
      <c r="EX64" s="44">
        <v>3895</v>
      </c>
      <c r="EY64" s="20">
        <v>0.17419499105545616</v>
      </c>
      <c r="EZ64" s="44">
        <v>3810</v>
      </c>
      <c r="FA64" s="104">
        <v>0.16821192052980133</v>
      </c>
      <c r="FB64" s="3">
        <v>1542</v>
      </c>
      <c r="FC64" s="3">
        <v>48</v>
      </c>
      <c r="FD64" s="3">
        <v>1466</v>
      </c>
      <c r="FE64" s="19">
        <v>0.95071335927367051</v>
      </c>
      <c r="FF64" s="3">
        <v>540</v>
      </c>
      <c r="FG64" s="3">
        <v>809</v>
      </c>
      <c r="FH64" s="19">
        <v>0.3683492496589359</v>
      </c>
      <c r="FI64" s="19">
        <v>0.55184174624829463</v>
      </c>
      <c r="FJ64" s="19">
        <v>0.34</v>
      </c>
      <c r="FK64" s="19">
        <v>0.38900000000000001</v>
      </c>
      <c r="FL64" s="19">
        <v>0.51400000000000001</v>
      </c>
      <c r="FM64" s="104">
        <v>0.56499999999999995</v>
      </c>
      <c r="FN64" s="438">
        <v>1464</v>
      </c>
      <c r="FO64" s="438">
        <v>528</v>
      </c>
      <c r="FP64" s="438">
        <v>286</v>
      </c>
      <c r="FQ64" s="438">
        <v>814</v>
      </c>
      <c r="FR64" s="497">
        <v>0.36065573770491804</v>
      </c>
      <c r="FS64" s="497">
        <v>0.55601092896174864</v>
      </c>
      <c r="FT64" s="497">
        <v>0.33645239185060777</v>
      </c>
      <c r="FU64" s="497">
        <v>0.38558843377929447</v>
      </c>
      <c r="FV64" s="497">
        <v>0.53044621706304418</v>
      </c>
      <c r="FW64" s="104">
        <v>0.581282470673956</v>
      </c>
      <c r="FX64" s="534" t="s">
        <v>287</v>
      </c>
      <c r="FY64" s="528" t="s">
        <v>287</v>
      </c>
      <c r="FZ64" s="528" t="s">
        <v>287</v>
      </c>
      <c r="GA64" s="344" t="s">
        <v>287</v>
      </c>
      <c r="GB64" s="528" t="s">
        <v>287</v>
      </c>
      <c r="GC64" s="528" t="s">
        <v>287</v>
      </c>
      <c r="GD64" s="528" t="s">
        <v>287</v>
      </c>
      <c r="GE64" s="344" t="s">
        <v>287</v>
      </c>
      <c r="GF64" s="344" t="s">
        <v>287</v>
      </c>
      <c r="GG64" s="344" t="s">
        <v>287</v>
      </c>
      <c r="GH64" s="344" t="s">
        <v>287</v>
      </c>
      <c r="GI64" s="344" t="s">
        <v>287</v>
      </c>
      <c r="GJ64" s="345" t="s">
        <v>287</v>
      </c>
      <c r="GK64" s="3">
        <v>1032</v>
      </c>
      <c r="GL64" s="354">
        <v>86.688000000000002</v>
      </c>
      <c r="GM64" s="19">
        <v>8.4000000000000005E-2</v>
      </c>
      <c r="GN64" s="19">
        <v>6.7000000000000004E-2</v>
      </c>
      <c r="GO64" s="19">
        <v>0.10100000000000001</v>
      </c>
      <c r="GP64" s="353" t="s">
        <v>725</v>
      </c>
      <c r="GQ64" s="3">
        <v>1178</v>
      </c>
      <c r="GR64" s="354">
        <v>115.444</v>
      </c>
      <c r="GS64" s="19">
        <v>9.8000000000000004E-2</v>
      </c>
      <c r="GT64" s="19">
        <v>8.1000000000000003E-2</v>
      </c>
      <c r="GU64" s="19">
        <v>0.115</v>
      </c>
      <c r="GV64" s="3" t="s">
        <v>725</v>
      </c>
      <c r="GW64" s="3">
        <v>998</v>
      </c>
      <c r="GX64" s="354">
        <v>80.838000000000008</v>
      </c>
      <c r="GY64" s="19">
        <v>8.1000000000000003E-2</v>
      </c>
      <c r="GZ64" s="19">
        <v>6.4000000000000001E-2</v>
      </c>
      <c r="HA64" s="19">
        <v>9.8000000000000004E-2</v>
      </c>
      <c r="HB64" s="3" t="s">
        <v>725</v>
      </c>
      <c r="HC64" s="3">
        <v>1197</v>
      </c>
      <c r="HD64" s="354">
        <v>111.321</v>
      </c>
      <c r="HE64" s="19">
        <v>9.2999999999999999E-2</v>
      </c>
      <c r="HF64" s="19">
        <v>7.6999999999999999E-2</v>
      </c>
      <c r="HG64" s="19">
        <v>0.109</v>
      </c>
      <c r="HH64" s="3" t="s">
        <v>725</v>
      </c>
      <c r="HI64" s="3">
        <v>874</v>
      </c>
      <c r="HJ64" s="354">
        <v>87.999563999999992</v>
      </c>
      <c r="HK64" s="19">
        <v>0.100686</v>
      </c>
      <c r="HL64" s="19">
        <v>8.245100000000001E-2</v>
      </c>
      <c r="HM64" s="19">
        <v>0.122416</v>
      </c>
      <c r="HN64" s="11" t="s">
        <v>792</v>
      </c>
      <c r="HO64" s="11">
        <v>1535</v>
      </c>
      <c r="HP64" s="11">
        <v>110.00000000000003</v>
      </c>
      <c r="HQ64" s="19">
        <v>7.1661237785016305E-2</v>
      </c>
      <c r="HR64" s="19">
        <v>5.9799385110809303E-2</v>
      </c>
      <c r="HS64" s="19">
        <v>8.5661641779015502E-2</v>
      </c>
      <c r="HT64" s="8" t="str">
        <f t="shared" si="0"/>
        <v>Sig better than Eng.</v>
      </c>
      <c r="HU64" s="3">
        <v>1000</v>
      </c>
      <c r="HV64" s="354">
        <v>190</v>
      </c>
      <c r="HW64" s="19">
        <v>0.19</v>
      </c>
      <c r="HX64" s="19">
        <v>0.16600000000000001</v>
      </c>
      <c r="HY64" s="19">
        <v>0.214</v>
      </c>
      <c r="HZ64" s="3" t="s">
        <v>725</v>
      </c>
      <c r="IA64" s="3">
        <v>1121</v>
      </c>
      <c r="IB64" s="354">
        <v>193.93299999999999</v>
      </c>
      <c r="IC64" s="19">
        <v>0.17299999999999999</v>
      </c>
      <c r="ID64" s="19">
        <v>0.151</v>
      </c>
      <c r="IE64" s="19">
        <v>0.19499999999999998</v>
      </c>
      <c r="IF64" s="3" t="s">
        <v>725</v>
      </c>
      <c r="IG64" s="3">
        <v>1131</v>
      </c>
      <c r="IH64" s="354">
        <v>212.62800000000001</v>
      </c>
      <c r="II64" s="19">
        <v>0.188</v>
      </c>
      <c r="IJ64" s="19">
        <v>0.16500000000000001</v>
      </c>
      <c r="IK64" s="19">
        <v>0.21099999999999999</v>
      </c>
      <c r="IL64" s="3" t="s">
        <v>725</v>
      </c>
      <c r="IM64" s="3">
        <v>1083</v>
      </c>
      <c r="IN64" s="354">
        <v>211.185</v>
      </c>
      <c r="IO64" s="19">
        <v>0.19500000000000001</v>
      </c>
      <c r="IP64" s="19">
        <v>0.17100000000000001</v>
      </c>
      <c r="IQ64" s="19">
        <v>0.219</v>
      </c>
      <c r="IR64" s="3" t="s">
        <v>725</v>
      </c>
      <c r="IS64" s="3">
        <v>1165</v>
      </c>
      <c r="IT64" s="354">
        <v>233</v>
      </c>
      <c r="IU64" s="19">
        <v>0.2</v>
      </c>
      <c r="IV64" s="19">
        <v>0.178033</v>
      </c>
      <c r="IW64" s="19">
        <v>0.223939</v>
      </c>
      <c r="IX64" s="11" t="s">
        <v>792</v>
      </c>
      <c r="IY64" s="11">
        <v>1223</v>
      </c>
      <c r="IZ64" s="11">
        <v>435.99999999999994</v>
      </c>
      <c r="JA64" s="497">
        <v>0.35650040883074402</v>
      </c>
      <c r="JB64" s="497">
        <v>0.33014453194139498</v>
      </c>
      <c r="JC64" s="497">
        <v>0.38375493120733206</v>
      </c>
      <c r="JD64" s="8" t="str">
        <f t="shared" si="1"/>
        <v>No sig diff</v>
      </c>
      <c r="JE64" s="3">
        <v>1440</v>
      </c>
      <c r="JF64" s="3">
        <v>693</v>
      </c>
      <c r="JG64" s="19">
        <v>0.48125000000000001</v>
      </c>
      <c r="JH64" s="19">
        <v>0.45552756226071045</v>
      </c>
      <c r="JI64" s="19">
        <v>0.50707220957012045</v>
      </c>
      <c r="JJ64" s="3">
        <v>1440</v>
      </c>
      <c r="JK64" s="3">
        <v>34</v>
      </c>
      <c r="JL64" s="3">
        <v>288</v>
      </c>
      <c r="JM64" s="383">
        <v>22.378472222222197</v>
      </c>
      <c r="JN64" s="19">
        <v>0.34180964052287655</v>
      </c>
      <c r="JO64" s="3">
        <v>1518</v>
      </c>
      <c r="JP64" s="3">
        <v>841</v>
      </c>
      <c r="JQ64" s="19">
        <v>0.5540184453227931</v>
      </c>
      <c r="JR64" s="19">
        <v>0.52890795807318758</v>
      </c>
      <c r="JS64" s="19">
        <v>0.57885622396393932</v>
      </c>
      <c r="JT64" s="3">
        <v>1518</v>
      </c>
      <c r="JU64" s="3">
        <v>34</v>
      </c>
      <c r="JV64" s="3">
        <v>303</v>
      </c>
      <c r="JW64" s="383">
        <v>22.61056105610562</v>
      </c>
      <c r="JX64" s="20">
        <v>0.33498349834983471</v>
      </c>
      <c r="JY64" s="44">
        <v>1610</v>
      </c>
      <c r="JZ64" s="44">
        <v>984</v>
      </c>
      <c r="KA64" s="497">
        <v>0.61118012422360246</v>
      </c>
      <c r="KB64" s="497">
        <v>0.5871304676280823</v>
      </c>
      <c r="KC64" s="497">
        <v>0.63470049231119607</v>
      </c>
      <c r="KD64" s="438">
        <v>34</v>
      </c>
      <c r="KE64" s="438">
        <v>322</v>
      </c>
      <c r="KF64" s="384">
        <v>23.447204968944099</v>
      </c>
      <c r="KG64" s="104">
        <v>0.31037632444282059</v>
      </c>
      <c r="KH64" s="19"/>
      <c r="KI64" s="19"/>
      <c r="KJ64" s="19"/>
      <c r="KK64" s="19"/>
      <c r="KL64" s="19"/>
      <c r="KM64" s="19"/>
      <c r="KN64" s="19"/>
      <c r="KO64" s="19"/>
      <c r="KP64" s="19"/>
      <c r="KQ64" s="19"/>
      <c r="KR64" s="19"/>
      <c r="KS64" s="19"/>
      <c r="KT64" s="19"/>
      <c r="KU64" s="19"/>
      <c r="KV64" s="19"/>
      <c r="KW64" s="104"/>
      <c r="KX64" s="438">
        <v>94</v>
      </c>
      <c r="KY64" s="438">
        <v>782</v>
      </c>
      <c r="KZ64" s="497">
        <v>0.12020460358056266</v>
      </c>
      <c r="LA64" s="497">
        <v>9.9248559504410971E-2</v>
      </c>
      <c r="LB64" s="497">
        <v>0.14487378434416764</v>
      </c>
      <c r="LC64" s="438">
        <v>71</v>
      </c>
      <c r="LD64" s="438">
        <v>781</v>
      </c>
      <c r="LE64" s="497">
        <v>9.0909090909090912E-2</v>
      </c>
      <c r="LF64" s="497">
        <v>7.2699562255173211E-2</v>
      </c>
      <c r="LG64" s="497">
        <v>0.11312326499434044</v>
      </c>
      <c r="LH64" s="438">
        <v>81</v>
      </c>
      <c r="LI64" s="438">
        <v>777</v>
      </c>
      <c r="LJ64" s="497">
        <v>0.10424710424710425</v>
      </c>
      <c r="LK64" s="497">
        <v>8.467233528429223E-2</v>
      </c>
      <c r="LL64" s="497">
        <v>0.12771579670752684</v>
      </c>
      <c r="LM64" s="438">
        <v>172</v>
      </c>
      <c r="LN64" s="438">
        <v>739</v>
      </c>
      <c r="LO64" s="497">
        <v>0.2327469553450609</v>
      </c>
      <c r="LP64" s="497">
        <v>0.20370894597934167</v>
      </c>
      <c r="LQ64" s="104">
        <v>0.26454905805413481</v>
      </c>
      <c r="LR64" s="495" t="s">
        <v>287</v>
      </c>
      <c r="LS64" s="495" t="s">
        <v>287</v>
      </c>
      <c r="LT64" s="495" t="s">
        <v>287</v>
      </c>
      <c r="LU64" s="495" t="s">
        <v>287</v>
      </c>
      <c r="LV64" s="495" t="s">
        <v>287</v>
      </c>
      <c r="LW64" s="495" t="s">
        <v>287</v>
      </c>
      <c r="LX64" s="495" t="s">
        <v>287</v>
      </c>
      <c r="LY64" s="495" t="s">
        <v>287</v>
      </c>
      <c r="LZ64" s="495" t="s">
        <v>287</v>
      </c>
      <c r="MA64" s="495" t="s">
        <v>287</v>
      </c>
      <c r="MB64" s="495" t="s">
        <v>287</v>
      </c>
      <c r="MC64" s="495" t="s">
        <v>287</v>
      </c>
      <c r="MD64" s="495" t="s">
        <v>287</v>
      </c>
      <c r="ME64" s="495" t="s">
        <v>287</v>
      </c>
      <c r="MF64" s="495" t="s">
        <v>287</v>
      </c>
      <c r="MG64" s="495" t="s">
        <v>287</v>
      </c>
      <c r="MH64" s="495" t="s">
        <v>287</v>
      </c>
      <c r="MI64" s="495" t="s">
        <v>287</v>
      </c>
      <c r="MJ64" s="495" t="s">
        <v>287</v>
      </c>
      <c r="MK64" s="495" t="s">
        <v>287</v>
      </c>
      <c r="ML64" s="495" t="s">
        <v>287</v>
      </c>
      <c r="MM64" s="495" t="s">
        <v>287</v>
      </c>
      <c r="MN64" s="136" t="s">
        <v>287</v>
      </c>
      <c r="MO64" s="3">
        <v>1641</v>
      </c>
      <c r="MP64" s="24">
        <v>0.96599999999999997</v>
      </c>
      <c r="MQ64" s="24">
        <v>8.9999999999999993E-3</v>
      </c>
      <c r="MR64" s="24">
        <v>0.96499999999999997</v>
      </c>
      <c r="MS64" s="3">
        <v>1586</v>
      </c>
      <c r="MT64" s="3">
        <v>14</v>
      </c>
      <c r="MU64" s="3">
        <v>1584</v>
      </c>
      <c r="MV64" s="3">
        <v>1588</v>
      </c>
      <c r="MW64" s="24">
        <v>0.97699999999999998</v>
      </c>
      <c r="MX64" s="24">
        <v>0.96</v>
      </c>
      <c r="MY64" s="24">
        <v>0.96199999999999997</v>
      </c>
      <c r="MZ64" s="24">
        <v>0.96199999999999997</v>
      </c>
      <c r="NA64" s="24">
        <v>0.96099999999999997</v>
      </c>
      <c r="NB64" s="3">
        <v>1551</v>
      </c>
      <c r="NC64" s="3">
        <v>1525</v>
      </c>
      <c r="ND64" s="3">
        <v>1528</v>
      </c>
      <c r="NE64" s="3">
        <v>1527</v>
      </c>
      <c r="NF64" s="3">
        <v>1526</v>
      </c>
      <c r="NG64" s="3">
        <v>1727</v>
      </c>
      <c r="NH64" s="24">
        <v>0.96899999999999997</v>
      </c>
      <c r="NI64" s="24">
        <v>0.93500000000000005</v>
      </c>
      <c r="NJ64" s="24">
        <v>0.96899999999999997</v>
      </c>
      <c r="NK64" s="24">
        <v>0.96499999999999997</v>
      </c>
      <c r="NL64" s="24">
        <v>0.95</v>
      </c>
      <c r="NM64" s="24">
        <v>0.86799999999999999</v>
      </c>
      <c r="NN64" s="24">
        <v>0.95299999999999996</v>
      </c>
      <c r="NO64" s="24">
        <v>0.93</v>
      </c>
      <c r="NP64" s="24">
        <v>0.95299999999999996</v>
      </c>
      <c r="NQ64" s="24">
        <v>0.93100000000000005</v>
      </c>
      <c r="NR64" s="3">
        <v>1674</v>
      </c>
      <c r="NS64" s="3">
        <v>1615</v>
      </c>
      <c r="NT64" s="3">
        <v>1673</v>
      </c>
      <c r="NU64" s="3">
        <v>1667</v>
      </c>
      <c r="NV64" s="3">
        <v>1640</v>
      </c>
      <c r="NW64" s="3">
        <v>1499</v>
      </c>
      <c r="NX64" s="3">
        <v>1646</v>
      </c>
      <c r="NY64" s="3">
        <v>1606</v>
      </c>
      <c r="NZ64" s="3">
        <v>1646</v>
      </c>
      <c r="OA64" s="8">
        <v>1608</v>
      </c>
    </row>
    <row r="65" spans="1:391" s="3" customFormat="1" ht="12.75" x14ac:dyDescent="0.2">
      <c r="A65" s="11" t="s">
        <v>128</v>
      </c>
      <c r="B65" s="8">
        <v>5</v>
      </c>
      <c r="C65" s="11" t="s">
        <v>287</v>
      </c>
      <c r="D65" s="11" t="s">
        <v>287</v>
      </c>
      <c r="E65" s="11" t="s">
        <v>287</v>
      </c>
      <c r="F65" s="11" t="s">
        <v>287</v>
      </c>
      <c r="G65" s="11" t="s">
        <v>287</v>
      </c>
      <c r="H65" s="11" t="s">
        <v>287</v>
      </c>
      <c r="I65" s="11" t="s">
        <v>84</v>
      </c>
      <c r="J65" s="11" t="s">
        <v>288</v>
      </c>
      <c r="K65" s="11" t="s">
        <v>287</v>
      </c>
      <c r="L65" s="11" t="s">
        <v>287</v>
      </c>
      <c r="M65" s="11" t="s">
        <v>287</v>
      </c>
      <c r="N65" s="11" t="s">
        <v>287</v>
      </c>
      <c r="O65" s="128" t="s">
        <v>287</v>
      </c>
      <c r="P65" s="128" t="s">
        <v>287</v>
      </c>
      <c r="Q65" s="128" t="s">
        <v>287</v>
      </c>
      <c r="R65" s="128" t="s">
        <v>287</v>
      </c>
      <c r="S65" s="128" t="s">
        <v>287</v>
      </c>
      <c r="T65" s="38">
        <v>125900</v>
      </c>
      <c r="U65" s="39">
        <v>127200</v>
      </c>
      <c r="V65" s="39">
        <v>128300</v>
      </c>
      <c r="W65" s="39">
        <v>129100</v>
      </c>
      <c r="X65" s="39">
        <v>129800</v>
      </c>
      <c r="Y65" s="39">
        <v>130900</v>
      </c>
      <c r="Z65" s="39">
        <v>131500</v>
      </c>
      <c r="AA65" s="39">
        <v>132200</v>
      </c>
      <c r="AB65" s="39">
        <v>132900</v>
      </c>
      <c r="AC65" s="44">
        <v>134160</v>
      </c>
      <c r="AD65" s="38">
        <v>6800</v>
      </c>
      <c r="AE65" s="39">
        <v>6700</v>
      </c>
      <c r="AF65" s="39">
        <v>7000</v>
      </c>
      <c r="AG65" s="39">
        <v>7000</v>
      </c>
      <c r="AH65" s="39">
        <v>7000</v>
      </c>
      <c r="AI65" s="39">
        <v>7100</v>
      </c>
      <c r="AJ65" s="39">
        <v>7100</v>
      </c>
      <c r="AK65" s="39">
        <v>7200</v>
      </c>
      <c r="AL65" s="39">
        <v>7200</v>
      </c>
      <c r="AM65" s="44">
        <v>7172</v>
      </c>
      <c r="AN65" s="15">
        <v>7151</v>
      </c>
      <c r="AO65" s="3">
        <v>6404</v>
      </c>
      <c r="AP65" s="3">
        <v>232</v>
      </c>
      <c r="AQ65" s="3">
        <v>294</v>
      </c>
      <c r="AR65" s="3">
        <v>179</v>
      </c>
      <c r="AS65" s="3">
        <v>28</v>
      </c>
      <c r="AT65" s="3">
        <v>14</v>
      </c>
      <c r="AU65" s="11">
        <v>747</v>
      </c>
      <c r="AV65" s="18">
        <v>0.89553908544259542</v>
      </c>
      <c r="AW65" s="19">
        <v>3.2443014962942246E-2</v>
      </c>
      <c r="AX65" s="19">
        <v>4.111313103062509E-2</v>
      </c>
      <c r="AY65" s="19">
        <v>2.5031464130890784E-2</v>
      </c>
      <c r="AZ65" s="19">
        <v>3.915536288630961E-3</v>
      </c>
      <c r="BA65" s="19">
        <v>1.9577681443154805E-3</v>
      </c>
      <c r="BB65" s="20">
        <v>0.10446091455740458</v>
      </c>
      <c r="BC65" s="15">
        <v>20322</v>
      </c>
      <c r="BD65" s="3">
        <v>19957</v>
      </c>
      <c r="BE65" s="3">
        <v>365</v>
      </c>
      <c r="BF65" s="3">
        <v>312</v>
      </c>
      <c r="BG65" s="3">
        <v>53</v>
      </c>
      <c r="BH65" s="24">
        <v>0.85479452054794525</v>
      </c>
      <c r="BI65" s="20">
        <v>0.14520547945205478</v>
      </c>
      <c r="BJ65" s="38">
        <v>14358</v>
      </c>
      <c r="BK65" s="20">
        <v>0.70344059061150577</v>
      </c>
      <c r="BL65" s="20">
        <v>0.1424293077030227</v>
      </c>
      <c r="BM65" s="20">
        <v>0.1541301016854715</v>
      </c>
      <c r="BN65" s="38">
        <v>38935</v>
      </c>
      <c r="BO65" s="39">
        <v>2063</v>
      </c>
      <c r="BP65" s="39">
        <v>2426</v>
      </c>
      <c r="BQ65" s="39">
        <v>1033</v>
      </c>
      <c r="BR65" s="39">
        <v>27411</v>
      </c>
      <c r="BS65" s="39">
        <v>15459</v>
      </c>
      <c r="BT65" s="20">
        <v>0.14218254738340125</v>
      </c>
      <c r="BU65" s="38">
        <v>10348</v>
      </c>
      <c r="BV65" s="39">
        <v>9</v>
      </c>
      <c r="BW65" s="39">
        <v>1777</v>
      </c>
      <c r="BX65" s="39">
        <v>2474</v>
      </c>
      <c r="BY65" s="39">
        <v>921</v>
      </c>
      <c r="BZ65" s="40">
        <v>15529</v>
      </c>
      <c r="CA65" s="39">
        <v>5540</v>
      </c>
      <c r="CB65" s="39">
        <v>4908</v>
      </c>
      <c r="CC65" s="39">
        <v>623</v>
      </c>
      <c r="CD65" s="39">
        <v>632</v>
      </c>
      <c r="CE65" s="19">
        <v>0.11245487364620939</v>
      </c>
      <c r="CF65" s="104">
        <v>0.11407942238267148</v>
      </c>
      <c r="CG65" s="39">
        <v>570</v>
      </c>
      <c r="CH65" s="39">
        <v>490</v>
      </c>
      <c r="CI65" s="39">
        <v>445</v>
      </c>
      <c r="CJ65" s="39">
        <v>405</v>
      </c>
      <c r="CK65" s="44">
        <v>380</v>
      </c>
      <c r="CL65" s="38">
        <v>2460</v>
      </c>
      <c r="CM65" s="39">
        <v>693</v>
      </c>
      <c r="CN65" s="19">
        <v>0.2817073170731707</v>
      </c>
      <c r="CO65" s="40">
        <v>257</v>
      </c>
      <c r="CP65" s="122">
        <v>1368</v>
      </c>
      <c r="CQ65" s="122">
        <v>1313</v>
      </c>
      <c r="CR65" s="122">
        <v>1308</v>
      </c>
      <c r="CS65" s="122">
        <v>1290</v>
      </c>
      <c r="CT65" s="122">
        <v>1261</v>
      </c>
      <c r="CU65" s="123">
        <v>1229</v>
      </c>
      <c r="CV65" s="39">
        <v>49</v>
      </c>
      <c r="CW65" s="39">
        <v>35</v>
      </c>
      <c r="CX65" s="39">
        <v>21</v>
      </c>
      <c r="CY65" s="39">
        <v>34</v>
      </c>
      <c r="CZ65" s="39">
        <v>31</v>
      </c>
      <c r="DA65" s="434">
        <v>21</v>
      </c>
      <c r="DB65" s="379" t="s">
        <v>287</v>
      </c>
      <c r="DC65" s="15">
        <v>88</v>
      </c>
      <c r="DD65" s="19">
        <v>6.9785884218873911E-2</v>
      </c>
      <c r="DE65" s="19">
        <v>5.6990593708373789E-2</v>
      </c>
      <c r="DF65" s="20">
        <v>8.5194387315551318E-2</v>
      </c>
      <c r="DG65" s="15">
        <v>120</v>
      </c>
      <c r="DH65" s="20">
        <v>1.6809076901526825E-2</v>
      </c>
      <c r="DI65" s="470" t="s">
        <v>287</v>
      </c>
      <c r="DJ65" s="471" t="s">
        <v>287</v>
      </c>
      <c r="DK65" s="3">
        <v>1504</v>
      </c>
      <c r="DL65" s="20">
        <v>2.7383791854050217E-2</v>
      </c>
      <c r="DM65" s="15">
        <v>795</v>
      </c>
      <c r="DN65" s="3">
        <v>770</v>
      </c>
      <c r="DO65" s="3">
        <v>760</v>
      </c>
      <c r="DP65" s="3">
        <v>765</v>
      </c>
      <c r="DQ65" s="11">
        <v>640</v>
      </c>
      <c r="DR65" s="15">
        <v>610</v>
      </c>
      <c r="DS65" s="19">
        <v>9.1591591591591595E-2</v>
      </c>
      <c r="DT65" s="19">
        <v>8.4897475476981066E-2</v>
      </c>
      <c r="DU65" s="19">
        <v>9.8756572474705692E-2</v>
      </c>
      <c r="DV65" s="3">
        <v>760</v>
      </c>
      <c r="DW65" s="19">
        <v>0.1123429416112343</v>
      </c>
      <c r="DX65" s="19">
        <v>0.10503680922210816</v>
      </c>
      <c r="DY65" s="19">
        <v>0.12008908094554045</v>
      </c>
      <c r="DZ65" s="3">
        <v>775</v>
      </c>
      <c r="EA65" s="19">
        <v>0.11363636363636363</v>
      </c>
      <c r="EB65" s="19">
        <v>0.10632066832115258</v>
      </c>
      <c r="EC65" s="19">
        <v>0.1213870631959907</v>
      </c>
      <c r="ED65" s="3">
        <v>735</v>
      </c>
      <c r="EE65" s="19">
        <v>0.1085672082717873</v>
      </c>
      <c r="EF65" s="19">
        <v>0.10137746917468257</v>
      </c>
      <c r="EG65" s="19">
        <v>0.11620091198177358</v>
      </c>
      <c r="EH65" s="3">
        <v>735</v>
      </c>
      <c r="EI65" s="20">
        <v>0.10888888888888888</v>
      </c>
      <c r="EJ65" s="20">
        <v>0.10167901541892954</v>
      </c>
      <c r="EK65" s="20">
        <v>0.11654367574238257</v>
      </c>
      <c r="EL65" s="438">
        <v>695</v>
      </c>
      <c r="EM65" s="20">
        <v>0.11710193765796124</v>
      </c>
      <c r="EN65" s="20">
        <v>0.10916809688863628</v>
      </c>
      <c r="EO65" s="104">
        <v>0.12553112323458893</v>
      </c>
      <c r="EP65" s="38">
        <v>2075</v>
      </c>
      <c r="EQ65" s="20">
        <v>8.9478223372143159E-2</v>
      </c>
      <c r="ER65" s="44">
        <v>2260</v>
      </c>
      <c r="ES65" s="20">
        <v>9.7329888027562442E-2</v>
      </c>
      <c r="ET65" s="44">
        <v>2185</v>
      </c>
      <c r="EU65" s="20">
        <v>9.4221647261750752E-2</v>
      </c>
      <c r="EV65" s="44">
        <v>2095</v>
      </c>
      <c r="EW65" s="20">
        <v>9.0790899241603468E-2</v>
      </c>
      <c r="EX65" s="44">
        <v>1900</v>
      </c>
      <c r="EY65" s="20">
        <v>8.2554855529002824E-2</v>
      </c>
      <c r="EZ65" s="44">
        <v>1875</v>
      </c>
      <c r="FA65" s="104">
        <v>8.2490101187857462E-2</v>
      </c>
      <c r="FB65" s="3">
        <v>1254</v>
      </c>
      <c r="FC65" s="3">
        <v>36</v>
      </c>
      <c r="FD65" s="3">
        <v>1241</v>
      </c>
      <c r="FE65" s="19">
        <v>0.9896331738437002</v>
      </c>
      <c r="FF65" s="3">
        <v>572</v>
      </c>
      <c r="FG65" s="3">
        <v>740</v>
      </c>
      <c r="FH65" s="19">
        <v>0.46091861402095086</v>
      </c>
      <c r="FI65" s="19">
        <v>0.59629331184528611</v>
      </c>
      <c r="FJ65" s="19">
        <v>0.45500000000000002</v>
      </c>
      <c r="FK65" s="19">
        <v>0.51</v>
      </c>
      <c r="FL65" s="19">
        <v>0.59099999999999997</v>
      </c>
      <c r="FM65" s="104">
        <v>0.64500000000000002</v>
      </c>
      <c r="FN65" s="438">
        <v>1127</v>
      </c>
      <c r="FO65" s="438">
        <v>518</v>
      </c>
      <c r="FP65" s="438">
        <v>156</v>
      </c>
      <c r="FQ65" s="438">
        <v>674</v>
      </c>
      <c r="FR65" s="497">
        <v>0.45962732919254656</v>
      </c>
      <c r="FS65" s="497">
        <v>0.59804791481810116</v>
      </c>
      <c r="FT65" s="497">
        <v>0.43071744831425007</v>
      </c>
      <c r="FU65" s="497">
        <v>0.48881150130977591</v>
      </c>
      <c r="FV65" s="497">
        <v>0.56913684499005646</v>
      </c>
      <c r="FW65" s="104">
        <v>0.62629284878016611</v>
      </c>
      <c r="FX65" s="534" t="s">
        <v>287</v>
      </c>
      <c r="FY65" s="528" t="s">
        <v>287</v>
      </c>
      <c r="FZ65" s="528" t="s">
        <v>287</v>
      </c>
      <c r="GA65" s="344" t="s">
        <v>287</v>
      </c>
      <c r="GB65" s="528" t="s">
        <v>287</v>
      </c>
      <c r="GC65" s="528" t="s">
        <v>287</v>
      </c>
      <c r="GD65" s="528" t="s">
        <v>287</v>
      </c>
      <c r="GE65" s="344" t="s">
        <v>287</v>
      </c>
      <c r="GF65" s="344" t="s">
        <v>287</v>
      </c>
      <c r="GG65" s="344" t="s">
        <v>287</v>
      </c>
      <c r="GH65" s="344" t="s">
        <v>287</v>
      </c>
      <c r="GI65" s="344" t="s">
        <v>287</v>
      </c>
      <c r="GJ65" s="345" t="s">
        <v>287</v>
      </c>
      <c r="GK65" s="3">
        <v>1215</v>
      </c>
      <c r="GL65" s="354">
        <v>82.62</v>
      </c>
      <c r="GM65" s="19">
        <v>6.8000000000000005E-2</v>
      </c>
      <c r="GN65" s="19">
        <v>5.4000000000000006E-2</v>
      </c>
      <c r="GO65" s="19">
        <v>8.2000000000000003E-2</v>
      </c>
      <c r="GP65" s="353" t="s">
        <v>726</v>
      </c>
      <c r="GQ65" s="3">
        <v>1230</v>
      </c>
      <c r="GR65" s="354">
        <v>95.94</v>
      </c>
      <c r="GS65" s="19">
        <v>7.8E-2</v>
      </c>
      <c r="GT65" s="19">
        <v>6.3E-2</v>
      </c>
      <c r="GU65" s="19">
        <v>9.2999999999999999E-2</v>
      </c>
      <c r="GV65" s="3" t="s">
        <v>725</v>
      </c>
      <c r="GW65" s="3">
        <v>838</v>
      </c>
      <c r="GX65" s="354">
        <v>70.39200000000001</v>
      </c>
      <c r="GY65" s="19">
        <v>8.4000000000000005E-2</v>
      </c>
      <c r="GZ65" s="19">
        <v>6.5000000000000002E-2</v>
      </c>
      <c r="HA65" s="19">
        <v>0.10300000000000001</v>
      </c>
      <c r="HB65" s="3" t="s">
        <v>725</v>
      </c>
      <c r="HC65" s="3">
        <v>1171</v>
      </c>
      <c r="HD65" s="354">
        <v>88.995999999999995</v>
      </c>
      <c r="HE65" s="19">
        <v>7.5999999999999998E-2</v>
      </c>
      <c r="HF65" s="19">
        <v>6.0999999999999999E-2</v>
      </c>
      <c r="HG65" s="19">
        <v>9.0999999999999998E-2</v>
      </c>
      <c r="HH65" s="3" t="s">
        <v>726</v>
      </c>
      <c r="HI65" s="3">
        <v>804</v>
      </c>
      <c r="HJ65" s="354">
        <v>58.999932000000001</v>
      </c>
      <c r="HK65" s="19">
        <v>7.3383000000000004E-2</v>
      </c>
      <c r="HL65" s="19">
        <v>5.7316000000000006E-2</v>
      </c>
      <c r="HM65" s="19">
        <v>9.3507999999999994E-2</v>
      </c>
      <c r="HN65" s="11" t="s">
        <v>726</v>
      </c>
      <c r="HO65" s="11">
        <v>1272</v>
      </c>
      <c r="HP65" s="11">
        <v>76.000000000000043</v>
      </c>
      <c r="HQ65" s="19">
        <v>5.9748427672956003E-2</v>
      </c>
      <c r="HR65" s="19">
        <v>4.80008753374589E-2</v>
      </c>
      <c r="HS65" s="19">
        <v>7.4147106093356202E-2</v>
      </c>
      <c r="HT65" s="8" t="str">
        <f t="shared" si="0"/>
        <v>Sig better than Eng.</v>
      </c>
      <c r="HU65" s="3">
        <v>1236</v>
      </c>
      <c r="HV65" s="354">
        <v>187.87199999999999</v>
      </c>
      <c r="HW65" s="19">
        <v>0.152</v>
      </c>
      <c r="HX65" s="19">
        <v>0.13200000000000001</v>
      </c>
      <c r="HY65" s="19">
        <v>0.17199999999999999</v>
      </c>
      <c r="HZ65" s="3" t="s">
        <v>726</v>
      </c>
      <c r="IA65" s="3">
        <v>1267</v>
      </c>
      <c r="IB65" s="354">
        <v>184.982</v>
      </c>
      <c r="IC65" s="19">
        <v>0.14599999999999999</v>
      </c>
      <c r="ID65" s="19">
        <v>0.127</v>
      </c>
      <c r="IE65" s="19">
        <v>0.16499999999999998</v>
      </c>
      <c r="IF65" s="3" t="s">
        <v>726</v>
      </c>
      <c r="IG65" s="3">
        <v>1196</v>
      </c>
      <c r="IH65" s="354">
        <v>149.5</v>
      </c>
      <c r="II65" s="19">
        <v>0.125</v>
      </c>
      <c r="IJ65" s="19">
        <v>0.106</v>
      </c>
      <c r="IK65" s="19">
        <v>0.14399999999999999</v>
      </c>
      <c r="IL65" s="3" t="s">
        <v>726</v>
      </c>
      <c r="IM65" s="3">
        <v>1110</v>
      </c>
      <c r="IN65" s="354">
        <v>135.41999999999999</v>
      </c>
      <c r="IO65" s="19">
        <v>0.122</v>
      </c>
      <c r="IP65" s="19">
        <v>0.10299999999999999</v>
      </c>
      <c r="IQ65" s="19">
        <v>0.14099999999999999</v>
      </c>
      <c r="IR65" s="3" t="s">
        <v>726</v>
      </c>
      <c r="IS65" s="3">
        <v>1275</v>
      </c>
      <c r="IT65" s="354">
        <v>166.99950000000001</v>
      </c>
      <c r="IU65" s="19">
        <v>0.13098000000000001</v>
      </c>
      <c r="IV65" s="19">
        <v>0.113565</v>
      </c>
      <c r="IW65" s="19">
        <v>0.150613</v>
      </c>
      <c r="IX65" s="11" t="s">
        <v>726</v>
      </c>
      <c r="IY65" s="11">
        <v>1249</v>
      </c>
      <c r="IZ65" s="11">
        <v>306.00000000000006</v>
      </c>
      <c r="JA65" s="497">
        <v>0.244995996797438</v>
      </c>
      <c r="JB65" s="497">
        <v>0.22194986170408701</v>
      </c>
      <c r="JC65" s="497">
        <v>0.26960591694997199</v>
      </c>
      <c r="JD65" s="8" t="str">
        <f t="shared" si="1"/>
        <v>Sig better than Eng.</v>
      </c>
      <c r="JE65" s="3">
        <v>1370</v>
      </c>
      <c r="JF65" s="3">
        <v>798</v>
      </c>
      <c r="JG65" s="19">
        <v>0.58248175182481754</v>
      </c>
      <c r="JH65" s="19">
        <v>0.55617303817911246</v>
      </c>
      <c r="JI65" s="19">
        <v>0.60832920372731425</v>
      </c>
      <c r="JJ65" s="3">
        <v>1370</v>
      </c>
      <c r="JK65" s="3">
        <v>34</v>
      </c>
      <c r="JL65" s="3">
        <v>274</v>
      </c>
      <c r="JM65" s="383">
        <v>25.514598540145979</v>
      </c>
      <c r="JN65" s="19">
        <v>0.24957063117217709</v>
      </c>
      <c r="JO65" s="3">
        <v>1498</v>
      </c>
      <c r="JP65" s="3">
        <v>936</v>
      </c>
      <c r="JQ65" s="19">
        <v>0.62483311081441928</v>
      </c>
      <c r="JR65" s="19">
        <v>0.6000250238085405</v>
      </c>
      <c r="JS65" s="19">
        <v>0.64900259345652012</v>
      </c>
      <c r="JT65" s="3">
        <v>1498</v>
      </c>
      <c r="JU65" s="3">
        <v>34</v>
      </c>
      <c r="JV65" s="3">
        <v>299</v>
      </c>
      <c r="JW65" s="383">
        <v>25.789297658862878</v>
      </c>
      <c r="JX65" s="20">
        <v>0.24149124532756239</v>
      </c>
      <c r="JY65" s="44">
        <v>1603</v>
      </c>
      <c r="JZ65" s="44">
        <v>1061</v>
      </c>
      <c r="KA65" s="497">
        <v>0.66188396756082346</v>
      </c>
      <c r="KB65" s="497">
        <v>0.63836319614815307</v>
      </c>
      <c r="KC65" s="497">
        <v>0.68463071040745005</v>
      </c>
      <c r="KD65" s="438">
        <v>34</v>
      </c>
      <c r="KE65" s="438">
        <v>320</v>
      </c>
      <c r="KF65" s="384">
        <v>25.631250000000001</v>
      </c>
      <c r="KG65" s="104">
        <v>0.2461397058823529</v>
      </c>
      <c r="KH65" s="19"/>
      <c r="KI65" s="19"/>
      <c r="KJ65" s="19"/>
      <c r="KK65" s="19"/>
      <c r="KL65" s="19"/>
      <c r="KM65" s="19"/>
      <c r="KN65" s="19"/>
      <c r="KO65" s="19"/>
      <c r="KP65" s="19"/>
      <c r="KQ65" s="19"/>
      <c r="KR65" s="19"/>
      <c r="KS65" s="19"/>
      <c r="KT65" s="19"/>
      <c r="KU65" s="19"/>
      <c r="KV65" s="19"/>
      <c r="KW65" s="104"/>
      <c r="KX65" s="438">
        <v>47</v>
      </c>
      <c r="KY65" s="438">
        <v>537</v>
      </c>
      <c r="KZ65" s="497">
        <v>8.752327746741155E-2</v>
      </c>
      <c r="LA65" s="497">
        <v>6.6456548514416805E-2</v>
      </c>
      <c r="LB65" s="497">
        <v>0.11444944015375524</v>
      </c>
      <c r="LC65" s="438">
        <v>40</v>
      </c>
      <c r="LD65" s="438">
        <v>537</v>
      </c>
      <c r="LE65" s="497">
        <v>7.4487895716946001E-2</v>
      </c>
      <c r="LF65" s="497">
        <v>5.5176511356156623E-2</v>
      </c>
      <c r="LG65" s="497">
        <v>9.9843887789113406E-2</v>
      </c>
      <c r="LH65" s="438">
        <v>45</v>
      </c>
      <c r="LI65" s="438">
        <v>534</v>
      </c>
      <c r="LJ65" s="497">
        <v>8.4269662921348312E-2</v>
      </c>
      <c r="LK65" s="497">
        <v>6.3575050069681782E-2</v>
      </c>
      <c r="LL65" s="497">
        <v>0.11090286955082677</v>
      </c>
      <c r="LM65" s="438">
        <v>79</v>
      </c>
      <c r="LN65" s="438">
        <v>528</v>
      </c>
      <c r="LO65" s="497">
        <v>0.14962121212121213</v>
      </c>
      <c r="LP65" s="497">
        <v>0.12173136916747594</v>
      </c>
      <c r="LQ65" s="104">
        <v>0.18257258483333016</v>
      </c>
      <c r="LR65" s="495" t="s">
        <v>287</v>
      </c>
      <c r="LS65" s="495" t="s">
        <v>287</v>
      </c>
      <c r="LT65" s="495" t="s">
        <v>287</v>
      </c>
      <c r="LU65" s="495" t="s">
        <v>287</v>
      </c>
      <c r="LV65" s="495" t="s">
        <v>287</v>
      </c>
      <c r="LW65" s="495" t="s">
        <v>287</v>
      </c>
      <c r="LX65" s="495" t="s">
        <v>287</v>
      </c>
      <c r="LY65" s="495" t="s">
        <v>287</v>
      </c>
      <c r="LZ65" s="495" t="s">
        <v>287</v>
      </c>
      <c r="MA65" s="495" t="s">
        <v>287</v>
      </c>
      <c r="MB65" s="495" t="s">
        <v>287</v>
      </c>
      <c r="MC65" s="495" t="s">
        <v>287</v>
      </c>
      <c r="MD65" s="495" t="s">
        <v>287</v>
      </c>
      <c r="ME65" s="495" t="s">
        <v>287</v>
      </c>
      <c r="MF65" s="495" t="s">
        <v>287</v>
      </c>
      <c r="MG65" s="495" t="s">
        <v>287</v>
      </c>
      <c r="MH65" s="495" t="s">
        <v>287</v>
      </c>
      <c r="MI65" s="495" t="s">
        <v>287</v>
      </c>
      <c r="MJ65" s="495" t="s">
        <v>287</v>
      </c>
      <c r="MK65" s="495" t="s">
        <v>287</v>
      </c>
      <c r="ML65" s="495" t="s">
        <v>287</v>
      </c>
      <c r="MM65" s="495" t="s">
        <v>287</v>
      </c>
      <c r="MN65" s="136" t="s">
        <v>287</v>
      </c>
      <c r="MO65" s="3">
        <v>1324</v>
      </c>
      <c r="MP65" s="24">
        <v>0.96899999999999997</v>
      </c>
      <c r="MQ65" s="24">
        <v>7.0000000000000001E-3</v>
      </c>
      <c r="MR65" s="24">
        <v>0.96799999999999997</v>
      </c>
      <c r="MS65" s="3">
        <v>1283</v>
      </c>
      <c r="MT65" s="3">
        <v>9</v>
      </c>
      <c r="MU65" s="3">
        <v>1281</v>
      </c>
      <c r="MV65" s="3">
        <v>1377</v>
      </c>
      <c r="MW65" s="24">
        <v>0.97699999999999998</v>
      </c>
      <c r="MX65" s="24">
        <v>0.94599999999999995</v>
      </c>
      <c r="MY65" s="24">
        <v>0.95399999999999996</v>
      </c>
      <c r="MZ65" s="24">
        <v>0.95599999999999996</v>
      </c>
      <c r="NA65" s="24">
        <v>0.94799999999999995</v>
      </c>
      <c r="NB65" s="3">
        <v>1346</v>
      </c>
      <c r="NC65" s="3">
        <v>1302</v>
      </c>
      <c r="ND65" s="3">
        <v>1313</v>
      </c>
      <c r="NE65" s="3">
        <v>1316</v>
      </c>
      <c r="NF65" s="3">
        <v>1306</v>
      </c>
      <c r="NG65" s="3">
        <v>1596</v>
      </c>
      <c r="NH65" s="24">
        <v>0.96799999999999997</v>
      </c>
      <c r="NI65" s="24">
        <v>0.92300000000000004</v>
      </c>
      <c r="NJ65" s="24">
        <v>0.96799999999999997</v>
      </c>
      <c r="NK65" s="24">
        <v>0.96699999999999997</v>
      </c>
      <c r="NL65" s="24">
        <v>0.96399999999999997</v>
      </c>
      <c r="NM65" s="24">
        <v>0.85799999999999998</v>
      </c>
      <c r="NN65" s="24">
        <v>0.93799999999999994</v>
      </c>
      <c r="NO65" s="24">
        <v>0.91600000000000004</v>
      </c>
      <c r="NP65" s="24">
        <v>0.96699999999999997</v>
      </c>
      <c r="NQ65" s="24">
        <v>0.92900000000000005</v>
      </c>
      <c r="NR65" s="3">
        <v>1545</v>
      </c>
      <c r="NS65" s="3">
        <v>1473</v>
      </c>
      <c r="NT65" s="3">
        <v>1545</v>
      </c>
      <c r="NU65" s="3">
        <v>1544</v>
      </c>
      <c r="NV65" s="3">
        <v>1538</v>
      </c>
      <c r="NW65" s="3">
        <v>1370</v>
      </c>
      <c r="NX65" s="3">
        <v>1497</v>
      </c>
      <c r="NY65" s="3">
        <v>1462</v>
      </c>
      <c r="NZ65" s="3">
        <v>1543</v>
      </c>
      <c r="OA65" s="8">
        <v>1482</v>
      </c>
    </row>
    <row r="66" spans="1:391" s="3" customFormat="1" ht="12.75" x14ac:dyDescent="0.2">
      <c r="A66" s="11" t="s">
        <v>129</v>
      </c>
      <c r="B66" s="8">
        <v>6</v>
      </c>
      <c r="C66" s="11" t="s">
        <v>287</v>
      </c>
      <c r="D66" s="11" t="s">
        <v>287</v>
      </c>
      <c r="E66" s="11" t="s">
        <v>287</v>
      </c>
      <c r="F66" s="11" t="s">
        <v>287</v>
      </c>
      <c r="G66" s="11" t="s">
        <v>287</v>
      </c>
      <c r="H66" s="11" t="s">
        <v>287</v>
      </c>
      <c r="I66" s="11" t="s">
        <v>81</v>
      </c>
      <c r="J66" s="11" t="s">
        <v>271</v>
      </c>
      <c r="K66" s="11" t="s">
        <v>287</v>
      </c>
      <c r="L66" s="11" t="s">
        <v>287</v>
      </c>
      <c r="M66" s="11" t="s">
        <v>287</v>
      </c>
      <c r="N66" s="11" t="s">
        <v>287</v>
      </c>
      <c r="O66" s="128" t="s">
        <v>287</v>
      </c>
      <c r="P66" s="128" t="s">
        <v>287</v>
      </c>
      <c r="Q66" s="128" t="s">
        <v>287</v>
      </c>
      <c r="R66" s="128" t="s">
        <v>287</v>
      </c>
      <c r="S66" s="128" t="s">
        <v>287</v>
      </c>
      <c r="T66" s="38">
        <v>130500</v>
      </c>
      <c r="U66" s="39">
        <v>132100</v>
      </c>
      <c r="V66" s="39">
        <v>134000</v>
      </c>
      <c r="W66" s="39">
        <v>135700</v>
      </c>
      <c r="X66" s="39">
        <v>137200</v>
      </c>
      <c r="Y66" s="39">
        <v>138900</v>
      </c>
      <c r="Z66" s="39">
        <v>140200</v>
      </c>
      <c r="AA66" s="39">
        <v>141200</v>
      </c>
      <c r="AB66" s="39">
        <v>142800</v>
      </c>
      <c r="AC66" s="44">
        <v>144375</v>
      </c>
      <c r="AD66" s="38">
        <v>7500</v>
      </c>
      <c r="AE66" s="39">
        <v>7700</v>
      </c>
      <c r="AF66" s="39">
        <v>8000</v>
      </c>
      <c r="AG66" s="39">
        <v>8200</v>
      </c>
      <c r="AH66" s="39">
        <v>8100</v>
      </c>
      <c r="AI66" s="39">
        <v>8200</v>
      </c>
      <c r="AJ66" s="39">
        <v>8300</v>
      </c>
      <c r="AK66" s="39">
        <v>8500</v>
      </c>
      <c r="AL66" s="39">
        <v>8600</v>
      </c>
      <c r="AM66" s="44">
        <v>8695</v>
      </c>
      <c r="AN66" s="15">
        <v>8343</v>
      </c>
      <c r="AO66" s="3">
        <v>7298</v>
      </c>
      <c r="AP66" s="3">
        <v>325</v>
      </c>
      <c r="AQ66" s="3">
        <v>336</v>
      </c>
      <c r="AR66" s="3">
        <v>331</v>
      </c>
      <c r="AS66" s="3">
        <v>46</v>
      </c>
      <c r="AT66" s="3">
        <v>7</v>
      </c>
      <c r="AU66" s="11">
        <v>1045</v>
      </c>
      <c r="AV66" s="18">
        <v>0.87474529545726953</v>
      </c>
      <c r="AW66" s="19">
        <v>3.8954812417595588E-2</v>
      </c>
      <c r="AX66" s="19">
        <v>4.0273282991729595E-2</v>
      </c>
      <c r="AY66" s="19">
        <v>3.9673978185305048E-2</v>
      </c>
      <c r="AZ66" s="19">
        <v>5.5136042191058368E-3</v>
      </c>
      <c r="BA66" s="19">
        <v>8.3902672899436649E-4</v>
      </c>
      <c r="BB66" s="20">
        <v>0.12525470454273047</v>
      </c>
      <c r="BC66" s="15">
        <v>22188</v>
      </c>
      <c r="BD66" s="3">
        <v>21777</v>
      </c>
      <c r="BE66" s="3">
        <v>411</v>
      </c>
      <c r="BF66" s="3">
        <v>362</v>
      </c>
      <c r="BG66" s="3">
        <v>49</v>
      </c>
      <c r="BH66" s="24">
        <v>0.88077858880778592</v>
      </c>
      <c r="BI66" s="20">
        <v>0.11922141119221411</v>
      </c>
      <c r="BJ66" s="38">
        <v>16498</v>
      </c>
      <c r="BK66" s="20">
        <v>0.71044975148502854</v>
      </c>
      <c r="BL66" s="20">
        <v>0.12456055279427809</v>
      </c>
      <c r="BM66" s="20">
        <v>0.16498969572069341</v>
      </c>
      <c r="BN66" s="38">
        <v>40824</v>
      </c>
      <c r="BO66" s="39">
        <v>2421</v>
      </c>
      <c r="BP66" s="39">
        <v>2796</v>
      </c>
      <c r="BQ66" s="39">
        <v>1278</v>
      </c>
      <c r="BR66" s="39">
        <v>30486</v>
      </c>
      <c r="BS66" s="39">
        <v>16991</v>
      </c>
      <c r="BT66" s="20">
        <v>0.14837266788299688</v>
      </c>
      <c r="BU66" s="38">
        <v>11413</v>
      </c>
      <c r="BV66" s="39">
        <v>8</v>
      </c>
      <c r="BW66" s="39">
        <v>1979</v>
      </c>
      <c r="BX66" s="39">
        <v>2652</v>
      </c>
      <c r="BY66" s="39">
        <v>993</v>
      </c>
      <c r="BZ66" s="40">
        <v>17045</v>
      </c>
      <c r="CA66" s="39">
        <v>6511</v>
      </c>
      <c r="CB66" s="39">
        <v>5856</v>
      </c>
      <c r="CC66" s="39">
        <v>647</v>
      </c>
      <c r="CD66" s="39">
        <v>655</v>
      </c>
      <c r="CE66" s="19">
        <v>9.9370296421440643E-2</v>
      </c>
      <c r="CF66" s="104">
        <v>0.10059898633082476</v>
      </c>
      <c r="CG66" s="39">
        <v>565</v>
      </c>
      <c r="CH66" s="39">
        <v>525</v>
      </c>
      <c r="CI66" s="39">
        <v>450</v>
      </c>
      <c r="CJ66" s="39">
        <v>450</v>
      </c>
      <c r="CK66" s="44">
        <v>420</v>
      </c>
      <c r="CL66" s="38">
        <v>2645</v>
      </c>
      <c r="CM66" s="39">
        <v>656</v>
      </c>
      <c r="CN66" s="19">
        <v>0.24801512287334593</v>
      </c>
      <c r="CO66" s="40">
        <v>222</v>
      </c>
      <c r="CP66" s="122">
        <v>1479</v>
      </c>
      <c r="CQ66" s="122">
        <v>1527</v>
      </c>
      <c r="CR66" s="122">
        <v>1524</v>
      </c>
      <c r="CS66" s="122">
        <v>1545</v>
      </c>
      <c r="CT66" s="122">
        <v>1512</v>
      </c>
      <c r="CU66" s="123">
        <v>1521</v>
      </c>
      <c r="CV66" s="39">
        <v>46</v>
      </c>
      <c r="CW66" s="39">
        <v>43</v>
      </c>
      <c r="CX66" s="39">
        <v>42</v>
      </c>
      <c r="CY66" s="39">
        <v>28</v>
      </c>
      <c r="CZ66" s="39">
        <v>39</v>
      </c>
      <c r="DA66" s="434">
        <v>26</v>
      </c>
      <c r="DB66" s="379" t="s">
        <v>287</v>
      </c>
      <c r="DC66" s="15">
        <v>74</v>
      </c>
      <c r="DD66" s="19">
        <v>4.8941798941798939E-2</v>
      </c>
      <c r="DE66" s="19">
        <v>3.9164015141647537E-2</v>
      </c>
      <c r="DF66" s="20">
        <v>6.100573410035097E-2</v>
      </c>
      <c r="DG66" s="15">
        <v>140</v>
      </c>
      <c r="DH66" s="20">
        <v>1.6794625719769675E-2</v>
      </c>
      <c r="DI66" s="470" t="s">
        <v>287</v>
      </c>
      <c r="DJ66" s="471" t="s">
        <v>287</v>
      </c>
      <c r="DK66" s="3">
        <v>1360</v>
      </c>
      <c r="DL66" s="20">
        <v>2.3689665383476458E-2</v>
      </c>
      <c r="DM66" s="15">
        <v>740</v>
      </c>
      <c r="DN66" s="3">
        <v>770</v>
      </c>
      <c r="DO66" s="3">
        <v>785</v>
      </c>
      <c r="DP66" s="3">
        <v>690</v>
      </c>
      <c r="DQ66" s="11">
        <v>665</v>
      </c>
      <c r="DR66" s="15">
        <v>640</v>
      </c>
      <c r="DS66" s="19">
        <v>8.4936960849369608E-2</v>
      </c>
      <c r="DT66" s="19">
        <v>7.8851732870742153E-2</v>
      </c>
      <c r="DU66" s="19">
        <v>9.1445184213056835E-2</v>
      </c>
      <c r="DV66" s="3">
        <v>745</v>
      </c>
      <c r="DW66" s="19">
        <v>9.7833223900196983E-2</v>
      </c>
      <c r="DX66" s="19">
        <v>9.136192840973352E-2</v>
      </c>
      <c r="DY66" s="19">
        <v>0.10471006848045021</v>
      </c>
      <c r="DZ66" s="3">
        <v>705</v>
      </c>
      <c r="EA66" s="19">
        <v>9.0792015453960082E-2</v>
      </c>
      <c r="EB66" s="19">
        <v>8.4602263171927344E-2</v>
      </c>
      <c r="EC66" s="19">
        <v>9.7386449857533086E-2</v>
      </c>
      <c r="ED66" s="3">
        <v>700</v>
      </c>
      <c r="EE66" s="19">
        <v>8.9743589743589744E-2</v>
      </c>
      <c r="EF66" s="19">
        <v>8.3601036696213937E-2</v>
      </c>
      <c r="EG66" s="19">
        <v>9.6290042104974397E-2</v>
      </c>
      <c r="EH66" s="3">
        <v>710</v>
      </c>
      <c r="EI66" s="20">
        <v>9.015873015873016E-2</v>
      </c>
      <c r="EJ66" s="20">
        <v>8.4031227648310711E-2</v>
      </c>
      <c r="EK66" s="20">
        <v>9.6685882381444196E-2</v>
      </c>
      <c r="EL66" s="438">
        <v>630</v>
      </c>
      <c r="EM66" s="20">
        <v>9.3402520385470714E-2</v>
      </c>
      <c r="EN66" s="20">
        <v>8.6687534079971679E-2</v>
      </c>
      <c r="EO66" s="104">
        <v>0.10058037946226468</v>
      </c>
      <c r="EP66" s="38">
        <v>1975</v>
      </c>
      <c r="EQ66" s="20">
        <v>7.9621044144325734E-2</v>
      </c>
      <c r="ER66" s="44">
        <v>2235</v>
      </c>
      <c r="ES66" s="20">
        <v>8.9382123575284939E-2</v>
      </c>
      <c r="ET66" s="44">
        <v>2135</v>
      </c>
      <c r="EU66" s="20">
        <v>8.4537715303900224E-2</v>
      </c>
      <c r="EV66" s="44">
        <v>2105</v>
      </c>
      <c r="EW66" s="20">
        <v>8.2955665024630545E-2</v>
      </c>
      <c r="EX66" s="44">
        <v>1935</v>
      </c>
      <c r="EY66" s="20">
        <v>7.6001571091908873E-2</v>
      </c>
      <c r="EZ66" s="44">
        <v>1845</v>
      </c>
      <c r="FA66" s="104">
        <v>7.2695035460992902E-2</v>
      </c>
      <c r="FB66" s="3">
        <v>1479</v>
      </c>
      <c r="FC66" s="3">
        <v>36</v>
      </c>
      <c r="FD66" s="3">
        <v>1404</v>
      </c>
      <c r="FE66" s="19">
        <v>0.94929006085192702</v>
      </c>
      <c r="FF66" s="3">
        <v>703</v>
      </c>
      <c r="FG66" s="3">
        <v>902</v>
      </c>
      <c r="FH66" s="19">
        <v>0.50071225071225067</v>
      </c>
      <c r="FI66" s="19">
        <v>0.64245014245014243</v>
      </c>
      <c r="FJ66" s="19">
        <v>0.47599999999999998</v>
      </c>
      <c r="FK66" s="19">
        <v>0.52800000000000002</v>
      </c>
      <c r="FL66" s="19">
        <v>0.61799999999999999</v>
      </c>
      <c r="FM66" s="104">
        <v>0.66800000000000004</v>
      </c>
      <c r="FN66" s="438">
        <v>1438</v>
      </c>
      <c r="FO66" s="438">
        <v>680</v>
      </c>
      <c r="FP66" s="438">
        <v>270</v>
      </c>
      <c r="FQ66" s="438">
        <v>950</v>
      </c>
      <c r="FR66" s="497">
        <v>0.47287899860917942</v>
      </c>
      <c r="FS66" s="497">
        <v>0.6606397774687065</v>
      </c>
      <c r="FT66" s="497">
        <v>0.44718085295846682</v>
      </c>
      <c r="FU66" s="497">
        <v>0.49872165974650318</v>
      </c>
      <c r="FV66" s="497">
        <v>0.63576798800794965</v>
      </c>
      <c r="FW66" s="104">
        <v>0.68465559058568948</v>
      </c>
      <c r="FX66" s="534" t="s">
        <v>287</v>
      </c>
      <c r="FY66" s="528" t="s">
        <v>287</v>
      </c>
      <c r="FZ66" s="528" t="s">
        <v>287</v>
      </c>
      <c r="GA66" s="344" t="s">
        <v>287</v>
      </c>
      <c r="GB66" s="528" t="s">
        <v>287</v>
      </c>
      <c r="GC66" s="528" t="s">
        <v>287</v>
      </c>
      <c r="GD66" s="528" t="s">
        <v>287</v>
      </c>
      <c r="GE66" s="344" t="s">
        <v>287</v>
      </c>
      <c r="GF66" s="344" t="s">
        <v>287</v>
      </c>
      <c r="GG66" s="344" t="s">
        <v>287</v>
      </c>
      <c r="GH66" s="344" t="s">
        <v>287</v>
      </c>
      <c r="GI66" s="344" t="s">
        <v>287</v>
      </c>
      <c r="GJ66" s="345" t="s">
        <v>287</v>
      </c>
      <c r="GK66" s="3">
        <v>1248</v>
      </c>
      <c r="GL66" s="354">
        <v>74.88</v>
      </c>
      <c r="GM66" s="19">
        <v>0.06</v>
      </c>
      <c r="GN66" s="19">
        <v>4.7E-2</v>
      </c>
      <c r="GO66" s="19">
        <v>7.2999999999999995E-2</v>
      </c>
      <c r="GP66" s="353" t="s">
        <v>726</v>
      </c>
      <c r="GQ66" s="3">
        <v>1357</v>
      </c>
      <c r="GR66" s="354">
        <v>93.63300000000001</v>
      </c>
      <c r="GS66" s="19">
        <v>6.9000000000000006E-2</v>
      </c>
      <c r="GT66" s="19">
        <v>5.6000000000000008E-2</v>
      </c>
      <c r="GU66" s="19">
        <v>8.2000000000000003E-2</v>
      </c>
      <c r="GV66" s="3" t="s">
        <v>726</v>
      </c>
      <c r="GW66" s="3">
        <v>1386</v>
      </c>
      <c r="GX66" s="354">
        <v>73.457999999999998</v>
      </c>
      <c r="GY66" s="19">
        <v>5.2999999999999999E-2</v>
      </c>
      <c r="GZ66" s="19">
        <v>4.0999999999999995E-2</v>
      </c>
      <c r="HA66" s="19">
        <v>6.5000000000000002E-2</v>
      </c>
      <c r="HB66" s="3" t="s">
        <v>726</v>
      </c>
      <c r="HC66" s="3">
        <v>1334</v>
      </c>
      <c r="HD66" s="354">
        <v>92.046000000000006</v>
      </c>
      <c r="HE66" s="19">
        <v>6.9000000000000006E-2</v>
      </c>
      <c r="HF66" s="19">
        <v>5.5000000000000007E-2</v>
      </c>
      <c r="HG66" s="19">
        <v>8.3000000000000004E-2</v>
      </c>
      <c r="HH66" s="3" t="s">
        <v>726</v>
      </c>
      <c r="HI66" s="3">
        <v>959</v>
      </c>
      <c r="HJ66" s="354">
        <v>55.999845999999998</v>
      </c>
      <c r="HK66" s="19">
        <v>5.8394000000000001E-2</v>
      </c>
      <c r="HL66" s="19">
        <v>4.5240000000000002E-2</v>
      </c>
      <c r="HM66" s="19">
        <v>7.5072E-2</v>
      </c>
      <c r="HN66" s="11" t="s">
        <v>726</v>
      </c>
      <c r="HO66" s="11">
        <v>1386</v>
      </c>
      <c r="HP66" s="11">
        <v>83.999999999999986</v>
      </c>
      <c r="HQ66" s="19">
        <v>6.0606060606060594E-2</v>
      </c>
      <c r="HR66" s="19">
        <v>4.9217547182457799E-2</v>
      </c>
      <c r="HS66" s="19">
        <v>7.4423503910164501E-2</v>
      </c>
      <c r="HT66" s="8" t="str">
        <f t="shared" si="0"/>
        <v>Sig better than Eng.</v>
      </c>
      <c r="HU66" s="3">
        <v>1270</v>
      </c>
      <c r="HV66" s="354">
        <v>180.33999999999997</v>
      </c>
      <c r="HW66" s="19">
        <v>0.14199999999999999</v>
      </c>
      <c r="HX66" s="19">
        <v>0.12299999999999998</v>
      </c>
      <c r="HY66" s="19">
        <v>0.16099999999999998</v>
      </c>
      <c r="HZ66" s="3" t="s">
        <v>726</v>
      </c>
      <c r="IA66" s="3">
        <v>1176</v>
      </c>
      <c r="IB66" s="354">
        <v>145.82400000000001</v>
      </c>
      <c r="IC66" s="19">
        <v>0.124</v>
      </c>
      <c r="ID66" s="19">
        <v>0.105</v>
      </c>
      <c r="IE66" s="19">
        <v>0.14299999999999999</v>
      </c>
      <c r="IF66" s="3" t="s">
        <v>726</v>
      </c>
      <c r="IG66" s="3">
        <v>1223</v>
      </c>
      <c r="IH66" s="354">
        <v>160.21299999999999</v>
      </c>
      <c r="II66" s="19">
        <v>0.13100000000000001</v>
      </c>
      <c r="IJ66" s="19">
        <v>0.112</v>
      </c>
      <c r="IK66" s="19">
        <v>0.15</v>
      </c>
      <c r="IL66" s="3" t="s">
        <v>726</v>
      </c>
      <c r="IM66" s="3">
        <v>1192</v>
      </c>
      <c r="IN66" s="354">
        <v>135.88800000000001</v>
      </c>
      <c r="IO66" s="19">
        <v>0.114</v>
      </c>
      <c r="IP66" s="19">
        <v>9.6000000000000002E-2</v>
      </c>
      <c r="IQ66" s="19">
        <v>0.13200000000000001</v>
      </c>
      <c r="IR66" s="3" t="s">
        <v>726</v>
      </c>
      <c r="IS66" s="3">
        <v>1233</v>
      </c>
      <c r="IT66" s="354">
        <v>139.999752</v>
      </c>
      <c r="IU66" s="19">
        <v>0.11354400000000001</v>
      </c>
      <c r="IV66" s="19">
        <v>9.7022999999999998E-2</v>
      </c>
      <c r="IW66" s="19">
        <v>0.132466</v>
      </c>
      <c r="IX66" s="11" t="s">
        <v>726</v>
      </c>
      <c r="IY66" s="11">
        <v>1280</v>
      </c>
      <c r="IZ66" s="11">
        <v>334</v>
      </c>
      <c r="JA66" s="497">
        <v>0.26093749999999999</v>
      </c>
      <c r="JB66" s="497">
        <v>0.237620604333003</v>
      </c>
      <c r="JC66" s="497">
        <v>0.28568502207808899</v>
      </c>
      <c r="JD66" s="8" t="str">
        <f t="shared" si="1"/>
        <v>Sig better than Eng.</v>
      </c>
      <c r="JE66" s="3">
        <v>1637</v>
      </c>
      <c r="JF66" s="3">
        <v>947</v>
      </c>
      <c r="JG66" s="19">
        <v>0.57849725106902872</v>
      </c>
      <c r="JH66" s="19">
        <v>0.55442004800520173</v>
      </c>
      <c r="JI66" s="19">
        <v>0.60220690618250572</v>
      </c>
      <c r="JJ66" s="3">
        <v>1637</v>
      </c>
      <c r="JK66" s="3">
        <v>34</v>
      </c>
      <c r="JL66" s="3">
        <v>327</v>
      </c>
      <c r="JM66" s="383">
        <v>25.431192660550472</v>
      </c>
      <c r="JN66" s="19">
        <v>0.25202374527792726</v>
      </c>
      <c r="JO66" s="3">
        <v>1614</v>
      </c>
      <c r="JP66" s="3">
        <v>1025</v>
      </c>
      <c r="JQ66" s="19">
        <v>0.63506815365551428</v>
      </c>
      <c r="JR66" s="19">
        <v>0.61128697123654441</v>
      </c>
      <c r="JS66" s="19">
        <v>0.65820791506573717</v>
      </c>
      <c r="JT66" s="3">
        <v>1614</v>
      </c>
      <c r="JU66" s="3">
        <v>34</v>
      </c>
      <c r="JV66" s="3">
        <v>322</v>
      </c>
      <c r="JW66" s="383">
        <v>26.602484472049689</v>
      </c>
      <c r="JX66" s="20">
        <v>0.21757398611618561</v>
      </c>
      <c r="JY66" s="44">
        <v>1729</v>
      </c>
      <c r="JZ66" s="44">
        <v>1188</v>
      </c>
      <c r="KA66" s="497">
        <v>0.68710237131289764</v>
      </c>
      <c r="KB66" s="497">
        <v>0.66485230538937812</v>
      </c>
      <c r="KC66" s="497">
        <v>0.70852287945893677</v>
      </c>
      <c r="KD66" s="438">
        <v>34</v>
      </c>
      <c r="KE66" s="438">
        <v>345</v>
      </c>
      <c r="KF66" s="384">
        <v>26.330434782608695</v>
      </c>
      <c r="KG66" s="104">
        <v>0.22557544757033252</v>
      </c>
      <c r="KH66" s="19"/>
      <c r="KI66" s="19"/>
      <c r="KJ66" s="19"/>
      <c r="KK66" s="19"/>
      <c r="KL66" s="19"/>
      <c r="KM66" s="19"/>
      <c r="KN66" s="19"/>
      <c r="KO66" s="19"/>
      <c r="KP66" s="19"/>
      <c r="KQ66" s="19"/>
      <c r="KR66" s="19"/>
      <c r="KS66" s="19"/>
      <c r="KT66" s="19"/>
      <c r="KU66" s="19"/>
      <c r="KV66" s="19"/>
      <c r="KW66" s="104"/>
      <c r="KX66" s="438">
        <v>55</v>
      </c>
      <c r="KY66" s="438">
        <v>823</v>
      </c>
      <c r="KZ66" s="497">
        <v>6.6828675577156743E-2</v>
      </c>
      <c r="LA66" s="497">
        <v>5.170105847217684E-2</v>
      </c>
      <c r="LB66" s="497">
        <v>8.5981271805581239E-2</v>
      </c>
      <c r="LC66" s="438">
        <v>43</v>
      </c>
      <c r="LD66" s="438">
        <v>823</v>
      </c>
      <c r="LE66" s="497">
        <v>5.2247873633049821E-2</v>
      </c>
      <c r="LF66" s="497">
        <v>3.9018455733918607E-2</v>
      </c>
      <c r="LG66" s="497">
        <v>6.9637753823876228E-2</v>
      </c>
      <c r="LH66" s="438">
        <v>50</v>
      </c>
      <c r="LI66" s="438">
        <v>818</v>
      </c>
      <c r="LJ66" s="497">
        <v>6.1124694376528114E-2</v>
      </c>
      <c r="LK66" s="497">
        <v>4.6669911343793682E-2</v>
      </c>
      <c r="LL66" s="497">
        <v>7.9682267298668577E-2</v>
      </c>
      <c r="LM66" s="438">
        <v>112</v>
      </c>
      <c r="LN66" s="438">
        <v>814</v>
      </c>
      <c r="LO66" s="497">
        <v>0.13759213759213759</v>
      </c>
      <c r="LP66" s="497">
        <v>0.11562469537313362</v>
      </c>
      <c r="LQ66" s="104">
        <v>0.16296409022014693</v>
      </c>
      <c r="LR66" s="495" t="s">
        <v>287</v>
      </c>
      <c r="LS66" s="495" t="s">
        <v>287</v>
      </c>
      <c r="LT66" s="495" t="s">
        <v>287</v>
      </c>
      <c r="LU66" s="495" t="s">
        <v>287</v>
      </c>
      <c r="LV66" s="495" t="s">
        <v>287</v>
      </c>
      <c r="LW66" s="495" t="s">
        <v>287</v>
      </c>
      <c r="LX66" s="495" t="s">
        <v>287</v>
      </c>
      <c r="LY66" s="495" t="s">
        <v>287</v>
      </c>
      <c r="LZ66" s="495" t="s">
        <v>287</v>
      </c>
      <c r="MA66" s="495" t="s">
        <v>287</v>
      </c>
      <c r="MB66" s="495" t="s">
        <v>287</v>
      </c>
      <c r="MC66" s="495" t="s">
        <v>287</v>
      </c>
      <c r="MD66" s="495" t="s">
        <v>287</v>
      </c>
      <c r="ME66" s="495" t="s">
        <v>287</v>
      </c>
      <c r="MF66" s="495" t="s">
        <v>287</v>
      </c>
      <c r="MG66" s="495" t="s">
        <v>287</v>
      </c>
      <c r="MH66" s="495" t="s">
        <v>287</v>
      </c>
      <c r="MI66" s="495" t="s">
        <v>287</v>
      </c>
      <c r="MJ66" s="495" t="s">
        <v>287</v>
      </c>
      <c r="MK66" s="495" t="s">
        <v>287</v>
      </c>
      <c r="ML66" s="495" t="s">
        <v>287</v>
      </c>
      <c r="MM66" s="495" t="s">
        <v>287</v>
      </c>
      <c r="MN66" s="136" t="s">
        <v>287</v>
      </c>
      <c r="MO66" s="3">
        <v>1641</v>
      </c>
      <c r="MP66" s="24">
        <v>0.96199999999999997</v>
      </c>
      <c r="MQ66" s="24">
        <v>1.2999999999999999E-2</v>
      </c>
      <c r="MR66" s="24">
        <v>0.96199999999999997</v>
      </c>
      <c r="MS66" s="3">
        <v>1579</v>
      </c>
      <c r="MT66" s="3">
        <v>22</v>
      </c>
      <c r="MU66" s="3">
        <v>1579</v>
      </c>
      <c r="MV66" s="3">
        <v>1648</v>
      </c>
      <c r="MW66" s="24">
        <v>0.95599999999999996</v>
      </c>
      <c r="MX66" s="24">
        <v>0.91700000000000004</v>
      </c>
      <c r="MY66" s="24">
        <v>0.94099999999999995</v>
      </c>
      <c r="MZ66" s="24">
        <v>0.92200000000000004</v>
      </c>
      <c r="NA66" s="24">
        <v>0.92100000000000004</v>
      </c>
      <c r="NB66" s="3">
        <v>1575</v>
      </c>
      <c r="NC66" s="3">
        <v>1512</v>
      </c>
      <c r="ND66" s="3">
        <v>1551</v>
      </c>
      <c r="NE66" s="3">
        <v>1519</v>
      </c>
      <c r="NF66" s="3">
        <v>1517</v>
      </c>
      <c r="NG66" s="3">
        <v>1832</v>
      </c>
      <c r="NH66" s="24">
        <v>0.95299999999999996</v>
      </c>
      <c r="NI66" s="24">
        <v>0.89500000000000002</v>
      </c>
      <c r="NJ66" s="24">
        <v>0.95299999999999996</v>
      </c>
      <c r="NK66" s="24">
        <v>0.95199999999999996</v>
      </c>
      <c r="NL66" s="24">
        <v>0.94499999999999995</v>
      </c>
      <c r="NM66" s="24">
        <v>0.871</v>
      </c>
      <c r="NN66" s="24">
        <v>0.93400000000000005</v>
      </c>
      <c r="NO66" s="24">
        <v>0.90900000000000003</v>
      </c>
      <c r="NP66" s="24">
        <v>0.94799999999999995</v>
      </c>
      <c r="NQ66" s="24">
        <v>0.90700000000000003</v>
      </c>
      <c r="NR66" s="3">
        <v>1746</v>
      </c>
      <c r="NS66" s="3">
        <v>1640</v>
      </c>
      <c r="NT66" s="3">
        <v>1746</v>
      </c>
      <c r="NU66" s="3">
        <v>1744</v>
      </c>
      <c r="NV66" s="3">
        <v>1732</v>
      </c>
      <c r="NW66" s="3">
        <v>1596</v>
      </c>
      <c r="NX66" s="3">
        <v>1712</v>
      </c>
      <c r="NY66" s="3">
        <v>1666</v>
      </c>
      <c r="NZ66" s="3">
        <v>1737</v>
      </c>
      <c r="OA66" s="8">
        <v>1661</v>
      </c>
    </row>
    <row r="67" spans="1:391" s="4" customFormat="1" ht="12.75" x14ac:dyDescent="0.2">
      <c r="A67" s="4" t="s">
        <v>130</v>
      </c>
      <c r="B67" s="9">
        <v>7</v>
      </c>
      <c r="C67" s="4" t="s">
        <v>287</v>
      </c>
      <c r="D67" s="4" t="s">
        <v>287</v>
      </c>
      <c r="E67" s="4" t="s">
        <v>287</v>
      </c>
      <c r="F67" s="4" t="s">
        <v>287</v>
      </c>
      <c r="G67" s="4" t="s">
        <v>287</v>
      </c>
      <c r="H67" s="4" t="s">
        <v>287</v>
      </c>
      <c r="I67" s="4" t="s">
        <v>82</v>
      </c>
      <c r="J67" s="4" t="s">
        <v>269</v>
      </c>
      <c r="K67" s="4" t="s">
        <v>287</v>
      </c>
      <c r="L67" s="4" t="s">
        <v>287</v>
      </c>
      <c r="M67" s="4" t="s">
        <v>287</v>
      </c>
      <c r="N67" s="4" t="s">
        <v>287</v>
      </c>
      <c r="O67" s="129" t="s">
        <v>287</v>
      </c>
      <c r="P67" s="129" t="s">
        <v>287</v>
      </c>
      <c r="Q67" s="129" t="s">
        <v>287</v>
      </c>
      <c r="R67" s="129" t="s">
        <v>287</v>
      </c>
      <c r="S67" s="129" t="s">
        <v>287</v>
      </c>
      <c r="T67" s="41">
        <v>100100</v>
      </c>
      <c r="U67" s="42">
        <v>100600</v>
      </c>
      <c r="V67" s="42">
        <v>101500</v>
      </c>
      <c r="W67" s="42">
        <v>102400</v>
      </c>
      <c r="X67" s="42">
        <v>102800</v>
      </c>
      <c r="Y67" s="42">
        <v>103800</v>
      </c>
      <c r="Z67" s="42">
        <v>105000</v>
      </c>
      <c r="AA67" s="42">
        <v>105700</v>
      </c>
      <c r="AB67" s="42">
        <v>106100</v>
      </c>
      <c r="AC67" s="42">
        <v>106865</v>
      </c>
      <c r="AD67" s="41">
        <v>5400</v>
      </c>
      <c r="AE67" s="42">
        <v>5500</v>
      </c>
      <c r="AF67" s="42">
        <v>5700</v>
      </c>
      <c r="AG67" s="42">
        <v>5900</v>
      </c>
      <c r="AH67" s="42">
        <v>6000</v>
      </c>
      <c r="AI67" s="42">
        <v>6100</v>
      </c>
      <c r="AJ67" s="42">
        <v>6300</v>
      </c>
      <c r="AK67" s="42">
        <v>6300</v>
      </c>
      <c r="AL67" s="42">
        <v>6200</v>
      </c>
      <c r="AM67" s="42">
        <v>6068</v>
      </c>
      <c r="AN67" s="16">
        <v>6346</v>
      </c>
      <c r="AO67" s="4">
        <v>5367</v>
      </c>
      <c r="AP67" s="4">
        <v>203</v>
      </c>
      <c r="AQ67" s="4">
        <v>407</v>
      </c>
      <c r="AR67" s="4">
        <v>290</v>
      </c>
      <c r="AS67" s="4">
        <v>52</v>
      </c>
      <c r="AT67" s="4">
        <v>27</v>
      </c>
      <c r="AU67" s="4">
        <v>979</v>
      </c>
      <c r="AV67" s="21">
        <v>0.84572959344468956</v>
      </c>
      <c r="AW67" s="22">
        <v>3.1988654270406557E-2</v>
      </c>
      <c r="AX67" s="22">
        <v>6.4134888118499836E-2</v>
      </c>
      <c r="AY67" s="22">
        <v>4.5698077529152219E-2</v>
      </c>
      <c r="AZ67" s="22">
        <v>8.1941380397100531E-3</v>
      </c>
      <c r="BA67" s="22">
        <v>4.2546485975417589E-3</v>
      </c>
      <c r="BB67" s="22">
        <v>0.15427040655531044</v>
      </c>
      <c r="BC67" s="16">
        <v>14880</v>
      </c>
      <c r="BD67" s="4">
        <v>14481</v>
      </c>
      <c r="BE67" s="4">
        <v>399</v>
      </c>
      <c r="BF67" s="4">
        <v>328</v>
      </c>
      <c r="BG67" s="4">
        <v>71</v>
      </c>
      <c r="BH67" s="25">
        <v>0.82205513784461148</v>
      </c>
      <c r="BI67" s="22">
        <v>0.17794486215538846</v>
      </c>
      <c r="BJ67" s="41">
        <v>11895</v>
      </c>
      <c r="BK67" s="22">
        <v>0.63287095418242956</v>
      </c>
      <c r="BL67" s="22">
        <v>0.12761664564943254</v>
      </c>
      <c r="BM67" s="22">
        <v>0.23951240016813788</v>
      </c>
      <c r="BN67" s="41">
        <v>29264</v>
      </c>
      <c r="BO67" s="42">
        <v>2042</v>
      </c>
      <c r="BP67" s="42">
        <v>1933</v>
      </c>
      <c r="BQ67" s="42">
        <v>934</v>
      </c>
      <c r="BR67" s="42">
        <v>21200</v>
      </c>
      <c r="BS67" s="42">
        <v>12094</v>
      </c>
      <c r="BT67" s="22">
        <v>0.14304613858111459</v>
      </c>
      <c r="BU67" s="41">
        <v>6611</v>
      </c>
      <c r="BV67" s="42">
        <v>11</v>
      </c>
      <c r="BW67" s="42">
        <v>1759</v>
      </c>
      <c r="BX67" s="42">
        <v>2821</v>
      </c>
      <c r="BY67" s="42">
        <v>950</v>
      </c>
      <c r="BZ67" s="43">
        <v>12152</v>
      </c>
      <c r="CA67" s="42">
        <v>4957</v>
      </c>
      <c r="CB67" s="42">
        <v>3990</v>
      </c>
      <c r="CC67" s="42">
        <v>956</v>
      </c>
      <c r="CD67" s="42">
        <v>967</v>
      </c>
      <c r="CE67" s="22">
        <v>0.19285858382085938</v>
      </c>
      <c r="CF67" s="105">
        <v>0.19507766794432116</v>
      </c>
      <c r="CG67" s="42">
        <v>815</v>
      </c>
      <c r="CH67" s="42">
        <v>735</v>
      </c>
      <c r="CI67" s="42">
        <v>575</v>
      </c>
      <c r="CJ67" s="42">
        <v>585</v>
      </c>
      <c r="CK67" s="42">
        <v>535</v>
      </c>
      <c r="CL67" s="41">
        <v>2818</v>
      </c>
      <c r="CM67" s="42">
        <v>999</v>
      </c>
      <c r="CN67" s="22">
        <v>0.35450674237047552</v>
      </c>
      <c r="CO67" s="43">
        <v>287</v>
      </c>
      <c r="CP67" s="66">
        <v>1256</v>
      </c>
      <c r="CQ67" s="66">
        <v>1187</v>
      </c>
      <c r="CR67" s="66">
        <v>1268</v>
      </c>
      <c r="CS67" s="66">
        <v>1194</v>
      </c>
      <c r="CT67" s="66">
        <v>1119</v>
      </c>
      <c r="CU67" s="333">
        <v>1136</v>
      </c>
      <c r="CV67" s="42">
        <v>77</v>
      </c>
      <c r="CW67" s="42">
        <v>68</v>
      </c>
      <c r="CX67" s="42">
        <v>47</v>
      </c>
      <c r="CY67" s="42">
        <v>48</v>
      </c>
      <c r="CZ67" s="42">
        <v>42</v>
      </c>
      <c r="DA67" s="435">
        <v>29</v>
      </c>
      <c r="DB67" s="467" t="s">
        <v>287</v>
      </c>
      <c r="DC67" s="16">
        <v>67</v>
      </c>
      <c r="DD67" s="22">
        <v>5.9874888293118857E-2</v>
      </c>
      <c r="DE67" s="22">
        <v>4.7421919387742206E-2</v>
      </c>
      <c r="DF67" s="22">
        <v>7.5339364262638181E-2</v>
      </c>
      <c r="DG67" s="16">
        <v>114</v>
      </c>
      <c r="DH67" s="22">
        <v>1.7986746607762703E-2</v>
      </c>
      <c r="DI67" s="472" t="s">
        <v>287</v>
      </c>
      <c r="DJ67" s="473" t="s">
        <v>287</v>
      </c>
      <c r="DK67" s="4">
        <v>2346</v>
      </c>
      <c r="DL67" s="22">
        <v>4.9868208485672985E-2</v>
      </c>
      <c r="DM67" s="16">
        <v>1080</v>
      </c>
      <c r="DN67" s="4">
        <v>1075</v>
      </c>
      <c r="DO67" s="4">
        <v>1080</v>
      </c>
      <c r="DP67" s="4">
        <v>970</v>
      </c>
      <c r="DQ67" s="4">
        <v>880</v>
      </c>
      <c r="DR67" s="16">
        <v>895</v>
      </c>
      <c r="DS67" s="22">
        <v>0.15646853146853146</v>
      </c>
      <c r="DT67" s="22">
        <v>0.14728455536182358</v>
      </c>
      <c r="DU67" s="22">
        <v>0.16611361817708611</v>
      </c>
      <c r="DV67" s="4">
        <v>1070</v>
      </c>
      <c r="DW67" s="22">
        <v>0.18321917808219179</v>
      </c>
      <c r="DX67" s="22">
        <v>0.17350693172211379</v>
      </c>
      <c r="DY67" s="22">
        <v>0.19334789723372311</v>
      </c>
      <c r="DZ67" s="4">
        <v>1055</v>
      </c>
      <c r="EA67" s="22">
        <v>0.1774600504625736</v>
      </c>
      <c r="EB67" s="22">
        <v>0.16795740514684762</v>
      </c>
      <c r="EC67" s="22">
        <v>0.18737925552115159</v>
      </c>
      <c r="ED67" s="4">
        <v>1040</v>
      </c>
      <c r="EE67" s="22">
        <v>0.17049180327868851</v>
      </c>
      <c r="EF67" s="22">
        <v>0.16126262502676916</v>
      </c>
      <c r="EG67" s="22">
        <v>0.18013573416706666</v>
      </c>
      <c r="EH67" s="4">
        <v>915</v>
      </c>
      <c r="EI67" s="22">
        <v>0.15049342105263158</v>
      </c>
      <c r="EJ67" s="22">
        <v>0.14172674423547468</v>
      </c>
      <c r="EK67" s="22">
        <v>0.15970146871736088</v>
      </c>
      <c r="EL67" s="439">
        <v>925</v>
      </c>
      <c r="EM67" s="22">
        <v>0.16157205240174671</v>
      </c>
      <c r="EN67" s="22">
        <v>0.15226545392772459</v>
      </c>
      <c r="EO67" s="105">
        <v>0.17133251472723535</v>
      </c>
      <c r="EP67" s="41">
        <v>2635</v>
      </c>
      <c r="EQ67" s="22">
        <v>0.14770179372197309</v>
      </c>
      <c r="ER67" s="42">
        <v>2920</v>
      </c>
      <c r="ES67" s="22">
        <v>0.16168327796234774</v>
      </c>
      <c r="ET67" s="42">
        <v>2840</v>
      </c>
      <c r="EU67" s="22">
        <v>0.1560010985992859</v>
      </c>
      <c r="EV67" s="42">
        <v>2785</v>
      </c>
      <c r="EW67" s="22">
        <v>0.15156462585034014</v>
      </c>
      <c r="EX67" s="42">
        <v>2475</v>
      </c>
      <c r="EY67" s="22">
        <v>0.13407367280606716</v>
      </c>
      <c r="EZ67" s="42">
        <v>2455</v>
      </c>
      <c r="FA67" s="105">
        <v>0.13346017939657515</v>
      </c>
      <c r="FB67" s="4">
        <v>1170</v>
      </c>
      <c r="FC67" s="4">
        <v>53</v>
      </c>
      <c r="FD67" s="4">
        <v>1132</v>
      </c>
      <c r="FE67" s="22">
        <v>0.96752136752136753</v>
      </c>
      <c r="FF67" s="4">
        <v>461</v>
      </c>
      <c r="FG67" s="4">
        <v>605</v>
      </c>
      <c r="FH67" s="22">
        <v>0.40724381625441697</v>
      </c>
      <c r="FI67" s="22">
        <v>0.53445229681978801</v>
      </c>
      <c r="FJ67" s="22">
        <v>0.38300000000000001</v>
      </c>
      <c r="FK67" s="22">
        <v>0.44</v>
      </c>
      <c r="FL67" s="22">
        <v>0.51700000000000002</v>
      </c>
      <c r="FM67" s="105">
        <v>0.57499999999999996</v>
      </c>
      <c r="FN67" s="439">
        <v>1005</v>
      </c>
      <c r="FO67" s="439">
        <v>414</v>
      </c>
      <c r="FP67" s="439">
        <v>152</v>
      </c>
      <c r="FQ67" s="439">
        <v>566</v>
      </c>
      <c r="FR67" s="22">
        <v>0.41194029850746267</v>
      </c>
      <c r="FS67" s="22">
        <v>0.56318407960199002</v>
      </c>
      <c r="FT67" s="22">
        <v>0.38190238384790848</v>
      </c>
      <c r="FU67" s="22">
        <v>0.44264883928787763</v>
      </c>
      <c r="FV67" s="22">
        <v>0.53233622709188544</v>
      </c>
      <c r="FW67" s="105">
        <v>0.59355074839825672</v>
      </c>
      <c r="FX67" s="535" t="s">
        <v>287</v>
      </c>
      <c r="FY67" s="529" t="s">
        <v>287</v>
      </c>
      <c r="FZ67" s="529" t="s">
        <v>287</v>
      </c>
      <c r="GA67" s="346" t="s">
        <v>287</v>
      </c>
      <c r="GB67" s="529" t="s">
        <v>287</v>
      </c>
      <c r="GC67" s="529" t="s">
        <v>287</v>
      </c>
      <c r="GD67" s="529" t="s">
        <v>287</v>
      </c>
      <c r="GE67" s="346" t="s">
        <v>287</v>
      </c>
      <c r="GF67" s="346" t="s">
        <v>287</v>
      </c>
      <c r="GG67" s="346" t="s">
        <v>287</v>
      </c>
      <c r="GH67" s="346" t="s">
        <v>287</v>
      </c>
      <c r="GI67" s="346" t="s">
        <v>287</v>
      </c>
      <c r="GJ67" s="347" t="s">
        <v>287</v>
      </c>
      <c r="GK67" s="4">
        <v>808</v>
      </c>
      <c r="GL67" s="355">
        <v>66.256</v>
      </c>
      <c r="GM67" s="22">
        <v>8.2000000000000003E-2</v>
      </c>
      <c r="GN67" s="22">
        <v>6.3E-2</v>
      </c>
      <c r="GO67" s="22">
        <v>0.10100000000000001</v>
      </c>
      <c r="GP67" s="352" t="s">
        <v>725</v>
      </c>
      <c r="GQ67" s="4">
        <v>1027</v>
      </c>
      <c r="GR67" s="355">
        <v>86.268000000000001</v>
      </c>
      <c r="GS67" s="22">
        <v>8.4000000000000005E-2</v>
      </c>
      <c r="GT67" s="22">
        <v>6.7000000000000004E-2</v>
      </c>
      <c r="GU67" s="22">
        <v>0.10100000000000001</v>
      </c>
      <c r="GV67" s="4" t="s">
        <v>725</v>
      </c>
      <c r="GW67" s="4">
        <v>991</v>
      </c>
      <c r="GX67" s="355">
        <v>74.325000000000003</v>
      </c>
      <c r="GY67" s="22">
        <v>7.4999999999999997E-2</v>
      </c>
      <c r="GZ67" s="22">
        <v>5.8999999999999997E-2</v>
      </c>
      <c r="HA67" s="22">
        <v>9.0999999999999998E-2</v>
      </c>
      <c r="HB67" s="4" t="s">
        <v>726</v>
      </c>
      <c r="HC67" s="4">
        <v>1178</v>
      </c>
      <c r="HD67" s="355">
        <v>104.842</v>
      </c>
      <c r="HE67" s="22">
        <v>8.8999999999999996E-2</v>
      </c>
      <c r="HF67" s="22">
        <v>7.2999999999999995E-2</v>
      </c>
      <c r="HG67" s="22">
        <v>0.105</v>
      </c>
      <c r="HH67" s="4" t="s">
        <v>725</v>
      </c>
      <c r="HI67" s="4">
        <v>696</v>
      </c>
      <c r="HJ67" s="355">
        <v>57.999767999999996</v>
      </c>
      <c r="HK67" s="22">
        <v>8.333299999999999E-2</v>
      </c>
      <c r="HL67" s="22">
        <v>6.5016000000000004E-2</v>
      </c>
      <c r="HM67" s="22">
        <v>0.106225</v>
      </c>
      <c r="HN67" s="4" t="s">
        <v>792</v>
      </c>
      <c r="HO67" s="4">
        <v>1097</v>
      </c>
      <c r="HP67" s="4">
        <v>86.999999999999943</v>
      </c>
      <c r="HQ67" s="22">
        <v>7.9307201458523199E-2</v>
      </c>
      <c r="HR67" s="22">
        <v>6.4745428609291195E-2</v>
      </c>
      <c r="HS67" s="22">
        <v>9.6805044799669601E-2</v>
      </c>
      <c r="HT67" s="9" t="str">
        <f t="shared" si="0"/>
        <v>No Sig diff</v>
      </c>
      <c r="HU67" s="4">
        <v>890</v>
      </c>
      <c r="HV67" s="355">
        <v>132.60999999999999</v>
      </c>
      <c r="HW67" s="22">
        <v>0.14899999999999999</v>
      </c>
      <c r="HX67" s="22">
        <v>0.126</v>
      </c>
      <c r="HY67" s="22">
        <v>0.17199999999999999</v>
      </c>
      <c r="HZ67" s="4" t="s">
        <v>726</v>
      </c>
      <c r="IA67" s="4">
        <v>920</v>
      </c>
      <c r="IB67" s="355">
        <v>150.88</v>
      </c>
      <c r="IC67" s="22">
        <v>0.16400000000000001</v>
      </c>
      <c r="ID67" s="22">
        <v>0.14000000000000001</v>
      </c>
      <c r="IE67" s="22">
        <v>0.188</v>
      </c>
      <c r="IF67" s="4" t="s">
        <v>726</v>
      </c>
      <c r="IG67" s="4">
        <v>884</v>
      </c>
      <c r="IH67" s="355">
        <v>130.83199999999999</v>
      </c>
      <c r="II67" s="22">
        <v>0.14799999999999999</v>
      </c>
      <c r="IJ67" s="22">
        <v>0.125</v>
      </c>
      <c r="IK67" s="22">
        <v>0.17099999999999999</v>
      </c>
      <c r="IL67" s="4" t="s">
        <v>726</v>
      </c>
      <c r="IM67" s="4">
        <v>871</v>
      </c>
      <c r="IN67" s="355">
        <v>133.26300000000001</v>
      </c>
      <c r="IO67" s="22">
        <v>0.153</v>
      </c>
      <c r="IP67" s="22">
        <v>0.129</v>
      </c>
      <c r="IQ67" s="22">
        <v>0.17699999999999999</v>
      </c>
      <c r="IR67" s="4" t="s">
        <v>726</v>
      </c>
      <c r="IS67" s="4">
        <v>915</v>
      </c>
      <c r="IT67" s="355">
        <v>168.00040500000003</v>
      </c>
      <c r="IU67" s="22">
        <v>0.18360700000000002</v>
      </c>
      <c r="IV67" s="22">
        <v>0.159861</v>
      </c>
      <c r="IW67" s="22">
        <v>0.20999800000000002</v>
      </c>
      <c r="IX67" s="4" t="s">
        <v>792</v>
      </c>
      <c r="IY67" s="4">
        <v>977</v>
      </c>
      <c r="IZ67" s="4">
        <v>307.99999999999994</v>
      </c>
      <c r="JA67" s="22">
        <v>0.31525076765609</v>
      </c>
      <c r="JB67" s="22">
        <v>0.28688880777453701</v>
      </c>
      <c r="JC67" s="22">
        <v>0.34505986573071601</v>
      </c>
      <c r="JD67" s="9" t="str">
        <f t="shared" si="1"/>
        <v>No sig diff</v>
      </c>
      <c r="JE67" s="4">
        <v>1297</v>
      </c>
      <c r="JF67" s="4">
        <v>705</v>
      </c>
      <c r="JG67" s="22">
        <v>0.54356206630686199</v>
      </c>
      <c r="JH67" s="22">
        <v>0.51636542013974696</v>
      </c>
      <c r="JI67" s="22">
        <v>0.57050142995468545</v>
      </c>
      <c r="JJ67" s="4">
        <v>1297</v>
      </c>
      <c r="JK67" s="4">
        <v>34</v>
      </c>
      <c r="JL67" s="4">
        <v>259</v>
      </c>
      <c r="JM67" s="385">
        <v>24.980694980694977</v>
      </c>
      <c r="JN67" s="22">
        <v>0.265273677038383</v>
      </c>
      <c r="JO67" s="4">
        <v>1223</v>
      </c>
      <c r="JP67" s="4">
        <v>746</v>
      </c>
      <c r="JQ67" s="22">
        <v>0.60997547015535569</v>
      </c>
      <c r="JR67" s="22">
        <v>0.58233564728209375</v>
      </c>
      <c r="JS67" s="22">
        <v>0.63692658751275677</v>
      </c>
      <c r="JT67" s="4">
        <v>1223</v>
      </c>
      <c r="JU67" s="4">
        <v>34</v>
      </c>
      <c r="JV67" s="4">
        <v>244</v>
      </c>
      <c r="JW67" s="385">
        <v>25.426229508196734</v>
      </c>
      <c r="JX67" s="22">
        <v>0.2521697203471549</v>
      </c>
      <c r="JY67" s="42">
        <v>1286</v>
      </c>
      <c r="JZ67" s="42">
        <v>807</v>
      </c>
      <c r="KA67" s="22">
        <v>0.6275272161741835</v>
      </c>
      <c r="KB67" s="22">
        <v>0.60076050315139085</v>
      </c>
      <c r="KC67" s="22">
        <v>0.65353431560865383</v>
      </c>
      <c r="KD67" s="439">
        <v>34</v>
      </c>
      <c r="KE67" s="439">
        <v>257</v>
      </c>
      <c r="KF67" s="385">
        <v>24.326848249027236</v>
      </c>
      <c r="KG67" s="105">
        <v>0.28450446326390483</v>
      </c>
      <c r="KH67" s="22"/>
      <c r="KI67" s="22"/>
      <c r="KJ67" s="22"/>
      <c r="KK67" s="22"/>
      <c r="KL67" s="22"/>
      <c r="KM67" s="22"/>
      <c r="KN67" s="22"/>
      <c r="KO67" s="22"/>
      <c r="KP67" s="22"/>
      <c r="KQ67" s="22"/>
      <c r="KR67" s="22"/>
      <c r="KS67" s="22"/>
      <c r="KT67" s="22"/>
      <c r="KU67" s="22"/>
      <c r="KV67" s="22"/>
      <c r="KW67" s="105"/>
      <c r="KX67" s="439">
        <v>49</v>
      </c>
      <c r="KY67" s="439">
        <v>460</v>
      </c>
      <c r="KZ67" s="22">
        <v>0.10652173913043478</v>
      </c>
      <c r="LA67" s="22">
        <v>8.1516671517349815E-2</v>
      </c>
      <c r="LB67" s="22">
        <v>0.13804425147479416</v>
      </c>
      <c r="LC67" s="439">
        <v>37</v>
      </c>
      <c r="LD67" s="439">
        <v>460</v>
      </c>
      <c r="LE67" s="22">
        <v>8.0434782608695646E-2</v>
      </c>
      <c r="LF67" s="22">
        <v>5.891674887057962E-2</v>
      </c>
      <c r="LG67" s="22">
        <v>0.10890235686137498</v>
      </c>
      <c r="LH67" s="439">
        <v>43</v>
      </c>
      <c r="LI67" s="439">
        <v>458</v>
      </c>
      <c r="LJ67" s="22">
        <v>9.3886462882096067E-2</v>
      </c>
      <c r="LK67" s="22">
        <v>7.0449992451338497E-2</v>
      </c>
      <c r="LL67" s="22">
        <v>0.12407879465691088</v>
      </c>
      <c r="LM67" s="439">
        <v>91</v>
      </c>
      <c r="LN67" s="439">
        <v>457</v>
      </c>
      <c r="LO67" s="22">
        <v>0.19912472647702406</v>
      </c>
      <c r="LP67" s="22">
        <v>0.16508652974029139</v>
      </c>
      <c r="LQ67" s="105">
        <v>0.23817896485359236</v>
      </c>
      <c r="LR67" s="129" t="s">
        <v>287</v>
      </c>
      <c r="LS67" s="129" t="s">
        <v>287</v>
      </c>
      <c r="LT67" s="129" t="s">
        <v>287</v>
      </c>
      <c r="LU67" s="129" t="s">
        <v>287</v>
      </c>
      <c r="LV67" s="129" t="s">
        <v>287</v>
      </c>
      <c r="LW67" s="129" t="s">
        <v>287</v>
      </c>
      <c r="LX67" s="129" t="s">
        <v>287</v>
      </c>
      <c r="LY67" s="129" t="s">
        <v>287</v>
      </c>
      <c r="LZ67" s="129" t="s">
        <v>287</v>
      </c>
      <c r="MA67" s="129" t="s">
        <v>287</v>
      </c>
      <c r="MB67" s="129" t="s">
        <v>287</v>
      </c>
      <c r="MC67" s="129" t="s">
        <v>287</v>
      </c>
      <c r="MD67" s="129" t="s">
        <v>287</v>
      </c>
      <c r="ME67" s="129" t="s">
        <v>287</v>
      </c>
      <c r="MF67" s="129" t="s">
        <v>287</v>
      </c>
      <c r="MG67" s="129" t="s">
        <v>287</v>
      </c>
      <c r="MH67" s="129" t="s">
        <v>287</v>
      </c>
      <c r="MI67" s="129" t="s">
        <v>287</v>
      </c>
      <c r="MJ67" s="129" t="s">
        <v>287</v>
      </c>
      <c r="MK67" s="129" t="s">
        <v>287</v>
      </c>
      <c r="ML67" s="129" t="s">
        <v>287</v>
      </c>
      <c r="MM67" s="129" t="s">
        <v>287</v>
      </c>
      <c r="MN67" s="137" t="s">
        <v>287</v>
      </c>
      <c r="MO67" s="4">
        <v>1147</v>
      </c>
      <c r="MP67" s="25">
        <v>0.88</v>
      </c>
      <c r="MQ67" s="25">
        <v>1.0999999999999999E-2</v>
      </c>
      <c r="MR67" s="25">
        <v>0.88100000000000001</v>
      </c>
      <c r="MS67" s="4">
        <v>1009</v>
      </c>
      <c r="MT67" s="4">
        <v>13</v>
      </c>
      <c r="MU67" s="4">
        <v>1010</v>
      </c>
      <c r="MV67" s="4">
        <v>1166</v>
      </c>
      <c r="MW67" s="25">
        <v>0.96499999999999997</v>
      </c>
      <c r="MX67" s="25">
        <v>0.92</v>
      </c>
      <c r="MY67" s="25">
        <v>0.95499999999999996</v>
      </c>
      <c r="MZ67" s="25">
        <v>0.91900000000000004</v>
      </c>
      <c r="NA67" s="25">
        <v>0.91600000000000004</v>
      </c>
      <c r="NB67" s="4">
        <v>1125</v>
      </c>
      <c r="NC67" s="4">
        <v>1073</v>
      </c>
      <c r="ND67" s="4">
        <v>1114</v>
      </c>
      <c r="NE67" s="4">
        <v>1072</v>
      </c>
      <c r="NF67" s="4">
        <v>1068</v>
      </c>
      <c r="NG67" s="4">
        <v>1322</v>
      </c>
      <c r="NH67" s="25">
        <v>0.96299999999999997</v>
      </c>
      <c r="NI67" s="25">
        <v>0.92800000000000005</v>
      </c>
      <c r="NJ67" s="25">
        <v>0.96299999999999997</v>
      </c>
      <c r="NK67" s="25">
        <v>0.95899999999999996</v>
      </c>
      <c r="NL67" s="25">
        <v>0.95799999999999996</v>
      </c>
      <c r="NM67" s="25">
        <v>0.89600000000000002</v>
      </c>
      <c r="NN67" s="25">
        <v>0.94899999999999995</v>
      </c>
      <c r="NO67" s="25">
        <v>0.92700000000000005</v>
      </c>
      <c r="NP67" s="25">
        <v>0.96299999999999997</v>
      </c>
      <c r="NQ67" s="25">
        <v>0.91500000000000004</v>
      </c>
      <c r="NR67" s="4">
        <v>1273</v>
      </c>
      <c r="NS67" s="4">
        <v>1227</v>
      </c>
      <c r="NT67" s="4">
        <v>1273</v>
      </c>
      <c r="NU67" s="4">
        <v>1268</v>
      </c>
      <c r="NV67" s="4">
        <v>1266</v>
      </c>
      <c r="NW67" s="4">
        <v>1184</v>
      </c>
      <c r="NX67" s="4">
        <v>1254</v>
      </c>
      <c r="NY67" s="4">
        <v>1226</v>
      </c>
      <c r="NZ67" s="4">
        <v>1273</v>
      </c>
      <c r="OA67" s="9">
        <v>1210</v>
      </c>
    </row>
    <row r="68" spans="1:391" s="3" customFormat="1" x14ac:dyDescent="0.25">
      <c r="A68" s="11" t="s">
        <v>131</v>
      </c>
      <c r="B68" s="8">
        <v>1</v>
      </c>
      <c r="C68" s="11" t="s">
        <v>287</v>
      </c>
      <c r="D68" s="11" t="s">
        <v>287</v>
      </c>
      <c r="E68" s="11" t="s">
        <v>287</v>
      </c>
      <c r="F68" s="11" t="s">
        <v>287</v>
      </c>
      <c r="G68" s="11" t="s">
        <v>287</v>
      </c>
      <c r="H68" s="11" t="s">
        <v>287</v>
      </c>
      <c r="I68" s="11" t="s">
        <v>287</v>
      </c>
      <c r="J68" s="11" t="s">
        <v>269</v>
      </c>
      <c r="K68" s="11" t="s">
        <v>287</v>
      </c>
      <c r="L68" s="11" t="s">
        <v>287</v>
      </c>
      <c r="M68" s="11" t="s">
        <v>287</v>
      </c>
      <c r="N68" s="11" t="s">
        <v>287</v>
      </c>
      <c r="O68" s="128" t="s">
        <v>287</v>
      </c>
      <c r="P68" s="128" t="s">
        <v>287</v>
      </c>
      <c r="Q68" s="128" t="s">
        <v>287</v>
      </c>
      <c r="R68" s="128" t="s">
        <v>287</v>
      </c>
      <c r="S68" s="128" t="s">
        <v>287</v>
      </c>
      <c r="T68" s="38">
        <v>462250</v>
      </c>
      <c r="U68" s="39">
        <v>465500</v>
      </c>
      <c r="V68" s="39">
        <v>468900</v>
      </c>
      <c r="W68" s="39">
        <v>472100</v>
      </c>
      <c r="X68" s="39">
        <v>474150</v>
      </c>
      <c r="Y68" s="39">
        <v>477450</v>
      </c>
      <c r="Z68" s="39">
        <v>480050</v>
      </c>
      <c r="AA68" s="39">
        <v>483500</v>
      </c>
      <c r="AB68" s="39">
        <v>487050</v>
      </c>
      <c r="AC68" s="44">
        <v>490490</v>
      </c>
      <c r="AD68" s="38">
        <v>22550</v>
      </c>
      <c r="AE68" s="39">
        <v>22850</v>
      </c>
      <c r="AF68" s="39">
        <v>23450</v>
      </c>
      <c r="AG68" s="39">
        <v>24000</v>
      </c>
      <c r="AH68" s="39">
        <v>24500</v>
      </c>
      <c r="AI68" s="39">
        <v>25050</v>
      </c>
      <c r="AJ68" s="39">
        <v>25500</v>
      </c>
      <c r="AK68" s="39">
        <v>26150</v>
      </c>
      <c r="AL68" s="39">
        <v>26300</v>
      </c>
      <c r="AM68" s="44">
        <v>26213</v>
      </c>
      <c r="AN68" s="15">
        <v>25386</v>
      </c>
      <c r="AO68" s="3">
        <v>22407</v>
      </c>
      <c r="AP68" s="3">
        <v>1052</v>
      </c>
      <c r="AQ68" s="3">
        <v>1029</v>
      </c>
      <c r="AR68" s="3">
        <v>663</v>
      </c>
      <c r="AS68" s="3">
        <v>138</v>
      </c>
      <c r="AT68" s="3">
        <v>97</v>
      </c>
      <c r="AU68" s="11">
        <v>2979</v>
      </c>
      <c r="AV68" s="18">
        <v>0.88265185535334434</v>
      </c>
      <c r="AW68" s="19">
        <v>4.1440163869849521E-2</v>
      </c>
      <c r="AX68" s="19">
        <v>4.0534152682580947E-2</v>
      </c>
      <c r="AY68" s="19">
        <v>2.6116757267785392E-2</v>
      </c>
      <c r="AZ68" s="19">
        <v>5.4360671236114389E-3</v>
      </c>
      <c r="BA68" s="19">
        <v>3.8210037028283306E-3</v>
      </c>
      <c r="BB68" s="20">
        <v>0.11734814464665566</v>
      </c>
      <c r="BC68" s="15">
        <v>64637</v>
      </c>
      <c r="BD68" s="3">
        <v>63175</v>
      </c>
      <c r="BE68" s="3">
        <v>1462</v>
      </c>
      <c r="BF68" s="3">
        <v>1202</v>
      </c>
      <c r="BG68" s="3">
        <v>260</v>
      </c>
      <c r="BH68" s="19">
        <v>0.82216142270861836</v>
      </c>
      <c r="BI68" s="20">
        <v>0.17783857729138167</v>
      </c>
      <c r="BJ68" s="38">
        <v>49115</v>
      </c>
      <c r="BK68" s="20">
        <v>0.61329532729308767</v>
      </c>
      <c r="BL68" s="20">
        <v>0.15492212155146085</v>
      </c>
      <c r="BM68" s="20">
        <v>0.23178255115545149</v>
      </c>
      <c r="BN68" s="38">
        <v>139438</v>
      </c>
      <c r="BO68" s="39">
        <v>7981</v>
      </c>
      <c r="BP68" s="39">
        <v>8059</v>
      </c>
      <c r="BQ68" s="39">
        <v>3750</v>
      </c>
      <c r="BR68" s="39">
        <v>90716</v>
      </c>
      <c r="BS68" s="39">
        <v>51681</v>
      </c>
      <c r="BT68" s="20">
        <v>0.1411930883690331</v>
      </c>
      <c r="BU68" s="38">
        <v>29451</v>
      </c>
      <c r="BV68" s="39">
        <v>34</v>
      </c>
      <c r="BW68" s="39">
        <v>7317</v>
      </c>
      <c r="BX68" s="39">
        <v>11198</v>
      </c>
      <c r="BY68" s="39">
        <v>3972</v>
      </c>
      <c r="BZ68" s="40">
        <v>51972</v>
      </c>
      <c r="CA68" s="39">
        <v>19950</v>
      </c>
      <c r="CB68" s="39">
        <v>16409</v>
      </c>
      <c r="CC68" s="39">
        <v>3490</v>
      </c>
      <c r="CD68" s="39">
        <v>3541</v>
      </c>
      <c r="CE68" s="19">
        <v>0.174937343358396</v>
      </c>
      <c r="CF68" s="104">
        <v>0.17749373433583959</v>
      </c>
      <c r="CG68" s="39">
        <v>3270</v>
      </c>
      <c r="CH68" s="39">
        <v>2980</v>
      </c>
      <c r="CI68" s="39">
        <v>2590</v>
      </c>
      <c r="CJ68" s="39">
        <v>2500</v>
      </c>
      <c r="CK68" s="44">
        <v>2350</v>
      </c>
      <c r="CL68" s="38">
        <v>11170</v>
      </c>
      <c r="CM68" s="39">
        <v>3826</v>
      </c>
      <c r="CN68" s="19">
        <v>0.34252461951656221</v>
      </c>
      <c r="CO68" s="44">
        <v>1065</v>
      </c>
      <c r="CP68" s="38">
        <v>4877</v>
      </c>
      <c r="CQ68" s="44">
        <v>4871</v>
      </c>
      <c r="CR68" s="44">
        <v>5013</v>
      </c>
      <c r="CS68" s="44">
        <v>5009</v>
      </c>
      <c r="CT68" s="44">
        <v>4674</v>
      </c>
      <c r="CU68" s="120" t="s">
        <v>474</v>
      </c>
      <c r="CV68" s="39">
        <v>299</v>
      </c>
      <c r="CW68" s="39">
        <v>254</v>
      </c>
      <c r="CX68" s="39">
        <v>239</v>
      </c>
      <c r="CY68" s="39">
        <v>228</v>
      </c>
      <c r="CZ68" s="39">
        <v>213</v>
      </c>
      <c r="DA68" s="126" t="s">
        <v>474</v>
      </c>
      <c r="DB68" s="379" t="s">
        <v>287</v>
      </c>
      <c r="DC68" s="15">
        <v>310</v>
      </c>
      <c r="DD68" s="19">
        <v>6.6324347454000857E-2</v>
      </c>
      <c r="DE68" s="19">
        <v>5.9540441409266585E-2</v>
      </c>
      <c r="DF68" s="20">
        <v>7.3820525248625979E-2</v>
      </c>
      <c r="DG68" s="15">
        <v>470</v>
      </c>
      <c r="DH68" s="20">
        <v>1.8530200283866899E-2</v>
      </c>
      <c r="DI68" s="470" t="s">
        <v>287</v>
      </c>
      <c r="DJ68" s="471" t="s">
        <v>287</v>
      </c>
      <c r="DK68" s="3">
        <v>8575</v>
      </c>
      <c r="DL68" s="20">
        <v>4.0440101489327585E-2</v>
      </c>
      <c r="DM68" s="15">
        <v>4350</v>
      </c>
      <c r="DN68" s="3">
        <v>4315</v>
      </c>
      <c r="DO68" s="3">
        <v>4420</v>
      </c>
      <c r="DP68" s="3">
        <v>4155</v>
      </c>
      <c r="DQ68" s="11">
        <v>3740</v>
      </c>
      <c r="DR68" s="15">
        <v>3775</v>
      </c>
      <c r="DS68" s="19">
        <v>0.16036533559898045</v>
      </c>
      <c r="DT68" s="19">
        <v>0.15573326262737017</v>
      </c>
      <c r="DU68" s="19">
        <v>0.16510823947128797</v>
      </c>
      <c r="DV68" s="3">
        <v>4225</v>
      </c>
      <c r="DW68" s="19">
        <v>0.17542038613244759</v>
      </c>
      <c r="DX68" s="19">
        <v>0.17066904640483549</v>
      </c>
      <c r="DY68" s="19">
        <v>0.18027524758590444</v>
      </c>
      <c r="DZ68" s="3">
        <v>4225</v>
      </c>
      <c r="EA68" s="19">
        <v>0.17227319062181448</v>
      </c>
      <c r="EB68" s="19">
        <v>0.16759858303394268</v>
      </c>
      <c r="EC68" s="19">
        <v>0.17705044871968101</v>
      </c>
      <c r="ED68" s="3">
        <v>4285</v>
      </c>
      <c r="EE68" s="19">
        <v>0.17188126754913757</v>
      </c>
      <c r="EF68" s="19">
        <v>0.16724865541324069</v>
      </c>
      <c r="EG68" s="19">
        <v>0.17661498360847847</v>
      </c>
      <c r="EH68" s="3">
        <v>4060</v>
      </c>
      <c r="EI68" s="20">
        <v>0.15946582875098192</v>
      </c>
      <c r="EJ68" s="20">
        <v>0.1550201695574164</v>
      </c>
      <c r="EK68" s="20">
        <v>0.16401423347868127</v>
      </c>
      <c r="EL68" s="438">
        <v>4015</v>
      </c>
      <c r="EM68" s="20">
        <v>0.1672219908371512</v>
      </c>
      <c r="EN68" s="20">
        <v>0.16255507036837621</v>
      </c>
      <c r="EO68" s="104">
        <v>0.17199537932111847</v>
      </c>
      <c r="EP68" s="38">
        <v>11485</v>
      </c>
      <c r="EQ68" s="20">
        <v>0.14697037558385054</v>
      </c>
      <c r="ER68" s="44">
        <v>12295</v>
      </c>
      <c r="ES68" s="20">
        <v>0.15576106923418001</v>
      </c>
      <c r="ET68" s="44">
        <v>11720</v>
      </c>
      <c r="EU68" s="20">
        <v>0.14810134580147849</v>
      </c>
      <c r="EV68" s="44">
        <v>11535</v>
      </c>
      <c r="EW68" s="20">
        <v>0.14529537725154301</v>
      </c>
      <c r="EX68" s="44">
        <v>10680</v>
      </c>
      <c r="EY68" s="20">
        <v>0.13344161929155995</v>
      </c>
      <c r="EZ68" s="44">
        <v>10475</v>
      </c>
      <c r="FA68" s="104">
        <v>0.13121633471126143</v>
      </c>
      <c r="FB68" s="495" t="s">
        <v>287</v>
      </c>
      <c r="FC68" s="495" t="s">
        <v>287</v>
      </c>
      <c r="FD68" s="495" t="s">
        <v>287</v>
      </c>
      <c r="FE68" s="496" t="s">
        <v>287</v>
      </c>
      <c r="FF68" s="495" t="s">
        <v>287</v>
      </c>
      <c r="FG68" s="495" t="s">
        <v>287</v>
      </c>
      <c r="FH68" s="496" t="s">
        <v>287</v>
      </c>
      <c r="FI68" s="496" t="s">
        <v>287</v>
      </c>
      <c r="FJ68" s="496" t="s">
        <v>287</v>
      </c>
      <c r="FK68" s="496" t="s">
        <v>287</v>
      </c>
      <c r="FL68" s="496" t="s">
        <v>287</v>
      </c>
      <c r="FM68" s="345" t="s">
        <v>287</v>
      </c>
      <c r="FN68" s="534">
        <v>4048</v>
      </c>
      <c r="FO68" s="534">
        <v>1552</v>
      </c>
      <c r="FP68" s="534">
        <v>563</v>
      </c>
      <c r="FQ68" s="534">
        <v>2115</v>
      </c>
      <c r="FR68" s="497">
        <v>0.38339920948616601</v>
      </c>
      <c r="FS68" s="497">
        <v>0.52248023715415015</v>
      </c>
      <c r="FT68" s="344">
        <v>0.36853839259062021</v>
      </c>
      <c r="FU68" s="344">
        <v>0.39848111950185067</v>
      </c>
      <c r="FV68" s="344">
        <v>0.50707904598696663</v>
      </c>
      <c r="FW68" s="345">
        <v>0.53783880231723913</v>
      </c>
      <c r="FX68" s="534" t="s">
        <v>287</v>
      </c>
      <c r="FY68" s="528" t="s">
        <v>287</v>
      </c>
      <c r="FZ68" s="528" t="s">
        <v>287</v>
      </c>
      <c r="GA68" s="344" t="s">
        <v>287</v>
      </c>
      <c r="GB68" s="528" t="s">
        <v>287</v>
      </c>
      <c r="GC68" s="528" t="s">
        <v>287</v>
      </c>
      <c r="GD68" s="528" t="s">
        <v>287</v>
      </c>
      <c r="GE68" s="344" t="s">
        <v>287</v>
      </c>
      <c r="GF68" s="344" t="s">
        <v>287</v>
      </c>
      <c r="GG68" s="344" t="s">
        <v>287</v>
      </c>
      <c r="GH68" s="344" t="s">
        <v>287</v>
      </c>
      <c r="GI68" s="344" t="s">
        <v>287</v>
      </c>
      <c r="GJ68" s="345" t="s">
        <v>287</v>
      </c>
      <c r="GK68" s="495" t="s">
        <v>287</v>
      </c>
      <c r="GL68" s="501" t="s">
        <v>287</v>
      </c>
      <c r="GM68" s="496" t="s">
        <v>287</v>
      </c>
      <c r="GN68" s="496" t="s">
        <v>287</v>
      </c>
      <c r="GO68" s="496" t="s">
        <v>287</v>
      </c>
      <c r="GP68" s="514" t="s">
        <v>287</v>
      </c>
      <c r="GQ68" s="495" t="s">
        <v>287</v>
      </c>
      <c r="GR68" s="501" t="s">
        <v>287</v>
      </c>
      <c r="GS68" s="496" t="s">
        <v>287</v>
      </c>
      <c r="GT68" s="496" t="s">
        <v>287</v>
      </c>
      <c r="GU68" s="496" t="s">
        <v>287</v>
      </c>
      <c r="GV68" s="503" t="s">
        <v>287</v>
      </c>
      <c r="GW68" s="495" t="s">
        <v>287</v>
      </c>
      <c r="GX68" s="501" t="s">
        <v>287</v>
      </c>
      <c r="GY68" s="496" t="s">
        <v>287</v>
      </c>
      <c r="GZ68" s="496" t="s">
        <v>287</v>
      </c>
      <c r="HA68" s="496" t="s">
        <v>287</v>
      </c>
      <c r="HB68" s="503" t="s">
        <v>287</v>
      </c>
      <c r="HC68" s="495" t="s">
        <v>287</v>
      </c>
      <c r="HD68" s="501" t="s">
        <v>287</v>
      </c>
      <c r="HE68" s="496" t="s">
        <v>287</v>
      </c>
      <c r="HF68" s="496" t="s">
        <v>287</v>
      </c>
      <c r="HG68" s="496" t="s">
        <v>287</v>
      </c>
      <c r="HH68" s="503" t="s">
        <v>287</v>
      </c>
      <c r="HI68" s="3">
        <v>3218</v>
      </c>
      <c r="HJ68" s="3">
        <v>296</v>
      </c>
      <c r="HK68" s="19">
        <v>9.1982597886886258E-2</v>
      </c>
      <c r="HL68" s="19">
        <v>8.2478028547678939E-2</v>
      </c>
      <c r="HM68" s="19">
        <v>0.10246014002340673</v>
      </c>
      <c r="HN68" s="11" t="s">
        <v>792</v>
      </c>
      <c r="HO68" s="11">
        <v>4454</v>
      </c>
      <c r="HP68" s="11">
        <v>353</v>
      </c>
      <c r="HQ68" s="497">
        <v>7.9254602604400537E-2</v>
      </c>
      <c r="HR68" s="497">
        <v>7.1678985756416833E-2</v>
      </c>
      <c r="HS68" s="497">
        <v>8.755535790022817E-2</v>
      </c>
      <c r="HT68" s="8" t="str">
        <f t="shared" si="0"/>
        <v>Sig better than Eng.</v>
      </c>
      <c r="HU68" s="495" t="s">
        <v>287</v>
      </c>
      <c r="HV68" s="501" t="s">
        <v>287</v>
      </c>
      <c r="HW68" s="496" t="s">
        <v>287</v>
      </c>
      <c r="HX68" s="496" t="s">
        <v>287</v>
      </c>
      <c r="HY68" s="496" t="s">
        <v>287</v>
      </c>
      <c r="HZ68" s="495" t="s">
        <v>287</v>
      </c>
      <c r="IA68" s="495" t="s">
        <v>287</v>
      </c>
      <c r="IB68" s="501" t="s">
        <v>287</v>
      </c>
      <c r="IC68" s="496" t="s">
        <v>287</v>
      </c>
      <c r="ID68" s="496" t="s">
        <v>287</v>
      </c>
      <c r="IE68" s="496" t="s">
        <v>287</v>
      </c>
      <c r="IF68" s="495" t="s">
        <v>287</v>
      </c>
      <c r="IG68" s="495" t="s">
        <v>287</v>
      </c>
      <c r="IH68" s="501" t="s">
        <v>287</v>
      </c>
      <c r="II68" s="496" t="s">
        <v>287</v>
      </c>
      <c r="IJ68" s="496" t="s">
        <v>287</v>
      </c>
      <c r="IK68" s="496" t="s">
        <v>287</v>
      </c>
      <c r="IL68" s="495" t="s">
        <v>287</v>
      </c>
      <c r="IM68" s="495" t="s">
        <v>287</v>
      </c>
      <c r="IN68" s="501" t="s">
        <v>287</v>
      </c>
      <c r="IO68" s="496" t="s">
        <v>287</v>
      </c>
      <c r="IP68" s="496" t="s">
        <v>287</v>
      </c>
      <c r="IQ68" s="496" t="s">
        <v>287</v>
      </c>
      <c r="IR68" s="495" t="s">
        <v>287</v>
      </c>
      <c r="IS68" s="3">
        <v>3933</v>
      </c>
      <c r="IT68" s="3">
        <v>674</v>
      </c>
      <c r="IU68" s="19">
        <v>0.17137045512331553</v>
      </c>
      <c r="IV68" s="19">
        <v>0.15991551302742066</v>
      </c>
      <c r="IW68" s="19">
        <v>0.18346673209495384</v>
      </c>
      <c r="IX68" s="11" t="s">
        <v>792</v>
      </c>
      <c r="IY68" s="11">
        <v>4152</v>
      </c>
      <c r="IZ68" s="11">
        <v>673</v>
      </c>
      <c r="JA68" s="497">
        <v>0.16209055876685935</v>
      </c>
      <c r="JB68" s="497">
        <v>0.15119396217861408</v>
      </c>
      <c r="JC68" s="497">
        <v>0.17361184963975576</v>
      </c>
      <c r="JD68" s="8" t="str">
        <f t="shared" si="1"/>
        <v>Sig better than Eng.</v>
      </c>
      <c r="JE68" s="3">
        <v>5155</v>
      </c>
      <c r="JF68" s="3">
        <v>2669</v>
      </c>
      <c r="JG68" s="19">
        <v>0.51774975751697383</v>
      </c>
      <c r="JH68" s="19">
        <v>0.50410112467583079</v>
      </c>
      <c r="JI68" s="19">
        <v>0.53137195614294552</v>
      </c>
      <c r="JJ68" s="3">
        <v>5155</v>
      </c>
      <c r="JK68" s="3">
        <v>34</v>
      </c>
      <c r="JL68" s="3">
        <v>1031</v>
      </c>
      <c r="JM68" s="383">
        <v>23.428709990300685</v>
      </c>
      <c r="JN68" s="19">
        <v>0.31092029440292102</v>
      </c>
      <c r="JO68" s="3">
        <v>5159</v>
      </c>
      <c r="JP68" s="3">
        <v>2997</v>
      </c>
      <c r="JQ68" s="19">
        <v>0.58092653615041678</v>
      </c>
      <c r="JR68" s="19">
        <v>0.56740729295358927</v>
      </c>
      <c r="JS68" s="19">
        <v>0.59432535110686424</v>
      </c>
      <c r="JT68" s="3">
        <v>5159</v>
      </c>
      <c r="JU68" s="3">
        <v>34</v>
      </c>
      <c r="JV68" s="3">
        <v>1031</v>
      </c>
      <c r="JW68" s="383">
        <v>24.20368574199804</v>
      </c>
      <c r="JX68" s="497">
        <v>0.28812688994123414</v>
      </c>
      <c r="JY68" s="44">
        <v>5438</v>
      </c>
      <c r="JZ68" s="44">
        <v>3406</v>
      </c>
      <c r="KA68" s="497">
        <v>0.626</v>
      </c>
      <c r="KB68" s="497">
        <v>0.61338453380023994</v>
      </c>
      <c r="KC68" s="497">
        <v>0.63910352752923527</v>
      </c>
      <c r="KD68" s="532">
        <v>34</v>
      </c>
      <c r="KE68" s="438">
        <v>1087</v>
      </c>
      <c r="KF68" s="384">
        <v>24.1</v>
      </c>
      <c r="KG68" s="104">
        <v>0.28999999999999998</v>
      </c>
      <c r="KH68" s="19"/>
      <c r="KI68" s="19"/>
      <c r="KJ68" s="19"/>
      <c r="KK68" s="19"/>
      <c r="KL68" s="19"/>
      <c r="KM68" s="19"/>
      <c r="KN68" s="19"/>
      <c r="KO68" s="19"/>
      <c r="KP68" s="19"/>
      <c r="KQ68" s="19"/>
      <c r="KR68" s="19"/>
      <c r="KS68" s="19"/>
      <c r="KT68" s="19"/>
      <c r="KU68" s="19"/>
      <c r="KV68" s="19"/>
      <c r="KW68" s="104"/>
      <c r="KX68" s="438">
        <v>262</v>
      </c>
      <c r="KY68" s="438">
        <v>2065</v>
      </c>
      <c r="KZ68" s="497">
        <v>0.12687651331719127</v>
      </c>
      <c r="LA68" s="497">
        <v>0.11321050452041254</v>
      </c>
      <c r="LB68" s="497">
        <v>0.14192816575816</v>
      </c>
      <c r="LC68" s="438">
        <v>196</v>
      </c>
      <c r="LD68" s="438">
        <v>2065</v>
      </c>
      <c r="LE68" s="497">
        <v>9.4915254237288138E-2</v>
      </c>
      <c r="LF68" s="497">
        <v>8.3015225726173966E-2</v>
      </c>
      <c r="LG68" s="497">
        <v>0.10831961877483309</v>
      </c>
      <c r="LH68" s="438">
        <v>231</v>
      </c>
      <c r="LI68" s="438">
        <v>2054</v>
      </c>
      <c r="LJ68" s="497">
        <v>0.1124634858812074</v>
      </c>
      <c r="LK68" s="497">
        <v>9.9517496909904538E-2</v>
      </c>
      <c r="LL68" s="497">
        <v>0.12685633612952607</v>
      </c>
      <c r="LM68" s="438">
        <v>417</v>
      </c>
      <c r="LN68" s="438">
        <v>2041</v>
      </c>
      <c r="LO68" s="497">
        <v>0.20431161195492406</v>
      </c>
      <c r="LP68" s="497">
        <v>0.18738249956944789</v>
      </c>
      <c r="LQ68" s="104">
        <v>0.22235169043660574</v>
      </c>
      <c r="LR68" s="495" t="s">
        <v>287</v>
      </c>
      <c r="LS68" s="495" t="s">
        <v>287</v>
      </c>
      <c r="LT68" s="495" t="s">
        <v>287</v>
      </c>
      <c r="LU68" s="495" t="s">
        <v>287</v>
      </c>
      <c r="LV68" s="495" t="s">
        <v>287</v>
      </c>
      <c r="LW68" s="495" t="s">
        <v>287</v>
      </c>
      <c r="LX68" s="495" t="s">
        <v>287</v>
      </c>
      <c r="LY68" s="495" t="s">
        <v>287</v>
      </c>
      <c r="LZ68" s="495" t="s">
        <v>287</v>
      </c>
      <c r="MA68" s="495" t="s">
        <v>287</v>
      </c>
      <c r="MB68" s="495" t="s">
        <v>287</v>
      </c>
      <c r="MC68" s="495" t="s">
        <v>287</v>
      </c>
      <c r="MD68" s="495" t="s">
        <v>287</v>
      </c>
      <c r="ME68" s="495" t="s">
        <v>287</v>
      </c>
      <c r="MF68" s="495" t="s">
        <v>287</v>
      </c>
      <c r="MG68" s="495" t="s">
        <v>287</v>
      </c>
      <c r="MH68" s="495" t="s">
        <v>287</v>
      </c>
      <c r="MI68" s="495" t="s">
        <v>287</v>
      </c>
      <c r="MJ68" s="495" t="s">
        <v>287</v>
      </c>
      <c r="MK68" s="495" t="s">
        <v>287</v>
      </c>
      <c r="ML68" s="495" t="s">
        <v>287</v>
      </c>
      <c r="MM68" s="495" t="s">
        <v>287</v>
      </c>
      <c r="MN68" s="136" t="s">
        <v>287</v>
      </c>
      <c r="MO68" s="3">
        <v>4768</v>
      </c>
      <c r="MP68" s="24">
        <v>0.93799999999999994</v>
      </c>
      <c r="MQ68" s="24">
        <v>7.0000000000000001E-3</v>
      </c>
      <c r="MR68" s="24">
        <v>0.93700000000000006</v>
      </c>
      <c r="MS68" s="3">
        <v>4472</v>
      </c>
      <c r="MT68" s="3">
        <v>35</v>
      </c>
      <c r="MU68" s="3">
        <v>4468</v>
      </c>
      <c r="MV68" s="3">
        <v>5022</v>
      </c>
      <c r="MW68" s="24">
        <v>0.96899999999999997</v>
      </c>
      <c r="MX68" s="24">
        <v>0.92800000000000005</v>
      </c>
      <c r="MY68" s="24">
        <v>0.96199999999999997</v>
      </c>
      <c r="MZ68" s="24">
        <v>0.93200000000000005</v>
      </c>
      <c r="NA68" s="24">
        <v>0.92900000000000005</v>
      </c>
      <c r="NB68" s="3">
        <v>4867</v>
      </c>
      <c r="NC68" s="3">
        <v>4658</v>
      </c>
      <c r="ND68" s="3">
        <v>4830</v>
      </c>
      <c r="NE68" s="3">
        <v>4680</v>
      </c>
      <c r="NF68" s="3">
        <v>4665</v>
      </c>
      <c r="NG68" s="3">
        <v>5330</v>
      </c>
      <c r="NH68" s="24">
        <v>0.96099999999999997</v>
      </c>
      <c r="NI68" s="24">
        <v>0.92</v>
      </c>
      <c r="NJ68" s="24">
        <v>0.96099999999999997</v>
      </c>
      <c r="NK68" s="24">
        <v>0.95799999999999996</v>
      </c>
      <c r="NL68" s="24">
        <v>0.95699999999999996</v>
      </c>
      <c r="NM68" s="24">
        <v>0.88800000000000001</v>
      </c>
      <c r="NN68" s="24">
        <v>0.94299999999999995</v>
      </c>
      <c r="NO68" s="24">
        <v>0.91600000000000004</v>
      </c>
      <c r="NP68" s="24">
        <v>0.96099999999999997</v>
      </c>
      <c r="NQ68" s="24">
        <v>0.91300000000000003</v>
      </c>
      <c r="NR68" s="3">
        <v>5120</v>
      </c>
      <c r="NS68" s="3">
        <v>4902</v>
      </c>
      <c r="NT68" s="3">
        <v>5120</v>
      </c>
      <c r="NU68" s="3">
        <v>5108</v>
      </c>
      <c r="NV68" s="3">
        <v>5103</v>
      </c>
      <c r="NW68" s="3">
        <v>4732</v>
      </c>
      <c r="NX68" s="3">
        <v>5024</v>
      </c>
      <c r="NY68" s="3">
        <v>4883</v>
      </c>
      <c r="NZ68" s="3">
        <v>5124</v>
      </c>
      <c r="OA68" s="8">
        <v>4866</v>
      </c>
    </row>
    <row r="69" spans="1:391" s="3" customFormat="1" ht="13.5" customHeight="1" x14ac:dyDescent="0.25">
      <c r="A69" s="11" t="s">
        <v>132</v>
      </c>
      <c r="B69" s="8">
        <v>2</v>
      </c>
      <c r="C69" s="11" t="s">
        <v>287</v>
      </c>
      <c r="D69" s="11" t="s">
        <v>287</v>
      </c>
      <c r="E69" s="11" t="s">
        <v>287</v>
      </c>
      <c r="F69" s="11" t="s">
        <v>287</v>
      </c>
      <c r="G69" s="11" t="s">
        <v>287</v>
      </c>
      <c r="H69" s="11" t="s">
        <v>287</v>
      </c>
      <c r="I69" s="11" t="s">
        <v>287</v>
      </c>
      <c r="J69" s="11" t="s">
        <v>271</v>
      </c>
      <c r="K69" s="11" t="s">
        <v>287</v>
      </c>
      <c r="L69" s="11" t="s">
        <v>287</v>
      </c>
      <c r="M69" s="11" t="s">
        <v>287</v>
      </c>
      <c r="N69" s="11" t="s">
        <v>287</v>
      </c>
      <c r="O69" s="128" t="s">
        <v>287</v>
      </c>
      <c r="P69" s="128" t="s">
        <v>287</v>
      </c>
      <c r="Q69" s="128" t="s">
        <v>287</v>
      </c>
      <c r="R69" s="128" t="s">
        <v>287</v>
      </c>
      <c r="S69" s="128" t="s">
        <v>287</v>
      </c>
      <c r="T69" s="38">
        <v>208850</v>
      </c>
      <c r="U69" s="39">
        <v>211150</v>
      </c>
      <c r="V69" s="39">
        <v>213800</v>
      </c>
      <c r="W69" s="39">
        <v>216050</v>
      </c>
      <c r="X69" s="39">
        <v>218050</v>
      </c>
      <c r="Y69" s="39">
        <v>220250</v>
      </c>
      <c r="Z69" s="39">
        <v>221850</v>
      </c>
      <c r="AA69" s="39">
        <v>223350</v>
      </c>
      <c r="AB69" s="39">
        <v>225300</v>
      </c>
      <c r="AC69" s="44">
        <v>228025</v>
      </c>
      <c r="AD69" s="38">
        <v>11900</v>
      </c>
      <c r="AE69" s="39">
        <v>12100</v>
      </c>
      <c r="AF69" s="39">
        <v>12550</v>
      </c>
      <c r="AG69" s="39">
        <v>12700</v>
      </c>
      <c r="AH69" s="39">
        <v>12750</v>
      </c>
      <c r="AI69" s="39">
        <v>12900</v>
      </c>
      <c r="AJ69" s="39">
        <v>13050</v>
      </c>
      <c r="AK69" s="39">
        <v>13200</v>
      </c>
      <c r="AL69" s="39">
        <v>13200</v>
      </c>
      <c r="AM69" s="44">
        <v>13298</v>
      </c>
      <c r="AN69" s="15">
        <v>13029</v>
      </c>
      <c r="AO69" s="3">
        <v>11416</v>
      </c>
      <c r="AP69" s="3">
        <v>487</v>
      </c>
      <c r="AQ69" s="3">
        <v>552</v>
      </c>
      <c r="AR69" s="3">
        <v>486</v>
      </c>
      <c r="AS69" s="3">
        <v>70</v>
      </c>
      <c r="AT69" s="3">
        <v>18</v>
      </c>
      <c r="AU69" s="11">
        <v>1613</v>
      </c>
      <c r="AV69" s="18">
        <v>0.87619924783175995</v>
      </c>
      <c r="AW69" s="19">
        <v>3.7378156420293192E-2</v>
      </c>
      <c r="AX69" s="19">
        <v>4.236702740041446E-2</v>
      </c>
      <c r="AY69" s="19">
        <v>3.7301404559060558E-2</v>
      </c>
      <c r="AZ69" s="19">
        <v>5.3726302862844421E-3</v>
      </c>
      <c r="BA69" s="19">
        <v>1.381533502187428E-3</v>
      </c>
      <c r="BB69" s="20">
        <v>0.12380075216824005</v>
      </c>
      <c r="BC69" s="15">
        <v>35382</v>
      </c>
      <c r="BD69" s="3">
        <v>34670</v>
      </c>
      <c r="BE69" s="3">
        <v>712</v>
      </c>
      <c r="BF69" s="3">
        <v>619</v>
      </c>
      <c r="BG69" s="3">
        <v>93</v>
      </c>
      <c r="BH69" s="19">
        <v>0.8693820224719101</v>
      </c>
      <c r="BI69" s="20">
        <v>0.1306179775280899</v>
      </c>
      <c r="BJ69" s="38">
        <v>25861</v>
      </c>
      <c r="BK69" s="20">
        <v>0.71114806078651249</v>
      </c>
      <c r="BL69" s="20">
        <v>0.12714125517188044</v>
      </c>
      <c r="BM69" s="20">
        <v>0.16171068404160704</v>
      </c>
      <c r="BN69" s="38">
        <v>64487</v>
      </c>
      <c r="BO69" s="39">
        <v>3778</v>
      </c>
      <c r="BP69" s="39">
        <v>4375</v>
      </c>
      <c r="BQ69" s="39">
        <v>1949</v>
      </c>
      <c r="BR69" s="39">
        <v>48193</v>
      </c>
      <c r="BS69" s="39">
        <v>26961</v>
      </c>
      <c r="BT69" s="20">
        <v>0.14665628129520419</v>
      </c>
      <c r="BU69" s="38">
        <v>18197</v>
      </c>
      <c r="BV69" s="39">
        <v>13</v>
      </c>
      <c r="BW69" s="39">
        <v>3091</v>
      </c>
      <c r="BX69" s="39">
        <v>4187</v>
      </c>
      <c r="BY69" s="39">
        <v>1565</v>
      </c>
      <c r="BZ69" s="40">
        <v>27053</v>
      </c>
      <c r="CA69" s="39">
        <v>10129</v>
      </c>
      <c r="CB69" s="39">
        <v>9067</v>
      </c>
      <c r="CC69" s="39">
        <v>1049</v>
      </c>
      <c r="CD69" s="39">
        <v>1062</v>
      </c>
      <c r="CE69" s="19">
        <v>0.1035640240892487</v>
      </c>
      <c r="CF69" s="104">
        <v>0.10484746766709448</v>
      </c>
      <c r="CG69" s="39">
        <v>935</v>
      </c>
      <c r="CH69" s="39">
        <v>855</v>
      </c>
      <c r="CI69" s="39">
        <v>725</v>
      </c>
      <c r="CJ69" s="39">
        <v>710</v>
      </c>
      <c r="CK69" s="44">
        <v>665</v>
      </c>
      <c r="CL69" s="38">
        <v>4174</v>
      </c>
      <c r="CM69" s="39">
        <v>1090</v>
      </c>
      <c r="CN69" s="19">
        <v>0.26114039290848107</v>
      </c>
      <c r="CO69" s="44">
        <v>382</v>
      </c>
      <c r="CP69" s="38">
        <v>2266</v>
      </c>
      <c r="CQ69" s="44">
        <v>2282</v>
      </c>
      <c r="CR69" s="44">
        <v>2298</v>
      </c>
      <c r="CS69" s="44">
        <v>2260</v>
      </c>
      <c r="CT69" s="44">
        <v>2216</v>
      </c>
      <c r="CU69" s="120" t="s">
        <v>474</v>
      </c>
      <c r="CV69" s="39">
        <v>78</v>
      </c>
      <c r="CW69" s="39">
        <v>69</v>
      </c>
      <c r="CX69" s="39">
        <v>51</v>
      </c>
      <c r="CY69" s="39">
        <v>44</v>
      </c>
      <c r="CZ69" s="39">
        <v>45</v>
      </c>
      <c r="DA69" s="126" t="s">
        <v>474</v>
      </c>
      <c r="DB69" s="379" t="s">
        <v>287</v>
      </c>
      <c r="DC69" s="15">
        <v>128</v>
      </c>
      <c r="DD69" s="19">
        <v>5.7761732851985562E-2</v>
      </c>
      <c r="DE69" s="19">
        <v>4.8792080513784607E-2</v>
      </c>
      <c r="DF69" s="20">
        <v>6.8261981067143193E-2</v>
      </c>
      <c r="DG69" s="15">
        <v>225</v>
      </c>
      <c r="DH69" s="20">
        <v>1.7293059718699561E-2</v>
      </c>
      <c r="DI69" s="470" t="s">
        <v>287</v>
      </c>
      <c r="DJ69" s="471" t="s">
        <v>287</v>
      </c>
      <c r="DK69" s="3">
        <v>2313</v>
      </c>
      <c r="DL69" s="20">
        <v>2.5460949969728659E-2</v>
      </c>
      <c r="DM69" s="15">
        <v>1205</v>
      </c>
      <c r="DN69" s="3">
        <v>1240</v>
      </c>
      <c r="DO69" s="3">
        <v>1270</v>
      </c>
      <c r="DP69" s="3">
        <v>1150</v>
      </c>
      <c r="DQ69" s="11">
        <v>1065</v>
      </c>
      <c r="DR69" s="15">
        <v>990</v>
      </c>
      <c r="DS69" s="20">
        <v>8.3403538331929233E-2</v>
      </c>
      <c r="DT69" s="20">
        <v>7.8563315213841745E-2</v>
      </c>
      <c r="DU69" s="20">
        <v>8.8513318384542877E-2</v>
      </c>
      <c r="DV69" s="11">
        <v>1205</v>
      </c>
      <c r="DW69" s="20">
        <v>9.9834299917149955E-2</v>
      </c>
      <c r="DX69" s="20">
        <v>9.4612902037089705E-2</v>
      </c>
      <c r="DY69" s="20">
        <v>0.1053103342463578</v>
      </c>
      <c r="DZ69" s="11">
        <v>1145</v>
      </c>
      <c r="EA69" s="20">
        <v>9.3660531697341509E-2</v>
      </c>
      <c r="EB69" s="20">
        <v>8.8622681963532401E-2</v>
      </c>
      <c r="EC69" s="20">
        <v>9.8953669119680038E-2</v>
      </c>
      <c r="ED69" s="11">
        <v>1160</v>
      </c>
      <c r="EE69" s="20">
        <v>9.4771241830065356E-2</v>
      </c>
      <c r="EF69" s="20">
        <v>8.9708742798724025E-2</v>
      </c>
      <c r="EG69" s="20">
        <v>0.10008801883334979</v>
      </c>
      <c r="EH69" s="11">
        <v>1160</v>
      </c>
      <c r="EI69" s="20">
        <v>9.4693877551020406E-2</v>
      </c>
      <c r="EJ69" s="20">
        <v>8.963531275445015E-2</v>
      </c>
      <c r="EK69" s="20">
        <v>0.10000656131663319</v>
      </c>
      <c r="EL69" s="438">
        <v>1020</v>
      </c>
      <c r="EM69" s="20">
        <v>9.6408317580340269E-2</v>
      </c>
      <c r="EN69" s="20">
        <v>9.0929873368016237E-2</v>
      </c>
      <c r="EO69" s="104">
        <v>0.10217973307996521</v>
      </c>
      <c r="EP69" s="38">
        <v>3190</v>
      </c>
      <c r="EQ69" s="20">
        <v>8.0201131363922068E-2</v>
      </c>
      <c r="ER69" s="44">
        <v>3555</v>
      </c>
      <c r="ES69" s="20">
        <v>8.8919459729864939E-2</v>
      </c>
      <c r="ET69" s="44">
        <v>3415</v>
      </c>
      <c r="EU69" s="20">
        <v>8.4971385916894751E-2</v>
      </c>
      <c r="EV69" s="44">
        <v>3360</v>
      </c>
      <c r="EW69" s="20">
        <v>8.3467892187305923E-2</v>
      </c>
      <c r="EX69" s="44">
        <v>3115</v>
      </c>
      <c r="EY69" s="20">
        <v>7.7247365158090511E-2</v>
      </c>
      <c r="EZ69" s="44">
        <v>2955</v>
      </c>
      <c r="FA69" s="104">
        <v>7.3672400897531784E-2</v>
      </c>
      <c r="FB69" s="495" t="s">
        <v>287</v>
      </c>
      <c r="FC69" s="495" t="s">
        <v>287</v>
      </c>
      <c r="FD69" s="495" t="s">
        <v>287</v>
      </c>
      <c r="FE69" s="496" t="s">
        <v>287</v>
      </c>
      <c r="FF69" s="495" t="s">
        <v>287</v>
      </c>
      <c r="FG69" s="495" t="s">
        <v>287</v>
      </c>
      <c r="FH69" s="496" t="s">
        <v>287</v>
      </c>
      <c r="FI69" s="496" t="s">
        <v>287</v>
      </c>
      <c r="FJ69" s="496" t="s">
        <v>287</v>
      </c>
      <c r="FK69" s="496" t="s">
        <v>287</v>
      </c>
      <c r="FL69" s="496" t="s">
        <v>287</v>
      </c>
      <c r="FM69" s="345" t="s">
        <v>287</v>
      </c>
      <c r="FN69" s="534">
        <v>2289</v>
      </c>
      <c r="FO69" s="534">
        <v>1076</v>
      </c>
      <c r="FP69" s="534">
        <v>389</v>
      </c>
      <c r="FQ69" s="534">
        <v>1465</v>
      </c>
      <c r="FR69" s="497">
        <v>0.47007426823940585</v>
      </c>
      <c r="FS69" s="497">
        <v>0.64001747487986016</v>
      </c>
      <c r="FT69" s="344">
        <v>0.44969512300643127</v>
      </c>
      <c r="FU69" s="344">
        <v>0.49055368945595984</v>
      </c>
      <c r="FV69" s="344">
        <v>0.62013442121332207</v>
      </c>
      <c r="FW69" s="345">
        <v>0.65943135405388431</v>
      </c>
      <c r="FX69" s="534" t="s">
        <v>287</v>
      </c>
      <c r="FY69" s="528" t="s">
        <v>287</v>
      </c>
      <c r="FZ69" s="528" t="s">
        <v>287</v>
      </c>
      <c r="GA69" s="344" t="s">
        <v>287</v>
      </c>
      <c r="GB69" s="528" t="s">
        <v>287</v>
      </c>
      <c r="GC69" s="528" t="s">
        <v>287</v>
      </c>
      <c r="GD69" s="528" t="s">
        <v>287</v>
      </c>
      <c r="GE69" s="344" t="s">
        <v>287</v>
      </c>
      <c r="GF69" s="344" t="s">
        <v>287</v>
      </c>
      <c r="GG69" s="344" t="s">
        <v>287</v>
      </c>
      <c r="GH69" s="344" t="s">
        <v>287</v>
      </c>
      <c r="GI69" s="344" t="s">
        <v>287</v>
      </c>
      <c r="GJ69" s="345" t="s">
        <v>287</v>
      </c>
      <c r="GK69" s="495" t="s">
        <v>287</v>
      </c>
      <c r="GL69" s="501" t="s">
        <v>287</v>
      </c>
      <c r="GM69" s="496" t="s">
        <v>287</v>
      </c>
      <c r="GN69" s="496" t="s">
        <v>287</v>
      </c>
      <c r="GO69" s="496" t="s">
        <v>287</v>
      </c>
      <c r="GP69" s="514" t="s">
        <v>287</v>
      </c>
      <c r="GQ69" s="495" t="s">
        <v>287</v>
      </c>
      <c r="GR69" s="501" t="s">
        <v>287</v>
      </c>
      <c r="GS69" s="496" t="s">
        <v>287</v>
      </c>
      <c r="GT69" s="496" t="s">
        <v>287</v>
      </c>
      <c r="GU69" s="496" t="s">
        <v>287</v>
      </c>
      <c r="GV69" s="503" t="s">
        <v>287</v>
      </c>
      <c r="GW69" s="495" t="s">
        <v>287</v>
      </c>
      <c r="GX69" s="501" t="s">
        <v>287</v>
      </c>
      <c r="GY69" s="496" t="s">
        <v>287</v>
      </c>
      <c r="GZ69" s="496" t="s">
        <v>287</v>
      </c>
      <c r="HA69" s="496" t="s">
        <v>287</v>
      </c>
      <c r="HB69" s="503" t="s">
        <v>287</v>
      </c>
      <c r="HC69" s="495" t="s">
        <v>287</v>
      </c>
      <c r="HD69" s="501" t="s">
        <v>287</v>
      </c>
      <c r="HE69" s="496" t="s">
        <v>287</v>
      </c>
      <c r="HF69" s="496" t="s">
        <v>287</v>
      </c>
      <c r="HG69" s="496" t="s">
        <v>287</v>
      </c>
      <c r="HH69" s="503" t="s">
        <v>287</v>
      </c>
      <c r="HI69" s="3">
        <v>1394</v>
      </c>
      <c r="HJ69" s="3">
        <v>79</v>
      </c>
      <c r="HK69" s="19">
        <v>5.6671449067431851E-2</v>
      </c>
      <c r="HL69" s="19">
        <v>4.5707858353953627E-2</v>
      </c>
      <c r="HM69" s="19">
        <v>7.007169432667272E-2</v>
      </c>
      <c r="HN69" s="11" t="s">
        <v>726</v>
      </c>
      <c r="HO69" s="11">
        <v>2089</v>
      </c>
      <c r="HP69" s="11">
        <v>121</v>
      </c>
      <c r="HQ69" s="497">
        <v>5.7922450933460989E-2</v>
      </c>
      <c r="HR69" s="497">
        <v>4.8693065939726991E-2</v>
      </c>
      <c r="HS69" s="497">
        <v>6.8774723024671955E-2</v>
      </c>
      <c r="HT69" s="8" t="str">
        <f t="shared" si="0"/>
        <v>Sig better than Eng.</v>
      </c>
      <c r="HU69" s="495" t="s">
        <v>287</v>
      </c>
      <c r="HV69" s="501" t="s">
        <v>287</v>
      </c>
      <c r="HW69" s="496" t="s">
        <v>287</v>
      </c>
      <c r="HX69" s="496" t="s">
        <v>287</v>
      </c>
      <c r="HY69" s="496" t="s">
        <v>287</v>
      </c>
      <c r="HZ69" s="495" t="s">
        <v>287</v>
      </c>
      <c r="IA69" s="495" t="s">
        <v>287</v>
      </c>
      <c r="IB69" s="501" t="s">
        <v>287</v>
      </c>
      <c r="IC69" s="496" t="s">
        <v>287</v>
      </c>
      <c r="ID69" s="496" t="s">
        <v>287</v>
      </c>
      <c r="IE69" s="496" t="s">
        <v>287</v>
      </c>
      <c r="IF69" s="495" t="s">
        <v>287</v>
      </c>
      <c r="IG69" s="495" t="s">
        <v>287</v>
      </c>
      <c r="IH69" s="501" t="s">
        <v>287</v>
      </c>
      <c r="II69" s="496" t="s">
        <v>287</v>
      </c>
      <c r="IJ69" s="496" t="s">
        <v>287</v>
      </c>
      <c r="IK69" s="496" t="s">
        <v>287</v>
      </c>
      <c r="IL69" s="495" t="s">
        <v>287</v>
      </c>
      <c r="IM69" s="495" t="s">
        <v>287</v>
      </c>
      <c r="IN69" s="501" t="s">
        <v>287</v>
      </c>
      <c r="IO69" s="496" t="s">
        <v>287</v>
      </c>
      <c r="IP69" s="496" t="s">
        <v>287</v>
      </c>
      <c r="IQ69" s="496" t="s">
        <v>287</v>
      </c>
      <c r="IR69" s="495" t="s">
        <v>287</v>
      </c>
      <c r="IS69" s="3">
        <v>2055</v>
      </c>
      <c r="IT69" s="3">
        <v>240</v>
      </c>
      <c r="IU69" s="19">
        <v>0.11678832116788321</v>
      </c>
      <c r="IV69" s="19">
        <v>0.10361196980257933</v>
      </c>
      <c r="IW69" s="19">
        <v>0.13139469219549352</v>
      </c>
      <c r="IX69" s="11" t="s">
        <v>792</v>
      </c>
      <c r="IY69" s="11">
        <v>1937</v>
      </c>
      <c r="IZ69" s="11">
        <v>238</v>
      </c>
      <c r="JA69" s="497">
        <v>0.12287041817243159</v>
      </c>
      <c r="JB69" s="497">
        <v>0.10899256218682071</v>
      </c>
      <c r="JC69" s="497">
        <v>0.13824116040289472</v>
      </c>
      <c r="JD69" s="8" t="str">
        <f t="shared" si="1"/>
        <v>Sig better than Eng.</v>
      </c>
      <c r="JE69" s="11">
        <v>2517</v>
      </c>
      <c r="JF69" s="11">
        <v>1446</v>
      </c>
      <c r="JG69" s="497">
        <v>0.57449344457687723</v>
      </c>
      <c r="JH69" s="497">
        <v>0.55507898366826613</v>
      </c>
      <c r="JI69" s="497">
        <v>0.59368086740758585</v>
      </c>
      <c r="JJ69" s="11">
        <v>2517</v>
      </c>
      <c r="JK69" s="11">
        <v>34</v>
      </c>
      <c r="JL69" s="11">
        <v>503</v>
      </c>
      <c r="JM69" s="384">
        <v>25.262425447316105</v>
      </c>
      <c r="JN69" s="497">
        <v>0.25698748684364398</v>
      </c>
      <c r="JO69" s="11">
        <v>2577</v>
      </c>
      <c r="JP69" s="11">
        <v>1627</v>
      </c>
      <c r="JQ69" s="497">
        <v>0.63135428793170356</v>
      </c>
      <c r="JR69" s="497">
        <v>0.61254508033958732</v>
      </c>
      <c r="JS69" s="497">
        <v>0.64977246639935593</v>
      </c>
      <c r="JT69" s="11">
        <v>2577</v>
      </c>
      <c r="JU69" s="11">
        <v>34</v>
      </c>
      <c r="JV69" s="11">
        <v>515</v>
      </c>
      <c r="JW69" s="384">
        <v>26.021359223300998</v>
      </c>
      <c r="JX69" s="497">
        <v>0.23466590519702948</v>
      </c>
      <c r="JY69" s="44">
        <v>2428</v>
      </c>
      <c r="JZ69" s="44">
        <v>1649</v>
      </c>
      <c r="KA69" s="497">
        <v>0.67900000000000005</v>
      </c>
      <c r="KB69" s="497">
        <v>0.66031716345543789</v>
      </c>
      <c r="KC69" s="497">
        <v>0.69743642152616725</v>
      </c>
      <c r="KD69" s="532">
        <v>34</v>
      </c>
      <c r="KE69" s="438">
        <v>485</v>
      </c>
      <c r="KF69" s="384">
        <v>26</v>
      </c>
      <c r="KG69" s="104">
        <v>0.23599999999999999</v>
      </c>
      <c r="KH69" s="19"/>
      <c r="KI69" s="19"/>
      <c r="KJ69" s="19"/>
      <c r="KK69" s="19"/>
      <c r="KL69" s="19"/>
      <c r="KM69" s="19"/>
      <c r="KN69" s="19"/>
      <c r="KO69" s="19"/>
      <c r="KP69" s="19"/>
      <c r="KQ69" s="19"/>
      <c r="KR69" s="19"/>
      <c r="KS69" s="19"/>
      <c r="KT69" s="19"/>
      <c r="KU69" s="19"/>
      <c r="KV69" s="19"/>
      <c r="KW69" s="104"/>
      <c r="KX69" s="438">
        <v>78</v>
      </c>
      <c r="KY69" s="438">
        <v>1133</v>
      </c>
      <c r="KZ69" s="497">
        <v>6.884377758164166E-2</v>
      </c>
      <c r="LA69" s="497">
        <v>5.5510986775055463E-2</v>
      </c>
      <c r="LB69" s="497">
        <v>8.5090376396996834E-2</v>
      </c>
      <c r="LC69" s="438">
        <v>63</v>
      </c>
      <c r="LD69" s="438">
        <v>1133</v>
      </c>
      <c r="LE69" s="497">
        <v>5.5604589585172108E-2</v>
      </c>
      <c r="LF69" s="497">
        <v>4.3701055070982105E-2</v>
      </c>
      <c r="LG69" s="497">
        <v>7.0511404206660327E-2</v>
      </c>
      <c r="LH69" s="438">
        <v>74</v>
      </c>
      <c r="LI69" s="438">
        <v>1126</v>
      </c>
      <c r="LJ69" s="497">
        <v>6.5719360568383664E-2</v>
      </c>
      <c r="LK69" s="497">
        <v>5.2672098902308555E-2</v>
      </c>
      <c r="LL69" s="497">
        <v>8.1719728938018016E-2</v>
      </c>
      <c r="LM69" s="438">
        <v>156</v>
      </c>
      <c r="LN69" s="438">
        <v>1117</v>
      </c>
      <c r="LO69" s="497">
        <v>0.13965980304386749</v>
      </c>
      <c r="LP69" s="497">
        <v>0.1205642254671597</v>
      </c>
      <c r="LQ69" s="104">
        <v>0.16122536782019986</v>
      </c>
      <c r="LR69" s="495" t="s">
        <v>287</v>
      </c>
      <c r="LS69" s="495" t="s">
        <v>287</v>
      </c>
      <c r="LT69" s="495" t="s">
        <v>287</v>
      </c>
      <c r="LU69" s="495" t="s">
        <v>287</v>
      </c>
      <c r="LV69" s="495" t="s">
        <v>287</v>
      </c>
      <c r="LW69" s="495" t="s">
        <v>287</v>
      </c>
      <c r="LX69" s="495" t="s">
        <v>287</v>
      </c>
      <c r="LY69" s="495" t="s">
        <v>287</v>
      </c>
      <c r="LZ69" s="495" t="s">
        <v>287</v>
      </c>
      <c r="MA69" s="495" t="s">
        <v>287</v>
      </c>
      <c r="MB69" s="495" t="s">
        <v>287</v>
      </c>
      <c r="MC69" s="495" t="s">
        <v>287</v>
      </c>
      <c r="MD69" s="495" t="s">
        <v>287</v>
      </c>
      <c r="ME69" s="495" t="s">
        <v>287</v>
      </c>
      <c r="MF69" s="495" t="s">
        <v>287</v>
      </c>
      <c r="MG69" s="495" t="s">
        <v>287</v>
      </c>
      <c r="MH69" s="495" t="s">
        <v>287</v>
      </c>
      <c r="MI69" s="495" t="s">
        <v>287</v>
      </c>
      <c r="MJ69" s="495" t="s">
        <v>287</v>
      </c>
      <c r="MK69" s="495" t="s">
        <v>287</v>
      </c>
      <c r="ML69" s="495" t="s">
        <v>287</v>
      </c>
      <c r="MM69" s="495" t="s">
        <v>287</v>
      </c>
      <c r="MN69" s="136" t="s">
        <v>287</v>
      </c>
      <c r="MO69" s="3">
        <v>2417</v>
      </c>
      <c r="MP69" s="24">
        <v>0.96599999999999997</v>
      </c>
      <c r="MQ69" s="24">
        <v>0.01</v>
      </c>
      <c r="MR69" s="24">
        <v>0.96499999999999997</v>
      </c>
      <c r="MS69" s="3">
        <v>2335</v>
      </c>
      <c r="MT69" s="3">
        <v>25</v>
      </c>
      <c r="MU69" s="3">
        <v>2332</v>
      </c>
      <c r="MV69" s="3">
        <v>2452</v>
      </c>
      <c r="MW69" s="24">
        <v>0.96199999999999997</v>
      </c>
      <c r="MX69" s="24">
        <v>0.92900000000000005</v>
      </c>
      <c r="MY69" s="24">
        <v>0.94399999999999995</v>
      </c>
      <c r="MZ69" s="24">
        <v>0.93400000000000005</v>
      </c>
      <c r="NA69" s="24">
        <v>0.93200000000000005</v>
      </c>
      <c r="NB69" s="3">
        <v>2360</v>
      </c>
      <c r="NC69" s="3">
        <v>2278</v>
      </c>
      <c r="ND69" s="3">
        <v>2315</v>
      </c>
      <c r="NE69" s="3">
        <v>2290</v>
      </c>
      <c r="NF69" s="3">
        <v>2285</v>
      </c>
      <c r="NG69" s="3">
        <v>2727</v>
      </c>
      <c r="NH69" s="24">
        <v>0.95899999999999996</v>
      </c>
      <c r="NI69" s="24">
        <v>0.90700000000000003</v>
      </c>
      <c r="NJ69" s="24">
        <v>0.95899999999999996</v>
      </c>
      <c r="NK69" s="24">
        <v>0.95699999999999996</v>
      </c>
      <c r="NL69" s="24">
        <v>0.95099999999999996</v>
      </c>
      <c r="NM69" s="24">
        <v>0.86</v>
      </c>
      <c r="NN69" s="24">
        <v>0.93400000000000005</v>
      </c>
      <c r="NO69" s="24">
        <v>0.91700000000000004</v>
      </c>
      <c r="NP69" s="24">
        <v>0.95299999999999996</v>
      </c>
      <c r="NQ69" s="24">
        <v>0.91500000000000004</v>
      </c>
      <c r="NR69" s="3">
        <v>2615</v>
      </c>
      <c r="NS69" s="3">
        <v>2474</v>
      </c>
      <c r="NT69" s="3">
        <v>2615</v>
      </c>
      <c r="NU69" s="3">
        <v>2611</v>
      </c>
      <c r="NV69" s="3">
        <v>2593</v>
      </c>
      <c r="NW69" s="3">
        <v>2346</v>
      </c>
      <c r="NX69" s="3">
        <v>2548</v>
      </c>
      <c r="NY69" s="3">
        <v>2502</v>
      </c>
      <c r="NZ69" s="3">
        <v>2600</v>
      </c>
      <c r="OA69" s="8">
        <v>2496</v>
      </c>
    </row>
    <row r="70" spans="1:391" s="4" customFormat="1" x14ac:dyDescent="0.25">
      <c r="A70" s="4" t="s">
        <v>133</v>
      </c>
      <c r="B70" s="9">
        <v>3</v>
      </c>
      <c r="C70" s="4" t="s">
        <v>287</v>
      </c>
      <c r="D70" s="4" t="s">
        <v>287</v>
      </c>
      <c r="E70" s="4" t="s">
        <v>287</v>
      </c>
      <c r="F70" s="4" t="s">
        <v>287</v>
      </c>
      <c r="G70" s="4" t="s">
        <v>287</v>
      </c>
      <c r="H70" s="4" t="s">
        <v>287</v>
      </c>
      <c r="I70" s="4" t="s">
        <v>287</v>
      </c>
      <c r="J70" s="4" t="s">
        <v>270</v>
      </c>
      <c r="K70" s="4" t="s">
        <v>287</v>
      </c>
      <c r="L70" s="4" t="s">
        <v>287</v>
      </c>
      <c r="M70" s="4" t="s">
        <v>287</v>
      </c>
      <c r="N70" s="4" t="s">
        <v>287</v>
      </c>
      <c r="O70" s="129" t="s">
        <v>287</v>
      </c>
      <c r="P70" s="129" t="s">
        <v>287</v>
      </c>
      <c r="Q70" s="129" t="s">
        <v>287</v>
      </c>
      <c r="R70" s="129" t="s">
        <v>287</v>
      </c>
      <c r="S70" s="129" t="s">
        <v>287</v>
      </c>
      <c r="T70" s="41">
        <v>99700</v>
      </c>
      <c r="U70" s="42">
        <v>100750</v>
      </c>
      <c r="V70" s="42">
        <v>101600</v>
      </c>
      <c r="W70" s="42">
        <v>102850</v>
      </c>
      <c r="X70" s="42">
        <v>103850</v>
      </c>
      <c r="Y70" s="42">
        <v>105500</v>
      </c>
      <c r="Z70" s="42">
        <v>107050</v>
      </c>
      <c r="AA70" s="42">
        <v>108300</v>
      </c>
      <c r="AB70" s="42">
        <v>108950</v>
      </c>
      <c r="AC70" s="42">
        <v>109885</v>
      </c>
      <c r="AD70" s="41">
        <v>6300</v>
      </c>
      <c r="AE70" s="42">
        <v>6350</v>
      </c>
      <c r="AF70" s="42">
        <v>6600</v>
      </c>
      <c r="AG70" s="42">
        <v>6950</v>
      </c>
      <c r="AH70" s="42">
        <v>7200</v>
      </c>
      <c r="AI70" s="42">
        <v>7750</v>
      </c>
      <c r="AJ70" s="42">
        <v>8150</v>
      </c>
      <c r="AK70" s="42">
        <v>8300</v>
      </c>
      <c r="AL70" s="42">
        <v>8350</v>
      </c>
      <c r="AM70" s="42">
        <v>8470</v>
      </c>
      <c r="AN70" s="16">
        <v>8071</v>
      </c>
      <c r="AO70" s="4">
        <v>5020</v>
      </c>
      <c r="AP70" s="4">
        <v>530</v>
      </c>
      <c r="AQ70" s="4">
        <v>622</v>
      </c>
      <c r="AR70" s="4">
        <v>1401</v>
      </c>
      <c r="AS70" s="4">
        <v>393</v>
      </c>
      <c r="AT70" s="4">
        <v>105</v>
      </c>
      <c r="AU70" s="4">
        <v>3051</v>
      </c>
      <c r="AV70" s="21">
        <v>0.62197992813777725</v>
      </c>
      <c r="AW70" s="22">
        <v>6.5667203568331056E-2</v>
      </c>
      <c r="AX70" s="22">
        <v>7.7066038904720607E-2</v>
      </c>
      <c r="AY70" s="22">
        <v>0.17358443811175814</v>
      </c>
      <c r="AZ70" s="22">
        <v>4.8692850947837936E-2</v>
      </c>
      <c r="BA70" s="22">
        <v>1.3009540329575022E-2</v>
      </c>
      <c r="BB70" s="22">
        <v>0.37802007186222275</v>
      </c>
      <c r="BC70" s="16">
        <v>17053</v>
      </c>
      <c r="BD70" s="4">
        <v>15550</v>
      </c>
      <c r="BE70" s="4">
        <v>1503</v>
      </c>
      <c r="BF70" s="4">
        <v>1270</v>
      </c>
      <c r="BG70" s="4">
        <v>233</v>
      </c>
      <c r="BH70" s="22">
        <v>0.84497671324018631</v>
      </c>
      <c r="BI70" s="22">
        <v>0.15502328675981369</v>
      </c>
      <c r="BJ70" s="41">
        <v>14546</v>
      </c>
      <c r="BK70" s="22">
        <v>0.49099408772171044</v>
      </c>
      <c r="BL70" s="22">
        <v>0.31527567716210642</v>
      </c>
      <c r="BM70" s="22">
        <v>0.19373023511618315</v>
      </c>
      <c r="BN70" s="41">
        <v>29829</v>
      </c>
      <c r="BO70" s="42">
        <v>2712</v>
      </c>
      <c r="BP70" s="42">
        <v>2241</v>
      </c>
      <c r="BQ70" s="42">
        <v>1333</v>
      </c>
      <c r="BR70" s="42">
        <v>24916</v>
      </c>
      <c r="BS70" s="42">
        <v>14021</v>
      </c>
      <c r="BT70" s="22">
        <v>0.16311247414592397</v>
      </c>
      <c r="BU70" s="41">
        <v>7410</v>
      </c>
      <c r="BV70" s="42">
        <v>6</v>
      </c>
      <c r="BW70" s="42">
        <v>1842</v>
      </c>
      <c r="BX70" s="42">
        <v>3310</v>
      </c>
      <c r="BY70" s="42">
        <v>1505</v>
      </c>
      <c r="BZ70" s="43">
        <v>14073</v>
      </c>
      <c r="CA70" s="42">
        <v>6335</v>
      </c>
      <c r="CB70" s="42">
        <v>4992</v>
      </c>
      <c r="CC70" s="42">
        <v>1317</v>
      </c>
      <c r="CD70" s="42">
        <v>1343</v>
      </c>
      <c r="CE70" s="22">
        <v>0.20789265982636149</v>
      </c>
      <c r="CF70" s="105">
        <v>0.21199684293606946</v>
      </c>
      <c r="CG70" s="42">
        <v>1190</v>
      </c>
      <c r="CH70" s="42">
        <v>1060</v>
      </c>
      <c r="CI70" s="42">
        <v>940</v>
      </c>
      <c r="CJ70" s="42">
        <v>925</v>
      </c>
      <c r="CK70" s="42">
        <v>885</v>
      </c>
      <c r="CL70" s="41">
        <v>3293</v>
      </c>
      <c r="CM70" s="42">
        <v>1363</v>
      </c>
      <c r="CN70" s="22">
        <v>0.4139082903127847</v>
      </c>
      <c r="CO70" s="42">
        <v>248</v>
      </c>
      <c r="CP70" s="41">
        <v>1551</v>
      </c>
      <c r="CQ70" s="42">
        <v>1666</v>
      </c>
      <c r="CR70" s="42">
        <v>1687</v>
      </c>
      <c r="CS70" s="42">
        <v>1617</v>
      </c>
      <c r="CT70" s="42">
        <v>1621</v>
      </c>
      <c r="CU70" s="121" t="s">
        <v>474</v>
      </c>
      <c r="CV70" s="42">
        <v>70</v>
      </c>
      <c r="CW70" s="42">
        <v>73</v>
      </c>
      <c r="CX70" s="42">
        <v>79</v>
      </c>
      <c r="CY70" s="42">
        <v>67</v>
      </c>
      <c r="CZ70" s="42">
        <v>64</v>
      </c>
      <c r="DA70" s="127" t="s">
        <v>474</v>
      </c>
      <c r="DB70" s="380" t="s">
        <v>287</v>
      </c>
      <c r="DC70" s="16">
        <v>122</v>
      </c>
      <c r="DD70" s="22">
        <v>7.5262183837137564E-2</v>
      </c>
      <c r="DE70" s="22">
        <v>6.3399657350921304E-2</v>
      </c>
      <c r="DF70" s="22">
        <v>8.9133045132296279E-2</v>
      </c>
      <c r="DG70" s="16">
        <v>158</v>
      </c>
      <c r="DH70" s="22">
        <v>1.9602977667493797E-2</v>
      </c>
      <c r="DI70" s="472" t="s">
        <v>287</v>
      </c>
      <c r="DJ70" s="473" t="s">
        <v>287</v>
      </c>
      <c r="DK70" s="4">
        <v>2084</v>
      </c>
      <c r="DL70" s="22">
        <v>4.8774779413485618E-2</v>
      </c>
      <c r="DM70" s="16">
        <v>1650</v>
      </c>
      <c r="DN70" s="4">
        <v>1650</v>
      </c>
      <c r="DO70" s="4">
        <v>1580</v>
      </c>
      <c r="DP70" s="4">
        <v>1475</v>
      </c>
      <c r="DQ70" s="4">
        <v>1395</v>
      </c>
      <c r="DR70" s="16">
        <v>1345</v>
      </c>
      <c r="DS70" s="22">
        <v>0.20014880952380953</v>
      </c>
      <c r="DT70" s="22">
        <v>0.19075500674711679</v>
      </c>
      <c r="DU70" s="22">
        <v>0.20988523370453294</v>
      </c>
      <c r="DV70" s="4">
        <v>1480</v>
      </c>
      <c r="DW70" s="22">
        <v>0.21203438395415472</v>
      </c>
      <c r="DX70" s="22">
        <v>0.20260502362203447</v>
      </c>
      <c r="DY70" s="22">
        <v>0.22178053499876138</v>
      </c>
      <c r="DZ70" s="4">
        <v>1575</v>
      </c>
      <c r="EA70" s="22">
        <v>0.21240728253540123</v>
      </c>
      <c r="EB70" s="22">
        <v>0.20324788013175979</v>
      </c>
      <c r="EC70" s="22">
        <v>0.22186451461700626</v>
      </c>
      <c r="ED70" s="4">
        <v>1605</v>
      </c>
      <c r="EE70" s="22">
        <v>0.20603337612323491</v>
      </c>
      <c r="EF70" s="22">
        <v>0.19719780402123743</v>
      </c>
      <c r="EG70" s="22">
        <v>0.21515873104574462</v>
      </c>
      <c r="EH70" s="4">
        <v>1475</v>
      </c>
      <c r="EI70" s="22">
        <v>0.1857682619647355</v>
      </c>
      <c r="EJ70" s="22">
        <v>0.17736637729794572</v>
      </c>
      <c r="EK70" s="22">
        <v>0.19447405709803575</v>
      </c>
      <c r="EL70" s="439">
        <v>1495</v>
      </c>
      <c r="EM70" s="22">
        <v>0.19315245478036175</v>
      </c>
      <c r="EN70" s="22">
        <v>0.18451078630887058</v>
      </c>
      <c r="EO70" s="105">
        <v>0.20209855670789939</v>
      </c>
      <c r="EP70" s="41">
        <v>3780</v>
      </c>
      <c r="EQ70" s="22">
        <v>0.18694362017804153</v>
      </c>
      <c r="ER70" s="42">
        <v>4080</v>
      </c>
      <c r="ES70" s="22">
        <v>0.19507530480516375</v>
      </c>
      <c r="ET70" s="42">
        <v>4160</v>
      </c>
      <c r="EU70" s="22">
        <v>0.19493908153701969</v>
      </c>
      <c r="EV70" s="42">
        <v>4170</v>
      </c>
      <c r="EW70" s="22">
        <v>0.19002050580997951</v>
      </c>
      <c r="EX70" s="42">
        <v>3895</v>
      </c>
      <c r="EY70" s="22">
        <v>0.17419499105545616</v>
      </c>
      <c r="EZ70" s="42">
        <v>3810</v>
      </c>
      <c r="FA70" s="105">
        <v>0.16821192052980133</v>
      </c>
      <c r="FB70" s="129" t="s">
        <v>287</v>
      </c>
      <c r="FC70" s="129" t="s">
        <v>287</v>
      </c>
      <c r="FD70" s="129" t="s">
        <v>287</v>
      </c>
      <c r="FE70" s="346" t="s">
        <v>287</v>
      </c>
      <c r="FF70" s="129" t="s">
        <v>287</v>
      </c>
      <c r="FG70" s="129" t="s">
        <v>287</v>
      </c>
      <c r="FH70" s="346" t="s">
        <v>287</v>
      </c>
      <c r="FI70" s="346" t="s">
        <v>287</v>
      </c>
      <c r="FJ70" s="346" t="s">
        <v>287</v>
      </c>
      <c r="FK70" s="346" t="s">
        <v>287</v>
      </c>
      <c r="FL70" s="346" t="s">
        <v>287</v>
      </c>
      <c r="FM70" s="347" t="s">
        <v>287</v>
      </c>
      <c r="FN70" s="535">
        <v>1464</v>
      </c>
      <c r="FO70" s="535">
        <v>528</v>
      </c>
      <c r="FP70" s="535">
        <v>286</v>
      </c>
      <c r="FQ70" s="535">
        <v>814</v>
      </c>
      <c r="FR70" s="22">
        <v>0.36065573770491804</v>
      </c>
      <c r="FS70" s="22">
        <v>0.55601092896174864</v>
      </c>
      <c r="FT70" s="346">
        <v>0.33645239185060777</v>
      </c>
      <c r="FU70" s="346">
        <v>0.38558843377929447</v>
      </c>
      <c r="FV70" s="346">
        <v>0.53044621706304418</v>
      </c>
      <c r="FW70" s="347">
        <v>0.581282470673956</v>
      </c>
      <c r="FX70" s="535" t="s">
        <v>287</v>
      </c>
      <c r="FY70" s="529" t="s">
        <v>287</v>
      </c>
      <c r="FZ70" s="529" t="s">
        <v>287</v>
      </c>
      <c r="GA70" s="346" t="s">
        <v>287</v>
      </c>
      <c r="GB70" s="529" t="s">
        <v>287</v>
      </c>
      <c r="GC70" s="529" t="s">
        <v>287</v>
      </c>
      <c r="GD70" s="529" t="s">
        <v>287</v>
      </c>
      <c r="GE70" s="346" t="s">
        <v>287</v>
      </c>
      <c r="GF70" s="346" t="s">
        <v>287</v>
      </c>
      <c r="GG70" s="346" t="s">
        <v>287</v>
      </c>
      <c r="GH70" s="346" t="s">
        <v>287</v>
      </c>
      <c r="GI70" s="346" t="s">
        <v>287</v>
      </c>
      <c r="GJ70" s="347" t="s">
        <v>287</v>
      </c>
      <c r="GK70" s="129" t="s">
        <v>287</v>
      </c>
      <c r="GL70" s="483" t="s">
        <v>287</v>
      </c>
      <c r="GM70" s="346" t="s">
        <v>287</v>
      </c>
      <c r="GN70" s="346" t="s">
        <v>287</v>
      </c>
      <c r="GO70" s="346" t="s">
        <v>287</v>
      </c>
      <c r="GP70" s="515" t="s">
        <v>287</v>
      </c>
      <c r="GQ70" s="129" t="s">
        <v>287</v>
      </c>
      <c r="GR70" s="483" t="s">
        <v>287</v>
      </c>
      <c r="GS70" s="346" t="s">
        <v>287</v>
      </c>
      <c r="GT70" s="346" t="s">
        <v>287</v>
      </c>
      <c r="GU70" s="346" t="s">
        <v>287</v>
      </c>
      <c r="GV70" s="504" t="s">
        <v>287</v>
      </c>
      <c r="GW70" s="129" t="s">
        <v>287</v>
      </c>
      <c r="GX70" s="483" t="s">
        <v>287</v>
      </c>
      <c r="GY70" s="346" t="s">
        <v>287</v>
      </c>
      <c r="GZ70" s="346" t="s">
        <v>287</v>
      </c>
      <c r="HA70" s="346" t="s">
        <v>287</v>
      </c>
      <c r="HB70" s="504" t="s">
        <v>287</v>
      </c>
      <c r="HC70" s="129" t="s">
        <v>287</v>
      </c>
      <c r="HD70" s="483" t="s">
        <v>287</v>
      </c>
      <c r="HE70" s="346" t="s">
        <v>287</v>
      </c>
      <c r="HF70" s="346" t="s">
        <v>287</v>
      </c>
      <c r="HG70" s="346" t="s">
        <v>287</v>
      </c>
      <c r="HH70" s="504" t="s">
        <v>287</v>
      </c>
      <c r="HI70" s="4">
        <v>867</v>
      </c>
      <c r="HJ70" s="4">
        <v>87</v>
      </c>
      <c r="HK70" s="22">
        <v>0.10034602076124567</v>
      </c>
      <c r="HL70" s="22">
        <v>8.2075581533498504E-2</v>
      </c>
      <c r="HM70" s="22">
        <v>0.1221423699883888</v>
      </c>
      <c r="HN70" s="4" t="s">
        <v>792</v>
      </c>
      <c r="HO70" s="4">
        <v>1522</v>
      </c>
      <c r="HP70" s="4">
        <v>110</v>
      </c>
      <c r="HQ70" s="22">
        <v>7.2273324572930356E-2</v>
      </c>
      <c r="HR70" s="22">
        <v>6.0313129175953259E-2</v>
      </c>
      <c r="HS70" s="22">
        <v>8.6387209530073714E-2</v>
      </c>
      <c r="HT70" s="9" t="str">
        <f t="shared" si="0"/>
        <v>Sig better than Eng.</v>
      </c>
      <c r="HU70" s="129" t="s">
        <v>287</v>
      </c>
      <c r="HV70" s="483" t="s">
        <v>287</v>
      </c>
      <c r="HW70" s="346" t="s">
        <v>287</v>
      </c>
      <c r="HX70" s="346" t="s">
        <v>287</v>
      </c>
      <c r="HY70" s="346" t="s">
        <v>287</v>
      </c>
      <c r="HZ70" s="129" t="s">
        <v>287</v>
      </c>
      <c r="IA70" s="129" t="s">
        <v>287</v>
      </c>
      <c r="IB70" s="483" t="s">
        <v>287</v>
      </c>
      <c r="IC70" s="346" t="s">
        <v>287</v>
      </c>
      <c r="ID70" s="346" t="s">
        <v>287</v>
      </c>
      <c r="IE70" s="346" t="s">
        <v>287</v>
      </c>
      <c r="IF70" s="129" t="s">
        <v>287</v>
      </c>
      <c r="IG70" s="129" t="s">
        <v>287</v>
      </c>
      <c r="IH70" s="483" t="s">
        <v>287</v>
      </c>
      <c r="II70" s="346" t="s">
        <v>287</v>
      </c>
      <c r="IJ70" s="346" t="s">
        <v>287</v>
      </c>
      <c r="IK70" s="346" t="s">
        <v>287</v>
      </c>
      <c r="IL70" s="129" t="s">
        <v>287</v>
      </c>
      <c r="IM70" s="129" t="s">
        <v>287</v>
      </c>
      <c r="IN70" s="483" t="s">
        <v>287</v>
      </c>
      <c r="IO70" s="346" t="s">
        <v>287</v>
      </c>
      <c r="IP70" s="346" t="s">
        <v>287</v>
      </c>
      <c r="IQ70" s="346" t="s">
        <v>287</v>
      </c>
      <c r="IR70" s="129" t="s">
        <v>287</v>
      </c>
      <c r="IS70" s="4">
        <v>1158</v>
      </c>
      <c r="IT70" s="4">
        <v>232</v>
      </c>
      <c r="IU70" s="22">
        <v>0.2003454231433506</v>
      </c>
      <c r="IV70" s="22">
        <v>0.17829962779839531</v>
      </c>
      <c r="IW70" s="22">
        <v>0.22437274653361386</v>
      </c>
      <c r="IX70" s="4" t="s">
        <v>792</v>
      </c>
      <c r="IY70" s="4">
        <v>1218</v>
      </c>
      <c r="IZ70" s="4">
        <v>254</v>
      </c>
      <c r="JA70" s="22">
        <v>0.20853858784893267</v>
      </c>
      <c r="JB70" s="22">
        <v>0.18665677725201979</v>
      </c>
      <c r="JC70" s="22">
        <v>0.23225310268830984</v>
      </c>
      <c r="JD70" s="9" t="str">
        <f t="shared" si="1"/>
        <v>Sig better than Eng.</v>
      </c>
      <c r="JE70" s="4">
        <v>1440</v>
      </c>
      <c r="JF70" s="4">
        <v>693</v>
      </c>
      <c r="JG70" s="22">
        <v>0.48125000000000001</v>
      </c>
      <c r="JH70" s="22">
        <v>0.45552756226071045</v>
      </c>
      <c r="JI70" s="22">
        <v>0.50707220957012045</v>
      </c>
      <c r="JJ70" s="4">
        <v>1440</v>
      </c>
      <c r="JK70" s="4">
        <v>34</v>
      </c>
      <c r="JL70" s="4">
        <v>288</v>
      </c>
      <c r="JM70" s="385">
        <v>22.378472222222197</v>
      </c>
      <c r="JN70" s="22">
        <v>0.34180964052287655</v>
      </c>
      <c r="JO70" s="4">
        <v>1518</v>
      </c>
      <c r="JP70" s="4">
        <v>841</v>
      </c>
      <c r="JQ70" s="22">
        <v>0.5540184453227931</v>
      </c>
      <c r="JR70" s="22">
        <v>0.52890795807318758</v>
      </c>
      <c r="JS70" s="22">
        <v>0.57885622396393932</v>
      </c>
      <c r="JT70" s="4">
        <v>1518</v>
      </c>
      <c r="JU70" s="4">
        <v>34</v>
      </c>
      <c r="JV70" s="4">
        <v>303</v>
      </c>
      <c r="JW70" s="385">
        <v>22.61056105610562</v>
      </c>
      <c r="JX70" s="22">
        <v>0.33498349834983471</v>
      </c>
      <c r="JY70" s="42">
        <v>1610</v>
      </c>
      <c r="JZ70" s="42">
        <v>984</v>
      </c>
      <c r="KA70" s="22">
        <v>0.61099999999999999</v>
      </c>
      <c r="KB70" s="22">
        <v>0.58712497274917275</v>
      </c>
      <c r="KC70" s="22">
        <v>0.63470598719010562</v>
      </c>
      <c r="KD70" s="554">
        <v>34</v>
      </c>
      <c r="KE70" s="439">
        <v>322</v>
      </c>
      <c r="KF70" s="385">
        <v>23.4</v>
      </c>
      <c r="KG70" s="105">
        <v>0.31</v>
      </c>
      <c r="KH70" s="22"/>
      <c r="KI70" s="22"/>
      <c r="KJ70" s="22"/>
      <c r="KK70" s="22"/>
      <c r="KL70" s="22"/>
      <c r="KM70" s="22"/>
      <c r="KN70" s="22"/>
      <c r="KO70" s="22"/>
      <c r="KP70" s="22"/>
      <c r="KQ70" s="22"/>
      <c r="KR70" s="22"/>
      <c r="KS70" s="22"/>
      <c r="KT70" s="22"/>
      <c r="KU70" s="22"/>
      <c r="KV70" s="22"/>
      <c r="KW70" s="105"/>
      <c r="KX70" s="439">
        <v>94</v>
      </c>
      <c r="KY70" s="439">
        <v>782</v>
      </c>
      <c r="KZ70" s="22">
        <v>0.12020460358056266</v>
      </c>
      <c r="LA70" s="22">
        <v>9.9248559504410971E-2</v>
      </c>
      <c r="LB70" s="22">
        <v>0.14487378434416764</v>
      </c>
      <c r="LC70" s="439">
        <v>71</v>
      </c>
      <c r="LD70" s="439">
        <v>781</v>
      </c>
      <c r="LE70" s="22">
        <v>9.0909090909090912E-2</v>
      </c>
      <c r="LF70" s="22">
        <v>7.2699562255173211E-2</v>
      </c>
      <c r="LG70" s="22">
        <v>0.11312326499434044</v>
      </c>
      <c r="LH70" s="439">
        <v>81</v>
      </c>
      <c r="LI70" s="439">
        <v>777</v>
      </c>
      <c r="LJ70" s="22">
        <v>0.10424710424710425</v>
      </c>
      <c r="LK70" s="22">
        <v>8.467233528429223E-2</v>
      </c>
      <c r="LL70" s="22">
        <v>0.12771579670752684</v>
      </c>
      <c r="LM70" s="439">
        <v>172</v>
      </c>
      <c r="LN70" s="439">
        <v>739</v>
      </c>
      <c r="LO70" s="22">
        <v>0.2327469553450609</v>
      </c>
      <c r="LP70" s="22">
        <v>0.20370894597934167</v>
      </c>
      <c r="LQ70" s="105">
        <v>0.26454905805413481</v>
      </c>
      <c r="LR70" s="129" t="s">
        <v>287</v>
      </c>
      <c r="LS70" s="129" t="s">
        <v>287</v>
      </c>
      <c r="LT70" s="129" t="s">
        <v>287</v>
      </c>
      <c r="LU70" s="129" t="s">
        <v>287</v>
      </c>
      <c r="LV70" s="129" t="s">
        <v>287</v>
      </c>
      <c r="LW70" s="129" t="s">
        <v>287</v>
      </c>
      <c r="LX70" s="129" t="s">
        <v>287</v>
      </c>
      <c r="LY70" s="129" t="s">
        <v>287</v>
      </c>
      <c r="LZ70" s="129" t="s">
        <v>287</v>
      </c>
      <c r="MA70" s="129" t="s">
        <v>287</v>
      </c>
      <c r="MB70" s="129" t="s">
        <v>287</v>
      </c>
      <c r="MC70" s="129" t="s">
        <v>287</v>
      </c>
      <c r="MD70" s="129" t="s">
        <v>287</v>
      </c>
      <c r="ME70" s="129" t="s">
        <v>287</v>
      </c>
      <c r="MF70" s="129" t="s">
        <v>287</v>
      </c>
      <c r="MG70" s="129" t="s">
        <v>287</v>
      </c>
      <c r="MH70" s="129" t="s">
        <v>287</v>
      </c>
      <c r="MI70" s="129" t="s">
        <v>287</v>
      </c>
      <c r="MJ70" s="129" t="s">
        <v>287</v>
      </c>
      <c r="MK70" s="129" t="s">
        <v>287</v>
      </c>
      <c r="ML70" s="129" t="s">
        <v>287</v>
      </c>
      <c r="MM70" s="129" t="s">
        <v>287</v>
      </c>
      <c r="MN70" s="137" t="s">
        <v>287</v>
      </c>
      <c r="MO70" s="4">
        <v>1641</v>
      </c>
      <c r="MP70" s="25">
        <v>0.96599999999999997</v>
      </c>
      <c r="MQ70" s="25">
        <v>8.9999999999999993E-3</v>
      </c>
      <c r="MR70" s="25">
        <v>0.96499999999999997</v>
      </c>
      <c r="MS70" s="4">
        <v>1586</v>
      </c>
      <c r="MT70" s="4">
        <v>14</v>
      </c>
      <c r="MU70" s="4">
        <v>1584</v>
      </c>
      <c r="MV70" s="4">
        <v>1588</v>
      </c>
      <c r="MW70" s="25">
        <v>0.97699999999999998</v>
      </c>
      <c r="MX70" s="25">
        <v>0.96</v>
      </c>
      <c r="MY70" s="25">
        <v>0.96199999999999997</v>
      </c>
      <c r="MZ70" s="25">
        <v>0.96199999999999997</v>
      </c>
      <c r="NA70" s="25">
        <v>0.96099999999999997</v>
      </c>
      <c r="NB70" s="4">
        <v>1551</v>
      </c>
      <c r="NC70" s="4">
        <v>1525</v>
      </c>
      <c r="ND70" s="4">
        <v>1528</v>
      </c>
      <c r="NE70" s="4">
        <v>1527</v>
      </c>
      <c r="NF70" s="4">
        <v>1526</v>
      </c>
      <c r="NG70" s="4">
        <v>1727</v>
      </c>
      <c r="NH70" s="25">
        <v>0.96899999999999997</v>
      </c>
      <c r="NI70" s="25">
        <v>0.93500000000000005</v>
      </c>
      <c r="NJ70" s="25">
        <v>0.96899999999999997</v>
      </c>
      <c r="NK70" s="25">
        <v>0.96499999999999997</v>
      </c>
      <c r="NL70" s="25">
        <v>0.95</v>
      </c>
      <c r="NM70" s="25">
        <v>0.86799999999999999</v>
      </c>
      <c r="NN70" s="25">
        <v>0.95299999999999996</v>
      </c>
      <c r="NO70" s="25">
        <v>0.93</v>
      </c>
      <c r="NP70" s="25">
        <v>0.95299999999999996</v>
      </c>
      <c r="NQ70" s="25">
        <v>0.93100000000000005</v>
      </c>
      <c r="NR70" s="4">
        <v>1674</v>
      </c>
      <c r="NS70" s="4">
        <v>1615</v>
      </c>
      <c r="NT70" s="4">
        <v>1673</v>
      </c>
      <c r="NU70" s="4">
        <v>1667</v>
      </c>
      <c r="NV70" s="4">
        <v>1640</v>
      </c>
      <c r="NW70" s="4">
        <v>1499</v>
      </c>
      <c r="NX70" s="4">
        <v>1646</v>
      </c>
      <c r="NY70" s="4">
        <v>1606</v>
      </c>
      <c r="NZ70" s="4">
        <v>1646</v>
      </c>
      <c r="OA70" s="9">
        <v>1608</v>
      </c>
    </row>
    <row r="71" spans="1:391" s="11" customFormat="1" ht="12.75" x14ac:dyDescent="0.2">
      <c r="A71" s="11" t="s">
        <v>106</v>
      </c>
      <c r="B71" s="8">
        <v>1</v>
      </c>
      <c r="C71" s="11" t="s">
        <v>287</v>
      </c>
      <c r="D71" s="11" t="s">
        <v>287</v>
      </c>
      <c r="E71" s="11" t="s">
        <v>287</v>
      </c>
      <c r="F71" s="11" t="s">
        <v>287</v>
      </c>
      <c r="G71" s="11" t="s">
        <v>287</v>
      </c>
      <c r="H71" s="11" t="s">
        <v>287</v>
      </c>
      <c r="I71" s="11" t="s">
        <v>287</v>
      </c>
      <c r="J71" s="11" t="s">
        <v>269</v>
      </c>
      <c r="K71" s="11" t="s">
        <v>287</v>
      </c>
      <c r="L71" s="11" t="s">
        <v>275</v>
      </c>
      <c r="M71" s="11" t="s">
        <v>287</v>
      </c>
      <c r="N71" s="11" t="s">
        <v>287</v>
      </c>
      <c r="O71" s="128" t="s">
        <v>287</v>
      </c>
      <c r="P71" s="128" t="s">
        <v>287</v>
      </c>
      <c r="Q71" s="128" t="s">
        <v>287</v>
      </c>
      <c r="R71" s="128" t="s">
        <v>287</v>
      </c>
      <c r="S71" s="128" t="s">
        <v>287</v>
      </c>
      <c r="T71" s="38">
        <v>183400</v>
      </c>
      <c r="U71" s="44">
        <v>184450</v>
      </c>
      <c r="V71" s="44">
        <v>185750</v>
      </c>
      <c r="W71" s="44">
        <v>187300</v>
      </c>
      <c r="X71" s="44">
        <v>188050</v>
      </c>
      <c r="Y71" s="44">
        <v>189050</v>
      </c>
      <c r="Z71" s="44">
        <v>189700</v>
      </c>
      <c r="AA71" s="44">
        <v>191200</v>
      </c>
      <c r="AB71" s="44">
        <v>192950</v>
      </c>
      <c r="AC71" s="44">
        <v>194215</v>
      </c>
      <c r="AD71" s="38">
        <v>8350</v>
      </c>
      <c r="AE71" s="44">
        <v>8450</v>
      </c>
      <c r="AF71" s="44">
        <v>8700</v>
      </c>
      <c r="AG71" s="44">
        <v>8950</v>
      </c>
      <c r="AH71" s="44">
        <v>9250</v>
      </c>
      <c r="AI71" s="44">
        <v>9350</v>
      </c>
      <c r="AJ71" s="44">
        <v>9450</v>
      </c>
      <c r="AK71" s="44">
        <v>9800</v>
      </c>
      <c r="AL71" s="44">
        <v>9950</v>
      </c>
      <c r="AM71" s="44">
        <v>9887</v>
      </c>
      <c r="AN71" s="15">
        <v>9388</v>
      </c>
      <c r="AO71" s="11">
        <v>8318</v>
      </c>
      <c r="AP71" s="11">
        <v>512</v>
      </c>
      <c r="AQ71" s="11">
        <v>263</v>
      </c>
      <c r="AR71" s="11">
        <v>208</v>
      </c>
      <c r="AS71" s="11">
        <v>58</v>
      </c>
      <c r="AT71" s="11">
        <v>29</v>
      </c>
      <c r="AU71" s="11">
        <v>1070</v>
      </c>
      <c r="AV71" s="18">
        <v>0.88600000000000001</v>
      </c>
      <c r="AW71" s="20">
        <v>5.5E-2</v>
      </c>
      <c r="AX71" s="20">
        <v>2.8000000000000001E-2</v>
      </c>
      <c r="AY71" s="20">
        <v>2.1999999999999999E-2</v>
      </c>
      <c r="AZ71" s="20">
        <v>6.0000000000000001E-3</v>
      </c>
      <c r="BA71" s="20">
        <v>3.0000000000000001E-3</v>
      </c>
      <c r="BB71" s="20">
        <v>0.114</v>
      </c>
      <c r="BC71" s="38">
        <v>24396</v>
      </c>
      <c r="BD71" s="44">
        <v>23778</v>
      </c>
      <c r="BE71" s="44">
        <v>618</v>
      </c>
      <c r="BF71" s="44">
        <v>498</v>
      </c>
      <c r="BG71" s="44">
        <v>120</v>
      </c>
      <c r="BH71" s="20">
        <v>0.80600000000000005</v>
      </c>
      <c r="BI71" s="20">
        <v>0.19400000000000001</v>
      </c>
      <c r="BJ71" s="38">
        <v>18292</v>
      </c>
      <c r="BK71" s="20">
        <v>0.58199999999999996</v>
      </c>
      <c r="BL71" s="20">
        <v>0.16900000000000001</v>
      </c>
      <c r="BM71" s="20">
        <v>0.249</v>
      </c>
      <c r="BN71" s="442" t="s">
        <v>287</v>
      </c>
      <c r="BO71" s="133" t="s">
        <v>287</v>
      </c>
      <c r="BP71" s="133" t="s">
        <v>287</v>
      </c>
      <c r="BQ71" s="133" t="s">
        <v>287</v>
      </c>
      <c r="BR71" s="133" t="s">
        <v>287</v>
      </c>
      <c r="BS71" s="133" t="s">
        <v>287</v>
      </c>
      <c r="BT71" s="128" t="s">
        <v>287</v>
      </c>
      <c r="BU71" s="442">
        <v>11316</v>
      </c>
      <c r="BV71" s="133">
        <v>10</v>
      </c>
      <c r="BW71" s="133">
        <v>2623</v>
      </c>
      <c r="BX71" s="133">
        <v>4060</v>
      </c>
      <c r="BY71" s="133">
        <v>1520</v>
      </c>
      <c r="BZ71" s="123">
        <v>19529</v>
      </c>
      <c r="CA71" s="44">
        <v>7346</v>
      </c>
      <c r="CB71" s="44">
        <v>6119</v>
      </c>
      <c r="CC71" s="44">
        <v>1207</v>
      </c>
      <c r="CD71" s="44">
        <v>1227</v>
      </c>
      <c r="CE71" s="20">
        <v>0.16430710590797712</v>
      </c>
      <c r="CF71" s="104">
        <v>0.16702967601415736</v>
      </c>
      <c r="CG71" s="44">
        <v>1190</v>
      </c>
      <c r="CH71" s="44">
        <v>1110</v>
      </c>
      <c r="CI71" s="44">
        <v>970</v>
      </c>
      <c r="CJ71" s="44">
        <v>980</v>
      </c>
      <c r="CK71" s="44">
        <v>925</v>
      </c>
      <c r="CL71" s="38">
        <v>4045</v>
      </c>
      <c r="CM71" s="44">
        <v>1341</v>
      </c>
      <c r="CN71" s="20">
        <v>0.3315203955500618</v>
      </c>
      <c r="CO71" s="40">
        <v>359</v>
      </c>
      <c r="CP71" s="128" t="s">
        <v>287</v>
      </c>
      <c r="CQ71" s="128" t="s">
        <v>287</v>
      </c>
      <c r="CR71" s="128" t="s">
        <v>287</v>
      </c>
      <c r="CS71" s="128" t="s">
        <v>287</v>
      </c>
      <c r="CT71" s="128" t="s">
        <v>287</v>
      </c>
      <c r="CU71" s="136" t="s">
        <v>287</v>
      </c>
      <c r="CV71" s="133" t="s">
        <v>287</v>
      </c>
      <c r="CW71" s="133" t="s">
        <v>287</v>
      </c>
      <c r="CX71" s="133" t="s">
        <v>287</v>
      </c>
      <c r="CY71" s="133" t="s">
        <v>287</v>
      </c>
      <c r="CZ71" s="133" t="s">
        <v>287</v>
      </c>
      <c r="DA71" s="136" t="s">
        <v>287</v>
      </c>
      <c r="DB71" s="379" t="s">
        <v>287</v>
      </c>
      <c r="DC71" s="379" t="s">
        <v>287</v>
      </c>
      <c r="DD71" s="128" t="s">
        <v>287</v>
      </c>
      <c r="DE71" s="128" t="s">
        <v>287</v>
      </c>
      <c r="DF71" s="128" t="s">
        <v>287</v>
      </c>
      <c r="DG71" s="15">
        <v>175</v>
      </c>
      <c r="DH71" s="20">
        <v>1.8660695244188525E-2</v>
      </c>
      <c r="DI71" s="470" t="s">
        <v>287</v>
      </c>
      <c r="DJ71" s="471" t="s">
        <v>287</v>
      </c>
      <c r="DK71" s="11">
        <v>3092</v>
      </c>
      <c r="DL71" s="20">
        <v>3.7113055585562875E-2</v>
      </c>
      <c r="DM71" s="379">
        <v>1485</v>
      </c>
      <c r="DN71" s="128">
        <v>1480</v>
      </c>
      <c r="DO71" s="128">
        <v>1620</v>
      </c>
      <c r="DP71" s="128">
        <v>1535</v>
      </c>
      <c r="DQ71" s="128">
        <v>1445</v>
      </c>
      <c r="DR71" s="379" t="s">
        <v>287</v>
      </c>
      <c r="DS71" s="128" t="s">
        <v>287</v>
      </c>
      <c r="DT71" s="128" t="s">
        <v>287</v>
      </c>
      <c r="DU71" s="128" t="s">
        <v>287</v>
      </c>
      <c r="DV71" s="128" t="s">
        <v>287</v>
      </c>
      <c r="DW71" s="128" t="s">
        <v>287</v>
      </c>
      <c r="DX71" s="128" t="s">
        <v>287</v>
      </c>
      <c r="DY71" s="128" t="s">
        <v>287</v>
      </c>
      <c r="DZ71" s="128" t="s">
        <v>287</v>
      </c>
      <c r="EA71" s="128" t="s">
        <v>287</v>
      </c>
      <c r="EB71" s="128" t="s">
        <v>287</v>
      </c>
      <c r="EC71" s="128" t="s">
        <v>287</v>
      </c>
      <c r="ED71" s="128" t="s">
        <v>287</v>
      </c>
      <c r="EE71" s="128" t="s">
        <v>287</v>
      </c>
      <c r="EF71" s="128" t="s">
        <v>287</v>
      </c>
      <c r="EG71" s="128" t="s">
        <v>287</v>
      </c>
      <c r="EH71" s="128" t="s">
        <v>287</v>
      </c>
      <c r="EI71" s="128" t="s">
        <v>287</v>
      </c>
      <c r="EJ71" s="128" t="s">
        <v>287</v>
      </c>
      <c r="EK71" s="128" t="s">
        <v>287</v>
      </c>
      <c r="EL71" s="128" t="s">
        <v>287</v>
      </c>
      <c r="EM71" s="128" t="s">
        <v>287</v>
      </c>
      <c r="EN71" s="128" t="s">
        <v>287</v>
      </c>
      <c r="EO71" s="128" t="s">
        <v>287</v>
      </c>
      <c r="EP71" s="442" t="s">
        <v>287</v>
      </c>
      <c r="EQ71" s="344" t="s">
        <v>287</v>
      </c>
      <c r="ER71" s="133" t="s">
        <v>287</v>
      </c>
      <c r="ES71" s="344" t="s">
        <v>287</v>
      </c>
      <c r="ET71" s="133" t="s">
        <v>287</v>
      </c>
      <c r="EU71" s="344" t="s">
        <v>287</v>
      </c>
      <c r="EV71" s="133" t="s">
        <v>287</v>
      </c>
      <c r="EW71" s="344" t="s">
        <v>287</v>
      </c>
      <c r="EX71" s="133" t="s">
        <v>287</v>
      </c>
      <c r="EY71" s="344" t="s">
        <v>287</v>
      </c>
      <c r="EZ71" s="133" t="s">
        <v>287</v>
      </c>
      <c r="FA71" s="345" t="s">
        <v>287</v>
      </c>
      <c r="FB71" s="128" t="s">
        <v>287</v>
      </c>
      <c r="FC71" s="128" t="s">
        <v>287</v>
      </c>
      <c r="FD71" s="128" t="s">
        <v>287</v>
      </c>
      <c r="FE71" s="344" t="s">
        <v>287</v>
      </c>
      <c r="FF71" s="128" t="s">
        <v>287</v>
      </c>
      <c r="FG71" s="128" t="s">
        <v>287</v>
      </c>
      <c r="FH71" s="344" t="s">
        <v>287</v>
      </c>
      <c r="FI71" s="344" t="s">
        <v>287</v>
      </c>
      <c r="FJ71" s="344" t="s">
        <v>287</v>
      </c>
      <c r="FK71" s="344" t="s">
        <v>287</v>
      </c>
      <c r="FL71" s="344" t="s">
        <v>287</v>
      </c>
      <c r="FM71" s="345" t="s">
        <v>287</v>
      </c>
      <c r="FN71" s="528" t="s">
        <v>287</v>
      </c>
      <c r="FO71" s="344" t="s">
        <v>287</v>
      </c>
      <c r="FP71" s="344" t="s">
        <v>287</v>
      </c>
      <c r="FQ71" s="344" t="s">
        <v>287</v>
      </c>
      <c r="FR71" s="344" t="s">
        <v>287</v>
      </c>
      <c r="FS71" s="344" t="s">
        <v>287</v>
      </c>
      <c r="FT71" s="528" t="s">
        <v>287</v>
      </c>
      <c r="FU71" s="344" t="s">
        <v>287</v>
      </c>
      <c r="FV71" s="344" t="s">
        <v>287</v>
      </c>
      <c r="FW71" s="345" t="s">
        <v>287</v>
      </c>
      <c r="FX71" s="534" t="s">
        <v>287</v>
      </c>
      <c r="FY71" s="528" t="s">
        <v>287</v>
      </c>
      <c r="FZ71" s="528" t="s">
        <v>287</v>
      </c>
      <c r="GA71" s="344" t="s">
        <v>287</v>
      </c>
      <c r="GB71" s="528" t="s">
        <v>287</v>
      </c>
      <c r="GC71" s="528" t="s">
        <v>287</v>
      </c>
      <c r="GD71" s="528" t="s">
        <v>287</v>
      </c>
      <c r="GE71" s="344" t="s">
        <v>287</v>
      </c>
      <c r="GF71" s="344" t="s">
        <v>287</v>
      </c>
      <c r="GG71" s="344" t="s">
        <v>287</v>
      </c>
      <c r="GH71" s="344" t="s">
        <v>287</v>
      </c>
      <c r="GI71" s="344" t="s">
        <v>287</v>
      </c>
      <c r="GJ71" s="345" t="s">
        <v>287</v>
      </c>
      <c r="GK71" s="128" t="s">
        <v>287</v>
      </c>
      <c r="GL71" s="482" t="s">
        <v>287</v>
      </c>
      <c r="GM71" s="344" t="s">
        <v>287</v>
      </c>
      <c r="GN71" s="344" t="s">
        <v>287</v>
      </c>
      <c r="GO71" s="344" t="s">
        <v>287</v>
      </c>
      <c r="GP71" s="516" t="s">
        <v>287</v>
      </c>
      <c r="GQ71" s="128" t="s">
        <v>287</v>
      </c>
      <c r="GR71" s="482" t="s">
        <v>287</v>
      </c>
      <c r="GS71" s="344" t="s">
        <v>287</v>
      </c>
      <c r="GT71" s="344" t="s">
        <v>287</v>
      </c>
      <c r="GU71" s="344" t="s">
        <v>287</v>
      </c>
      <c r="GV71" s="505" t="s">
        <v>287</v>
      </c>
      <c r="GW71" s="128" t="s">
        <v>287</v>
      </c>
      <c r="GX71" s="482" t="s">
        <v>287</v>
      </c>
      <c r="GY71" s="344" t="s">
        <v>287</v>
      </c>
      <c r="GZ71" s="344" t="s">
        <v>287</v>
      </c>
      <c r="HA71" s="344" t="s">
        <v>287</v>
      </c>
      <c r="HB71" s="505" t="s">
        <v>287</v>
      </c>
      <c r="HC71" s="128" t="s">
        <v>287</v>
      </c>
      <c r="HD71" s="482" t="s">
        <v>287</v>
      </c>
      <c r="HE71" s="344" t="s">
        <v>287</v>
      </c>
      <c r="HF71" s="344" t="s">
        <v>287</v>
      </c>
      <c r="HG71" s="344" t="s">
        <v>287</v>
      </c>
      <c r="HH71" s="505" t="s">
        <v>287</v>
      </c>
      <c r="HI71" s="128" t="s">
        <v>287</v>
      </c>
      <c r="HJ71" s="128" t="s">
        <v>287</v>
      </c>
      <c r="HK71" s="344" t="s">
        <v>287</v>
      </c>
      <c r="HL71" s="344" t="s">
        <v>287</v>
      </c>
      <c r="HM71" s="344" t="s">
        <v>287</v>
      </c>
      <c r="HN71" s="505" t="s">
        <v>287</v>
      </c>
      <c r="HO71" s="128">
        <v>1558</v>
      </c>
      <c r="HP71" s="128">
        <v>125</v>
      </c>
      <c r="HQ71" s="344">
        <v>8.0231065468549426E-2</v>
      </c>
      <c r="HR71" s="344">
        <v>6.7751759321581062E-2</v>
      </c>
      <c r="HS71" s="344">
        <v>9.477527399994648E-2</v>
      </c>
      <c r="HT71" s="510" t="str">
        <f t="shared" ref="HT71:HT77" si="2">IF(HR71&gt;$HS$78, "Sig worse than Eng.", IF(HS71&lt;$HR$78,"Sig better than Eng.", "No Sig diff"))</f>
        <v>No Sig diff</v>
      </c>
      <c r="HU71" s="128" t="s">
        <v>287</v>
      </c>
      <c r="HV71" s="482" t="s">
        <v>287</v>
      </c>
      <c r="HW71" s="344" t="s">
        <v>287</v>
      </c>
      <c r="HX71" s="344" t="s">
        <v>287</v>
      </c>
      <c r="HY71" s="344" t="s">
        <v>287</v>
      </c>
      <c r="HZ71" s="128" t="s">
        <v>287</v>
      </c>
      <c r="IA71" s="128" t="s">
        <v>287</v>
      </c>
      <c r="IB71" s="482" t="s">
        <v>287</v>
      </c>
      <c r="IC71" s="344" t="s">
        <v>287</v>
      </c>
      <c r="ID71" s="344" t="s">
        <v>287</v>
      </c>
      <c r="IE71" s="344" t="s">
        <v>287</v>
      </c>
      <c r="IF71" s="128" t="s">
        <v>287</v>
      </c>
      <c r="IG71" s="128" t="s">
        <v>287</v>
      </c>
      <c r="IH71" s="482" t="s">
        <v>287</v>
      </c>
      <c r="II71" s="344" t="s">
        <v>287</v>
      </c>
      <c r="IJ71" s="344" t="s">
        <v>287</v>
      </c>
      <c r="IK71" s="344" t="s">
        <v>287</v>
      </c>
      <c r="IL71" s="128" t="s">
        <v>287</v>
      </c>
      <c r="IM71" s="128" t="s">
        <v>287</v>
      </c>
      <c r="IN71" s="482" t="s">
        <v>287</v>
      </c>
      <c r="IO71" s="344" t="s">
        <v>287</v>
      </c>
      <c r="IP71" s="344" t="s">
        <v>287</v>
      </c>
      <c r="IQ71" s="344" t="s">
        <v>287</v>
      </c>
      <c r="IR71" s="128" t="s">
        <v>287</v>
      </c>
      <c r="IS71" s="128" t="s">
        <v>287</v>
      </c>
      <c r="IT71" s="128" t="s">
        <v>287</v>
      </c>
      <c r="IU71" s="128" t="s">
        <v>287</v>
      </c>
      <c r="IV71" s="128" t="s">
        <v>287</v>
      </c>
      <c r="IW71" s="128" t="s">
        <v>287</v>
      </c>
      <c r="IX71" s="505" t="s">
        <v>287</v>
      </c>
      <c r="IY71" s="128">
        <v>1481</v>
      </c>
      <c r="IZ71" s="128">
        <v>249</v>
      </c>
      <c r="JA71" s="344">
        <v>0.16812964213369344</v>
      </c>
      <c r="JB71" s="344">
        <v>0.14994678213938784</v>
      </c>
      <c r="JC71" s="344">
        <v>0.18802967712466842</v>
      </c>
      <c r="JD71" s="136" t="str">
        <f t="shared" ref="JD71:JD77" si="3">IF(JB71&gt;$JC$78,"Sig worse than Eng.",IF(JC71&lt;$JB$78,"Sig better than Eng.","No sig diff"))</f>
        <v>Sig better than Eng.</v>
      </c>
      <c r="JE71" s="11">
        <v>1955</v>
      </c>
      <c r="JF71" s="11">
        <v>929</v>
      </c>
      <c r="JG71" s="20">
        <v>0.4751918158567775</v>
      </c>
      <c r="JH71" s="20">
        <v>0.45312560281556069</v>
      </c>
      <c r="JI71" s="20">
        <v>0.49735533092044565</v>
      </c>
      <c r="JJ71" s="11">
        <v>1955</v>
      </c>
      <c r="JK71" s="11">
        <v>33</v>
      </c>
      <c r="JL71" s="11">
        <v>391</v>
      </c>
      <c r="JM71" s="384">
        <v>22.069053708439903</v>
      </c>
      <c r="JN71" s="20">
        <v>0.33124079671394235</v>
      </c>
      <c r="JO71" s="11">
        <v>1961</v>
      </c>
      <c r="JP71" s="11">
        <v>1078</v>
      </c>
      <c r="JQ71" s="20">
        <v>0.5497195308516063</v>
      </c>
      <c r="JR71" s="20">
        <v>0.52762343707184223</v>
      </c>
      <c r="JS71" s="20">
        <v>0.57162121145926115</v>
      </c>
      <c r="JT71" s="11">
        <v>1961</v>
      </c>
      <c r="JU71" s="11">
        <v>34</v>
      </c>
      <c r="JV71" s="11">
        <v>392</v>
      </c>
      <c r="JW71" s="384">
        <v>22.890306122448965</v>
      </c>
      <c r="JX71" s="20">
        <v>0.32675570228091277</v>
      </c>
      <c r="JY71" s="44">
        <v>1738</v>
      </c>
      <c r="JZ71" s="44">
        <v>1029</v>
      </c>
      <c r="KA71" s="497">
        <v>0.59199999999999997</v>
      </c>
      <c r="KB71" s="497">
        <v>0.5687748123504528</v>
      </c>
      <c r="KC71" s="497">
        <v>0.61493880772645981</v>
      </c>
      <c r="KD71" s="438">
        <v>34</v>
      </c>
      <c r="KE71" s="438">
        <v>347</v>
      </c>
      <c r="KF71" s="384">
        <v>23.6</v>
      </c>
      <c r="KG71" s="104">
        <v>0.30499999999999999</v>
      </c>
      <c r="KH71" s="344" t="s">
        <v>287</v>
      </c>
      <c r="KI71" s="344" t="s">
        <v>287</v>
      </c>
      <c r="KJ71" s="344" t="s">
        <v>287</v>
      </c>
      <c r="KK71" s="344" t="s">
        <v>287</v>
      </c>
      <c r="KL71" s="344" t="s">
        <v>287</v>
      </c>
      <c r="KM71" s="344" t="s">
        <v>287</v>
      </c>
      <c r="KN71" s="344" t="s">
        <v>287</v>
      </c>
      <c r="KO71" s="344" t="s">
        <v>287</v>
      </c>
      <c r="KP71" s="344" t="s">
        <v>287</v>
      </c>
      <c r="KQ71" s="344" t="s">
        <v>287</v>
      </c>
      <c r="KR71" s="344" t="s">
        <v>287</v>
      </c>
      <c r="KS71" s="344" t="s">
        <v>287</v>
      </c>
      <c r="KT71" s="344" t="s">
        <v>287</v>
      </c>
      <c r="KU71" s="344" t="s">
        <v>287</v>
      </c>
      <c r="KV71" s="344" t="s">
        <v>287</v>
      </c>
      <c r="KW71" s="345" t="s">
        <v>287</v>
      </c>
      <c r="KX71" s="534">
        <v>113</v>
      </c>
      <c r="KY71" s="534">
        <v>878</v>
      </c>
      <c r="KZ71" s="344">
        <v>0.12870159453302962</v>
      </c>
      <c r="LA71" s="344">
        <v>0.10815810117410501</v>
      </c>
      <c r="LB71" s="344">
        <v>0.15247997216854112</v>
      </c>
      <c r="LC71" s="534">
        <v>84</v>
      </c>
      <c r="LD71" s="534">
        <v>878</v>
      </c>
      <c r="LE71" s="344">
        <v>9.5671981776765377E-2</v>
      </c>
      <c r="LF71" s="344">
        <v>7.7939876172723063E-2</v>
      </c>
      <c r="LG71" s="344">
        <v>0.11692673743660016</v>
      </c>
      <c r="LH71" s="534">
        <v>101</v>
      </c>
      <c r="LI71" s="534">
        <v>871</v>
      </c>
      <c r="LJ71" s="344">
        <v>0.11595866819747416</v>
      </c>
      <c r="LK71" s="344">
        <v>9.6361713766940846E-2</v>
      </c>
      <c r="LL71" s="344">
        <v>0.13892829992099412</v>
      </c>
      <c r="LM71" s="534">
        <v>189</v>
      </c>
      <c r="LN71" s="534">
        <v>861</v>
      </c>
      <c r="LO71" s="344">
        <v>0.21951219512195122</v>
      </c>
      <c r="LP71" s="344">
        <v>0.19314372649163489</v>
      </c>
      <c r="LQ71" s="345">
        <v>0.24837240912630451</v>
      </c>
      <c r="LR71" s="128" t="s">
        <v>287</v>
      </c>
      <c r="LS71" s="128" t="s">
        <v>287</v>
      </c>
      <c r="LT71" s="128" t="s">
        <v>287</v>
      </c>
      <c r="LU71" s="128" t="s">
        <v>287</v>
      </c>
      <c r="LV71" s="128" t="s">
        <v>287</v>
      </c>
      <c r="LW71" s="128" t="s">
        <v>287</v>
      </c>
      <c r="LX71" s="128" t="s">
        <v>287</v>
      </c>
      <c r="LY71" s="128" t="s">
        <v>287</v>
      </c>
      <c r="LZ71" s="128" t="s">
        <v>287</v>
      </c>
      <c r="MA71" s="128" t="s">
        <v>287</v>
      </c>
      <c r="MB71" s="128" t="s">
        <v>287</v>
      </c>
      <c r="MC71" s="128" t="s">
        <v>287</v>
      </c>
      <c r="MD71" s="128" t="s">
        <v>287</v>
      </c>
      <c r="ME71" s="128" t="s">
        <v>287</v>
      </c>
      <c r="MF71" s="128" t="s">
        <v>287</v>
      </c>
      <c r="MG71" s="128" t="s">
        <v>287</v>
      </c>
      <c r="MH71" s="128" t="s">
        <v>287</v>
      </c>
      <c r="MI71" s="128" t="s">
        <v>287</v>
      </c>
      <c r="MJ71" s="128" t="s">
        <v>287</v>
      </c>
      <c r="MK71" s="128" t="s">
        <v>287</v>
      </c>
      <c r="ML71" s="128" t="s">
        <v>287</v>
      </c>
      <c r="MM71" s="128" t="s">
        <v>287</v>
      </c>
      <c r="MN71" s="136" t="s">
        <v>287</v>
      </c>
      <c r="MO71" s="128" t="s">
        <v>287</v>
      </c>
      <c r="MP71" s="128" t="s">
        <v>287</v>
      </c>
      <c r="MQ71" s="128" t="s">
        <v>287</v>
      </c>
      <c r="MR71" s="128" t="s">
        <v>287</v>
      </c>
      <c r="MS71" s="128" t="s">
        <v>287</v>
      </c>
      <c r="MT71" s="128" t="s">
        <v>287</v>
      </c>
      <c r="MU71" s="128" t="s">
        <v>287</v>
      </c>
      <c r="MV71" s="128" t="s">
        <v>287</v>
      </c>
      <c r="MW71" s="128" t="s">
        <v>287</v>
      </c>
      <c r="MX71" s="128" t="s">
        <v>287</v>
      </c>
      <c r="MY71" s="128" t="s">
        <v>287</v>
      </c>
      <c r="MZ71" s="128" t="s">
        <v>287</v>
      </c>
      <c r="NA71" s="128" t="s">
        <v>287</v>
      </c>
      <c r="NB71" s="128" t="s">
        <v>287</v>
      </c>
      <c r="NC71" s="128" t="s">
        <v>287</v>
      </c>
      <c r="ND71" s="128" t="s">
        <v>287</v>
      </c>
      <c r="NE71" s="128" t="s">
        <v>287</v>
      </c>
      <c r="NF71" s="128" t="s">
        <v>287</v>
      </c>
      <c r="NG71" s="128" t="s">
        <v>287</v>
      </c>
      <c r="NH71" s="128" t="s">
        <v>287</v>
      </c>
      <c r="NI71" s="128" t="s">
        <v>287</v>
      </c>
      <c r="NJ71" s="128" t="s">
        <v>287</v>
      </c>
      <c r="NK71" s="128" t="s">
        <v>287</v>
      </c>
      <c r="NL71" s="128" t="s">
        <v>287</v>
      </c>
      <c r="NM71" s="128" t="s">
        <v>287</v>
      </c>
      <c r="NN71" s="128" t="s">
        <v>287</v>
      </c>
      <c r="NO71" s="128" t="s">
        <v>287</v>
      </c>
      <c r="NP71" s="128" t="s">
        <v>287</v>
      </c>
      <c r="NQ71" s="128" t="s">
        <v>287</v>
      </c>
      <c r="NR71" s="128" t="s">
        <v>287</v>
      </c>
      <c r="NS71" s="128" t="s">
        <v>287</v>
      </c>
      <c r="NT71" s="128" t="s">
        <v>287</v>
      </c>
      <c r="NU71" s="128" t="s">
        <v>287</v>
      </c>
      <c r="NV71" s="128" t="s">
        <v>287</v>
      </c>
      <c r="NW71" s="128" t="s">
        <v>287</v>
      </c>
      <c r="NX71" s="128" t="s">
        <v>287</v>
      </c>
      <c r="NY71" s="128" t="s">
        <v>287</v>
      </c>
      <c r="NZ71" s="128" t="s">
        <v>287</v>
      </c>
      <c r="OA71" s="136" t="s">
        <v>287</v>
      </c>
    </row>
    <row r="72" spans="1:391" s="11" customFormat="1" ht="12.75" x14ac:dyDescent="0.2">
      <c r="A72" s="11" t="s">
        <v>107</v>
      </c>
      <c r="B72" s="8">
        <v>2</v>
      </c>
      <c r="C72" s="11" t="s">
        <v>287</v>
      </c>
      <c r="D72" s="11" t="s">
        <v>287</v>
      </c>
      <c r="E72" s="11" t="s">
        <v>287</v>
      </c>
      <c r="F72" s="11" t="s">
        <v>287</v>
      </c>
      <c r="G72" s="11" t="s">
        <v>287</v>
      </c>
      <c r="H72" s="11" t="s">
        <v>287</v>
      </c>
      <c r="I72" s="11" t="s">
        <v>287</v>
      </c>
      <c r="J72" s="11" t="s">
        <v>398</v>
      </c>
      <c r="K72" s="11" t="s">
        <v>287</v>
      </c>
      <c r="L72" s="11" t="s">
        <v>272</v>
      </c>
      <c r="M72" s="11" t="s">
        <v>287</v>
      </c>
      <c r="N72" s="11" t="s">
        <v>287</v>
      </c>
      <c r="O72" s="128" t="s">
        <v>287</v>
      </c>
      <c r="P72" s="128" t="s">
        <v>287</v>
      </c>
      <c r="Q72" s="128" t="s">
        <v>287</v>
      </c>
      <c r="R72" s="128" t="s">
        <v>287</v>
      </c>
      <c r="S72" s="128" t="s">
        <v>287</v>
      </c>
      <c r="T72" s="38">
        <v>264550</v>
      </c>
      <c r="U72" s="44">
        <v>266350</v>
      </c>
      <c r="V72" s="44">
        <v>268100</v>
      </c>
      <c r="W72" s="44">
        <v>269550</v>
      </c>
      <c r="X72" s="44">
        <v>270700</v>
      </c>
      <c r="Y72" s="44">
        <v>272600</v>
      </c>
      <c r="Z72" s="44">
        <v>274300</v>
      </c>
      <c r="AA72" s="44">
        <v>276200</v>
      </c>
      <c r="AB72" s="44">
        <v>277800</v>
      </c>
      <c r="AC72" s="44">
        <v>279635</v>
      </c>
      <c r="AD72" s="38">
        <v>13350</v>
      </c>
      <c r="AE72" s="44">
        <v>13550</v>
      </c>
      <c r="AF72" s="44">
        <v>13900</v>
      </c>
      <c r="AG72" s="44">
        <v>14150</v>
      </c>
      <c r="AH72" s="44">
        <v>14400</v>
      </c>
      <c r="AI72" s="44">
        <v>14750</v>
      </c>
      <c r="AJ72" s="44">
        <v>15100</v>
      </c>
      <c r="AK72" s="44">
        <v>15400</v>
      </c>
      <c r="AL72" s="44">
        <v>15350</v>
      </c>
      <c r="AM72" s="44">
        <v>15341</v>
      </c>
      <c r="AN72" s="15">
        <v>15045</v>
      </c>
      <c r="AO72" s="11">
        <v>13218</v>
      </c>
      <c r="AP72" s="11">
        <v>513</v>
      </c>
      <c r="AQ72" s="11">
        <v>722</v>
      </c>
      <c r="AR72" s="11">
        <v>448</v>
      </c>
      <c r="AS72" s="11">
        <v>77</v>
      </c>
      <c r="AT72" s="11">
        <v>67</v>
      </c>
      <c r="AU72" s="11">
        <v>1827</v>
      </c>
      <c r="AV72" s="18">
        <v>0.879</v>
      </c>
      <c r="AW72" s="20">
        <v>3.4000000000000002E-2</v>
      </c>
      <c r="AX72" s="20">
        <v>4.8000000000000001E-2</v>
      </c>
      <c r="AY72" s="20">
        <v>0.03</v>
      </c>
      <c r="AZ72" s="20">
        <v>5.0000000000000001E-3</v>
      </c>
      <c r="BA72" s="20">
        <v>4.0000000000000001E-3</v>
      </c>
      <c r="BB72" s="20">
        <v>0.121</v>
      </c>
      <c r="BC72" s="38">
        <v>37709</v>
      </c>
      <c r="BD72" s="44">
        <v>36873</v>
      </c>
      <c r="BE72" s="44">
        <v>836</v>
      </c>
      <c r="BF72" s="44">
        <v>698</v>
      </c>
      <c r="BG72" s="44">
        <v>138</v>
      </c>
      <c r="BH72" s="20">
        <v>0.83499999999999996</v>
      </c>
      <c r="BI72" s="20">
        <v>0.16500000000000001</v>
      </c>
      <c r="BJ72" s="38">
        <v>28968</v>
      </c>
      <c r="BK72" s="20">
        <v>0.628</v>
      </c>
      <c r="BL72" s="20">
        <v>0.14299999999999999</v>
      </c>
      <c r="BM72" s="20">
        <v>0.22900000000000001</v>
      </c>
      <c r="BN72" s="442" t="s">
        <v>287</v>
      </c>
      <c r="BO72" s="133" t="s">
        <v>287</v>
      </c>
      <c r="BP72" s="133" t="s">
        <v>287</v>
      </c>
      <c r="BQ72" s="133" t="s">
        <v>287</v>
      </c>
      <c r="BR72" s="133" t="s">
        <v>287</v>
      </c>
      <c r="BS72" s="133" t="s">
        <v>287</v>
      </c>
      <c r="BT72" s="128" t="s">
        <v>287</v>
      </c>
      <c r="BU72" s="442">
        <v>16897</v>
      </c>
      <c r="BV72" s="133">
        <v>23</v>
      </c>
      <c r="BW72" s="133">
        <v>4470</v>
      </c>
      <c r="BX72" s="133">
        <v>6822</v>
      </c>
      <c r="BY72" s="133">
        <v>2345</v>
      </c>
      <c r="BZ72" s="123">
        <v>30557</v>
      </c>
      <c r="CA72" s="44">
        <v>11869</v>
      </c>
      <c r="CB72" s="44">
        <v>9636</v>
      </c>
      <c r="CC72" s="44">
        <v>2202</v>
      </c>
      <c r="CD72" s="44">
        <v>2233</v>
      </c>
      <c r="CE72" s="20">
        <v>0.18552531805543854</v>
      </c>
      <c r="CF72" s="104">
        <v>0.18813716404077849</v>
      </c>
      <c r="CG72" s="44">
        <v>1985</v>
      </c>
      <c r="CH72" s="44">
        <v>1805</v>
      </c>
      <c r="CI72" s="44">
        <v>1570</v>
      </c>
      <c r="CJ72" s="44">
        <v>1480</v>
      </c>
      <c r="CK72" s="44">
        <v>1380</v>
      </c>
      <c r="CL72" s="38">
        <v>6808</v>
      </c>
      <c r="CM72" s="44">
        <v>2392</v>
      </c>
      <c r="CN72" s="20">
        <v>0.35135135135135137</v>
      </c>
      <c r="CO72" s="40">
        <v>672</v>
      </c>
      <c r="CP72" s="128" t="s">
        <v>287</v>
      </c>
      <c r="CQ72" s="128" t="s">
        <v>287</v>
      </c>
      <c r="CR72" s="128" t="s">
        <v>287</v>
      </c>
      <c r="CS72" s="128" t="s">
        <v>287</v>
      </c>
      <c r="CT72" s="128" t="s">
        <v>287</v>
      </c>
      <c r="CU72" s="136" t="s">
        <v>287</v>
      </c>
      <c r="CV72" s="133" t="s">
        <v>287</v>
      </c>
      <c r="CW72" s="133" t="s">
        <v>287</v>
      </c>
      <c r="CX72" s="133" t="s">
        <v>287</v>
      </c>
      <c r="CY72" s="133" t="s">
        <v>287</v>
      </c>
      <c r="CZ72" s="133" t="s">
        <v>287</v>
      </c>
      <c r="DA72" s="136" t="s">
        <v>287</v>
      </c>
      <c r="DB72" s="379" t="s">
        <v>287</v>
      </c>
      <c r="DC72" s="379" t="s">
        <v>287</v>
      </c>
      <c r="DD72" s="128" t="s">
        <v>287</v>
      </c>
      <c r="DE72" s="128" t="s">
        <v>287</v>
      </c>
      <c r="DF72" s="128" t="s">
        <v>287</v>
      </c>
      <c r="DG72" s="15">
        <v>289</v>
      </c>
      <c r="DH72" s="20">
        <v>1.9224373045965543E-2</v>
      </c>
      <c r="DI72" s="470" t="s">
        <v>287</v>
      </c>
      <c r="DJ72" s="471" t="s">
        <v>287</v>
      </c>
      <c r="DK72" s="11">
        <v>5313</v>
      </c>
      <c r="DL72" s="20">
        <v>4.3575611436445054E-2</v>
      </c>
      <c r="DM72" s="379">
        <v>2725</v>
      </c>
      <c r="DN72" s="128">
        <v>2710</v>
      </c>
      <c r="DO72" s="128">
        <v>2705</v>
      </c>
      <c r="DP72" s="128">
        <v>2505</v>
      </c>
      <c r="DQ72" s="128">
        <v>2215</v>
      </c>
      <c r="DR72" s="379" t="s">
        <v>287</v>
      </c>
      <c r="DS72" s="344" t="s">
        <v>287</v>
      </c>
      <c r="DT72" s="128" t="s">
        <v>287</v>
      </c>
      <c r="DU72" s="128" t="s">
        <v>287</v>
      </c>
      <c r="DV72" s="128" t="s">
        <v>287</v>
      </c>
      <c r="DW72" s="344" t="s">
        <v>287</v>
      </c>
      <c r="DX72" s="128" t="s">
        <v>287</v>
      </c>
      <c r="DY72" s="344" t="s">
        <v>287</v>
      </c>
      <c r="DZ72" s="128" t="s">
        <v>287</v>
      </c>
      <c r="EA72" s="344" t="s">
        <v>287</v>
      </c>
      <c r="EB72" s="128" t="s">
        <v>287</v>
      </c>
      <c r="EC72" s="344" t="s">
        <v>287</v>
      </c>
      <c r="ED72" s="128" t="s">
        <v>287</v>
      </c>
      <c r="EE72" s="344" t="s">
        <v>287</v>
      </c>
      <c r="EF72" s="128" t="s">
        <v>287</v>
      </c>
      <c r="EG72" s="344" t="s">
        <v>287</v>
      </c>
      <c r="EH72" s="128" t="s">
        <v>287</v>
      </c>
      <c r="EI72" s="344" t="s">
        <v>287</v>
      </c>
      <c r="EJ72" s="344" t="s">
        <v>287</v>
      </c>
      <c r="EK72" s="344" t="s">
        <v>287</v>
      </c>
      <c r="EL72" s="344" t="s">
        <v>287</v>
      </c>
      <c r="EM72" s="344" t="s">
        <v>287</v>
      </c>
      <c r="EN72" s="344" t="s">
        <v>287</v>
      </c>
      <c r="EO72" s="344" t="s">
        <v>287</v>
      </c>
      <c r="EP72" s="442" t="s">
        <v>287</v>
      </c>
      <c r="EQ72" s="344" t="s">
        <v>287</v>
      </c>
      <c r="ER72" s="133" t="s">
        <v>287</v>
      </c>
      <c r="ES72" s="344" t="s">
        <v>287</v>
      </c>
      <c r="ET72" s="133" t="s">
        <v>287</v>
      </c>
      <c r="EU72" s="344" t="s">
        <v>287</v>
      </c>
      <c r="EV72" s="133" t="s">
        <v>287</v>
      </c>
      <c r="EW72" s="344" t="s">
        <v>287</v>
      </c>
      <c r="EX72" s="133" t="s">
        <v>287</v>
      </c>
      <c r="EY72" s="344" t="s">
        <v>287</v>
      </c>
      <c r="EZ72" s="133" t="s">
        <v>287</v>
      </c>
      <c r="FA72" s="345" t="s">
        <v>287</v>
      </c>
      <c r="FB72" s="128" t="s">
        <v>287</v>
      </c>
      <c r="FC72" s="128" t="s">
        <v>287</v>
      </c>
      <c r="FD72" s="128" t="s">
        <v>287</v>
      </c>
      <c r="FE72" s="344" t="s">
        <v>287</v>
      </c>
      <c r="FF72" s="128" t="s">
        <v>287</v>
      </c>
      <c r="FG72" s="128" t="s">
        <v>287</v>
      </c>
      <c r="FH72" s="344" t="s">
        <v>287</v>
      </c>
      <c r="FI72" s="344" t="s">
        <v>287</v>
      </c>
      <c r="FJ72" s="344" t="s">
        <v>287</v>
      </c>
      <c r="FK72" s="344" t="s">
        <v>287</v>
      </c>
      <c r="FL72" s="344" t="s">
        <v>287</v>
      </c>
      <c r="FM72" s="345" t="s">
        <v>287</v>
      </c>
      <c r="FN72" s="528" t="s">
        <v>287</v>
      </c>
      <c r="FO72" s="344" t="s">
        <v>287</v>
      </c>
      <c r="FP72" s="344" t="s">
        <v>287</v>
      </c>
      <c r="FQ72" s="344" t="s">
        <v>287</v>
      </c>
      <c r="FR72" s="344" t="s">
        <v>287</v>
      </c>
      <c r="FS72" s="344" t="s">
        <v>287</v>
      </c>
      <c r="FT72" s="528" t="s">
        <v>287</v>
      </c>
      <c r="FU72" s="344" t="s">
        <v>287</v>
      </c>
      <c r="FV72" s="344" t="s">
        <v>287</v>
      </c>
      <c r="FW72" s="345" t="s">
        <v>287</v>
      </c>
      <c r="FX72" s="534" t="s">
        <v>287</v>
      </c>
      <c r="FY72" s="528" t="s">
        <v>287</v>
      </c>
      <c r="FZ72" s="528" t="s">
        <v>287</v>
      </c>
      <c r="GA72" s="344" t="s">
        <v>287</v>
      </c>
      <c r="GB72" s="528" t="s">
        <v>287</v>
      </c>
      <c r="GC72" s="528" t="s">
        <v>287</v>
      </c>
      <c r="GD72" s="528" t="s">
        <v>287</v>
      </c>
      <c r="GE72" s="344" t="s">
        <v>287</v>
      </c>
      <c r="GF72" s="344" t="s">
        <v>287</v>
      </c>
      <c r="GG72" s="344" t="s">
        <v>287</v>
      </c>
      <c r="GH72" s="344" t="s">
        <v>287</v>
      </c>
      <c r="GI72" s="344" t="s">
        <v>287</v>
      </c>
      <c r="GJ72" s="345" t="s">
        <v>287</v>
      </c>
      <c r="GK72" s="128" t="s">
        <v>287</v>
      </c>
      <c r="GL72" s="482" t="s">
        <v>287</v>
      </c>
      <c r="GM72" s="344" t="s">
        <v>287</v>
      </c>
      <c r="GN72" s="344" t="s">
        <v>287</v>
      </c>
      <c r="GO72" s="344" t="s">
        <v>287</v>
      </c>
      <c r="GP72" s="516" t="s">
        <v>287</v>
      </c>
      <c r="GQ72" s="128" t="s">
        <v>287</v>
      </c>
      <c r="GR72" s="482" t="s">
        <v>287</v>
      </c>
      <c r="GS72" s="344" t="s">
        <v>287</v>
      </c>
      <c r="GT72" s="344" t="s">
        <v>287</v>
      </c>
      <c r="GU72" s="344" t="s">
        <v>287</v>
      </c>
      <c r="GV72" s="505" t="s">
        <v>287</v>
      </c>
      <c r="GW72" s="128" t="s">
        <v>287</v>
      </c>
      <c r="GX72" s="482" t="s">
        <v>287</v>
      </c>
      <c r="GY72" s="344" t="s">
        <v>287</v>
      </c>
      <c r="GZ72" s="344" t="s">
        <v>287</v>
      </c>
      <c r="HA72" s="344" t="s">
        <v>287</v>
      </c>
      <c r="HB72" s="505" t="s">
        <v>287</v>
      </c>
      <c r="HC72" s="128" t="s">
        <v>287</v>
      </c>
      <c r="HD72" s="482" t="s">
        <v>287</v>
      </c>
      <c r="HE72" s="344" t="s">
        <v>287</v>
      </c>
      <c r="HF72" s="344" t="s">
        <v>287</v>
      </c>
      <c r="HG72" s="344" t="s">
        <v>287</v>
      </c>
      <c r="HH72" s="505" t="s">
        <v>287</v>
      </c>
      <c r="HI72" s="128" t="s">
        <v>287</v>
      </c>
      <c r="HJ72" s="128" t="s">
        <v>287</v>
      </c>
      <c r="HK72" s="344" t="s">
        <v>287</v>
      </c>
      <c r="HL72" s="344" t="s">
        <v>287</v>
      </c>
      <c r="HM72" s="344" t="s">
        <v>287</v>
      </c>
      <c r="HN72" s="505" t="s">
        <v>287</v>
      </c>
      <c r="HO72" s="128">
        <v>2675</v>
      </c>
      <c r="HP72" s="128">
        <v>216</v>
      </c>
      <c r="HQ72" s="344">
        <v>8.0747663551401866E-2</v>
      </c>
      <c r="HR72" s="344">
        <v>7.1014285825203111E-2</v>
      </c>
      <c r="HS72" s="344">
        <v>9.1683457031354179E-2</v>
      </c>
      <c r="HT72" s="510" t="str">
        <f t="shared" si="2"/>
        <v>No Sig diff</v>
      </c>
      <c r="HU72" s="128" t="s">
        <v>287</v>
      </c>
      <c r="HV72" s="482" t="s">
        <v>287</v>
      </c>
      <c r="HW72" s="344" t="s">
        <v>287</v>
      </c>
      <c r="HX72" s="344" t="s">
        <v>287</v>
      </c>
      <c r="HY72" s="344" t="s">
        <v>287</v>
      </c>
      <c r="HZ72" s="128" t="s">
        <v>287</v>
      </c>
      <c r="IA72" s="128" t="s">
        <v>287</v>
      </c>
      <c r="IB72" s="482" t="s">
        <v>287</v>
      </c>
      <c r="IC72" s="344" t="s">
        <v>287</v>
      </c>
      <c r="ID72" s="344" t="s">
        <v>287</v>
      </c>
      <c r="IE72" s="344" t="s">
        <v>287</v>
      </c>
      <c r="IF72" s="128" t="s">
        <v>287</v>
      </c>
      <c r="IG72" s="128" t="s">
        <v>287</v>
      </c>
      <c r="IH72" s="482" t="s">
        <v>287</v>
      </c>
      <c r="II72" s="344" t="s">
        <v>287</v>
      </c>
      <c r="IJ72" s="344" t="s">
        <v>287</v>
      </c>
      <c r="IK72" s="344" t="s">
        <v>287</v>
      </c>
      <c r="IL72" s="128" t="s">
        <v>287</v>
      </c>
      <c r="IM72" s="128" t="s">
        <v>287</v>
      </c>
      <c r="IN72" s="482" t="s">
        <v>287</v>
      </c>
      <c r="IO72" s="344" t="s">
        <v>287</v>
      </c>
      <c r="IP72" s="344" t="s">
        <v>287</v>
      </c>
      <c r="IQ72" s="344" t="s">
        <v>287</v>
      </c>
      <c r="IR72" s="128" t="s">
        <v>287</v>
      </c>
      <c r="IS72" s="128" t="s">
        <v>287</v>
      </c>
      <c r="IT72" s="128" t="s">
        <v>287</v>
      </c>
      <c r="IU72" s="128" t="s">
        <v>287</v>
      </c>
      <c r="IV72" s="128" t="s">
        <v>287</v>
      </c>
      <c r="IW72" s="128" t="s">
        <v>287</v>
      </c>
      <c r="IX72" s="505" t="s">
        <v>287</v>
      </c>
      <c r="IY72" s="128">
        <v>2410</v>
      </c>
      <c r="IZ72" s="128">
        <v>392</v>
      </c>
      <c r="JA72" s="344">
        <v>0.16265560165975104</v>
      </c>
      <c r="JB72" s="344">
        <v>0.14846021947849977</v>
      </c>
      <c r="JC72" s="344">
        <v>0.17792470358334944</v>
      </c>
      <c r="JD72" s="136" t="str">
        <f t="shared" si="3"/>
        <v>Sig better than Eng.</v>
      </c>
      <c r="JE72" s="11">
        <v>3032</v>
      </c>
      <c r="JF72" s="11">
        <v>1623</v>
      </c>
      <c r="JG72" s="20">
        <v>0.53529023746701843</v>
      </c>
      <c r="JH72" s="20">
        <v>0.51750387204929615</v>
      </c>
      <c r="JI72" s="20">
        <v>0.55298729255952062</v>
      </c>
      <c r="JJ72" s="11">
        <v>3032</v>
      </c>
      <c r="JK72" s="11">
        <v>34</v>
      </c>
      <c r="JL72" s="11">
        <v>606</v>
      </c>
      <c r="JM72" s="384">
        <v>24.288778877887793</v>
      </c>
      <c r="JN72" s="20">
        <v>0.28562415065035901</v>
      </c>
      <c r="JO72" s="11">
        <v>2971</v>
      </c>
      <c r="JP72" s="11">
        <v>1768</v>
      </c>
      <c r="JQ72" s="20">
        <v>0.5950858296869741</v>
      </c>
      <c r="JR72" s="20">
        <v>0.57732306780997178</v>
      </c>
      <c r="JS72" s="20">
        <v>0.61260301995672917</v>
      </c>
      <c r="JT72" s="11">
        <v>2971</v>
      </c>
      <c r="JU72" s="11">
        <v>34</v>
      </c>
      <c r="JV72" s="11">
        <v>594</v>
      </c>
      <c r="JW72" s="384">
        <v>25.101010101010115</v>
      </c>
      <c r="JX72" s="20">
        <v>0.26173499702911429</v>
      </c>
      <c r="JY72" s="44">
        <v>3234</v>
      </c>
      <c r="JZ72" s="44">
        <v>2059</v>
      </c>
      <c r="KA72" s="497">
        <v>0.63700000000000001</v>
      </c>
      <c r="KB72" s="497">
        <v>0.61995098470972387</v>
      </c>
      <c r="KC72" s="497">
        <v>0.6530704127993362</v>
      </c>
      <c r="KD72" s="438">
        <v>34</v>
      </c>
      <c r="KE72" s="438">
        <v>646</v>
      </c>
      <c r="KF72" s="384">
        <v>24.2</v>
      </c>
      <c r="KG72" s="104">
        <v>0.28799999999999998</v>
      </c>
      <c r="KH72" s="344" t="s">
        <v>287</v>
      </c>
      <c r="KI72" s="344" t="s">
        <v>287</v>
      </c>
      <c r="KJ72" s="344" t="s">
        <v>287</v>
      </c>
      <c r="KK72" s="344" t="s">
        <v>287</v>
      </c>
      <c r="KL72" s="344" t="s">
        <v>287</v>
      </c>
      <c r="KM72" s="344" t="s">
        <v>287</v>
      </c>
      <c r="KN72" s="344" t="s">
        <v>287</v>
      </c>
      <c r="KO72" s="344" t="s">
        <v>287</v>
      </c>
      <c r="KP72" s="344" t="s">
        <v>287</v>
      </c>
      <c r="KQ72" s="344" t="s">
        <v>287</v>
      </c>
      <c r="KR72" s="344" t="s">
        <v>287</v>
      </c>
      <c r="KS72" s="344" t="s">
        <v>287</v>
      </c>
      <c r="KT72" s="344" t="s">
        <v>287</v>
      </c>
      <c r="KU72" s="344" t="s">
        <v>287</v>
      </c>
      <c r="KV72" s="344" t="s">
        <v>287</v>
      </c>
      <c r="KW72" s="345" t="s">
        <v>287</v>
      </c>
      <c r="KX72" s="534">
        <v>134</v>
      </c>
      <c r="KY72" s="534">
        <v>1080</v>
      </c>
      <c r="KZ72" s="344">
        <v>0.12407407407407407</v>
      </c>
      <c r="LA72" s="344">
        <v>0.10573494860504903</v>
      </c>
      <c r="LB72" s="344">
        <v>0.14507798774126801</v>
      </c>
      <c r="LC72" s="534">
        <v>101</v>
      </c>
      <c r="LD72" s="534">
        <v>1080</v>
      </c>
      <c r="LE72" s="344">
        <v>9.3518518518518515E-2</v>
      </c>
      <c r="LF72" s="344">
        <v>7.7565654058858818E-2</v>
      </c>
      <c r="LG72" s="344">
        <v>0.11235276726141995</v>
      </c>
      <c r="LH72" s="534">
        <v>117</v>
      </c>
      <c r="LI72" s="534">
        <v>1076</v>
      </c>
      <c r="LJ72" s="344">
        <v>0.10873605947955391</v>
      </c>
      <c r="LK72" s="344">
        <v>9.1508158057272623E-2</v>
      </c>
      <c r="LL72" s="344">
        <v>0.12874774791659435</v>
      </c>
      <c r="LM72" s="534">
        <v>205</v>
      </c>
      <c r="LN72" s="534">
        <v>1075</v>
      </c>
      <c r="LO72" s="344">
        <v>0.19069767441860466</v>
      </c>
      <c r="LP72" s="344">
        <v>0.16833101215439381</v>
      </c>
      <c r="LQ72" s="345">
        <v>0.21526701834127659</v>
      </c>
      <c r="LR72" s="128" t="s">
        <v>287</v>
      </c>
      <c r="LS72" s="128" t="s">
        <v>287</v>
      </c>
      <c r="LT72" s="128" t="s">
        <v>287</v>
      </c>
      <c r="LU72" s="128" t="s">
        <v>287</v>
      </c>
      <c r="LV72" s="128" t="s">
        <v>287</v>
      </c>
      <c r="LW72" s="128" t="s">
        <v>287</v>
      </c>
      <c r="LX72" s="128" t="s">
        <v>287</v>
      </c>
      <c r="LY72" s="128" t="s">
        <v>287</v>
      </c>
      <c r="LZ72" s="128" t="s">
        <v>287</v>
      </c>
      <c r="MA72" s="128" t="s">
        <v>287</v>
      </c>
      <c r="MB72" s="128" t="s">
        <v>287</v>
      </c>
      <c r="MC72" s="128" t="s">
        <v>287</v>
      </c>
      <c r="MD72" s="128" t="s">
        <v>287</v>
      </c>
      <c r="ME72" s="128" t="s">
        <v>287</v>
      </c>
      <c r="MF72" s="128" t="s">
        <v>287</v>
      </c>
      <c r="MG72" s="128" t="s">
        <v>287</v>
      </c>
      <c r="MH72" s="128" t="s">
        <v>287</v>
      </c>
      <c r="MI72" s="128" t="s">
        <v>287</v>
      </c>
      <c r="MJ72" s="128" t="s">
        <v>287</v>
      </c>
      <c r="MK72" s="128" t="s">
        <v>287</v>
      </c>
      <c r="ML72" s="128" t="s">
        <v>287</v>
      </c>
      <c r="MM72" s="128" t="s">
        <v>287</v>
      </c>
      <c r="MN72" s="136" t="s">
        <v>287</v>
      </c>
      <c r="MO72" s="128" t="s">
        <v>287</v>
      </c>
      <c r="MP72" s="128" t="s">
        <v>287</v>
      </c>
      <c r="MQ72" s="128" t="s">
        <v>287</v>
      </c>
      <c r="MR72" s="128" t="s">
        <v>287</v>
      </c>
      <c r="MS72" s="128" t="s">
        <v>287</v>
      </c>
      <c r="MT72" s="128" t="s">
        <v>287</v>
      </c>
      <c r="MU72" s="128" t="s">
        <v>287</v>
      </c>
      <c r="MV72" s="128" t="s">
        <v>287</v>
      </c>
      <c r="MW72" s="128" t="s">
        <v>287</v>
      </c>
      <c r="MX72" s="128" t="s">
        <v>287</v>
      </c>
      <c r="MY72" s="128" t="s">
        <v>287</v>
      </c>
      <c r="MZ72" s="128" t="s">
        <v>287</v>
      </c>
      <c r="NA72" s="128" t="s">
        <v>287</v>
      </c>
      <c r="NB72" s="128" t="s">
        <v>287</v>
      </c>
      <c r="NC72" s="128" t="s">
        <v>287</v>
      </c>
      <c r="ND72" s="128" t="s">
        <v>287</v>
      </c>
      <c r="NE72" s="128" t="s">
        <v>287</v>
      </c>
      <c r="NF72" s="128" t="s">
        <v>287</v>
      </c>
      <c r="NG72" s="128" t="s">
        <v>287</v>
      </c>
      <c r="NH72" s="128" t="s">
        <v>287</v>
      </c>
      <c r="NI72" s="128" t="s">
        <v>287</v>
      </c>
      <c r="NJ72" s="128" t="s">
        <v>287</v>
      </c>
      <c r="NK72" s="128" t="s">
        <v>287</v>
      </c>
      <c r="NL72" s="128" t="s">
        <v>287</v>
      </c>
      <c r="NM72" s="128" t="s">
        <v>287</v>
      </c>
      <c r="NN72" s="128" t="s">
        <v>287</v>
      </c>
      <c r="NO72" s="128" t="s">
        <v>287</v>
      </c>
      <c r="NP72" s="128" t="s">
        <v>287</v>
      </c>
      <c r="NQ72" s="128" t="s">
        <v>287</v>
      </c>
      <c r="NR72" s="128" t="s">
        <v>287</v>
      </c>
      <c r="NS72" s="128" t="s">
        <v>287</v>
      </c>
      <c r="NT72" s="128" t="s">
        <v>287</v>
      </c>
      <c r="NU72" s="128" t="s">
        <v>287</v>
      </c>
      <c r="NV72" s="128" t="s">
        <v>287</v>
      </c>
      <c r="NW72" s="128" t="s">
        <v>287</v>
      </c>
      <c r="NX72" s="128" t="s">
        <v>287</v>
      </c>
      <c r="NY72" s="128" t="s">
        <v>287</v>
      </c>
      <c r="NZ72" s="128" t="s">
        <v>287</v>
      </c>
      <c r="OA72" s="136" t="s">
        <v>287</v>
      </c>
    </row>
    <row r="73" spans="1:391" s="11" customFormat="1" ht="12.75" x14ac:dyDescent="0.2">
      <c r="A73" s="11" t="s">
        <v>109</v>
      </c>
      <c r="B73" s="8">
        <v>3</v>
      </c>
      <c r="C73" s="11" t="s">
        <v>287</v>
      </c>
      <c r="D73" s="11" t="s">
        <v>287</v>
      </c>
      <c r="E73" s="11" t="s">
        <v>287</v>
      </c>
      <c r="F73" s="11" t="s">
        <v>287</v>
      </c>
      <c r="G73" s="11" t="s">
        <v>287</v>
      </c>
      <c r="H73" s="11" t="s">
        <v>287</v>
      </c>
      <c r="I73" s="11" t="s">
        <v>287</v>
      </c>
      <c r="J73" s="11" t="s">
        <v>270</v>
      </c>
      <c r="K73" s="11" t="s">
        <v>287</v>
      </c>
      <c r="L73" s="11" t="s">
        <v>273</v>
      </c>
      <c r="M73" s="11" t="s">
        <v>287</v>
      </c>
      <c r="N73" s="11" t="s">
        <v>287</v>
      </c>
      <c r="O73" s="128" t="s">
        <v>287</v>
      </c>
      <c r="P73" s="128" t="s">
        <v>287</v>
      </c>
      <c r="Q73" s="128" t="s">
        <v>287</v>
      </c>
      <c r="R73" s="128" t="s">
        <v>287</v>
      </c>
      <c r="S73" s="128" t="s">
        <v>287</v>
      </c>
      <c r="T73" s="38">
        <v>99700</v>
      </c>
      <c r="U73" s="44">
        <v>100750</v>
      </c>
      <c r="V73" s="44">
        <v>101600</v>
      </c>
      <c r="W73" s="44">
        <v>102850</v>
      </c>
      <c r="X73" s="44">
        <v>103850</v>
      </c>
      <c r="Y73" s="44">
        <v>105500</v>
      </c>
      <c r="Z73" s="44">
        <v>107050</v>
      </c>
      <c r="AA73" s="44">
        <v>108300</v>
      </c>
      <c r="AB73" s="44">
        <v>108950</v>
      </c>
      <c r="AC73" s="44">
        <v>109885</v>
      </c>
      <c r="AD73" s="38">
        <v>6300</v>
      </c>
      <c r="AE73" s="44">
        <v>6350</v>
      </c>
      <c r="AF73" s="44">
        <v>6600</v>
      </c>
      <c r="AG73" s="44">
        <v>6950</v>
      </c>
      <c r="AH73" s="44">
        <v>7200</v>
      </c>
      <c r="AI73" s="44">
        <v>7750</v>
      </c>
      <c r="AJ73" s="44">
        <v>8150</v>
      </c>
      <c r="AK73" s="44">
        <v>8300</v>
      </c>
      <c r="AL73" s="44">
        <v>8350</v>
      </c>
      <c r="AM73" s="44">
        <v>8470</v>
      </c>
      <c r="AN73" s="15">
        <v>8071</v>
      </c>
      <c r="AO73" s="11">
        <v>5020</v>
      </c>
      <c r="AP73" s="11">
        <v>530</v>
      </c>
      <c r="AQ73" s="11">
        <v>622</v>
      </c>
      <c r="AR73" s="11">
        <v>1401</v>
      </c>
      <c r="AS73" s="11">
        <v>393</v>
      </c>
      <c r="AT73" s="11">
        <v>105</v>
      </c>
      <c r="AU73" s="11">
        <v>3051</v>
      </c>
      <c r="AV73" s="18">
        <v>0.622</v>
      </c>
      <c r="AW73" s="20">
        <v>6.6000000000000003E-2</v>
      </c>
      <c r="AX73" s="20">
        <v>7.6999999999999999E-2</v>
      </c>
      <c r="AY73" s="20">
        <v>0.17399999999999999</v>
      </c>
      <c r="AZ73" s="20">
        <v>4.9000000000000002E-2</v>
      </c>
      <c r="BA73" s="20">
        <v>1.2999999999999999E-2</v>
      </c>
      <c r="BB73" s="20">
        <v>0.378</v>
      </c>
      <c r="BC73" s="38">
        <v>17053</v>
      </c>
      <c r="BD73" s="44">
        <v>15550</v>
      </c>
      <c r="BE73" s="44">
        <v>1503</v>
      </c>
      <c r="BF73" s="44">
        <v>1270</v>
      </c>
      <c r="BG73" s="44">
        <v>233</v>
      </c>
      <c r="BH73" s="20">
        <v>0.84499999999999997</v>
      </c>
      <c r="BI73" s="20">
        <v>0.155</v>
      </c>
      <c r="BJ73" s="38">
        <v>14546</v>
      </c>
      <c r="BK73" s="20">
        <v>0.49099999999999999</v>
      </c>
      <c r="BL73" s="20">
        <v>0.315</v>
      </c>
      <c r="BM73" s="20">
        <v>0.19400000000000001</v>
      </c>
      <c r="BN73" s="442" t="s">
        <v>287</v>
      </c>
      <c r="BO73" s="133" t="s">
        <v>287</v>
      </c>
      <c r="BP73" s="133" t="s">
        <v>287</v>
      </c>
      <c r="BQ73" s="133" t="s">
        <v>287</v>
      </c>
      <c r="BR73" s="133" t="s">
        <v>287</v>
      </c>
      <c r="BS73" s="133" t="s">
        <v>287</v>
      </c>
      <c r="BT73" s="128" t="s">
        <v>287</v>
      </c>
      <c r="BU73" s="442">
        <v>7410</v>
      </c>
      <c r="BV73" s="133">
        <v>6</v>
      </c>
      <c r="BW73" s="133">
        <v>1842</v>
      </c>
      <c r="BX73" s="133">
        <v>3310</v>
      </c>
      <c r="BY73" s="133">
        <v>1505</v>
      </c>
      <c r="BZ73" s="123">
        <v>14073</v>
      </c>
      <c r="CA73" s="44">
        <v>6335</v>
      </c>
      <c r="CB73" s="44">
        <v>4992</v>
      </c>
      <c r="CC73" s="44">
        <v>1317</v>
      </c>
      <c r="CD73" s="44">
        <v>1343</v>
      </c>
      <c r="CE73" s="20">
        <v>0.20789265982636149</v>
      </c>
      <c r="CF73" s="104">
        <v>0.21199684293606946</v>
      </c>
      <c r="CG73" s="44">
        <v>1190</v>
      </c>
      <c r="CH73" s="44">
        <v>1060</v>
      </c>
      <c r="CI73" s="44">
        <v>940</v>
      </c>
      <c r="CJ73" s="44">
        <v>925</v>
      </c>
      <c r="CK73" s="44">
        <v>885</v>
      </c>
      <c r="CL73" s="38">
        <v>3293</v>
      </c>
      <c r="CM73" s="44">
        <v>1363</v>
      </c>
      <c r="CN73" s="20">
        <v>0.4139082903127847</v>
      </c>
      <c r="CO73" s="40">
        <v>248</v>
      </c>
      <c r="CP73" s="128" t="s">
        <v>287</v>
      </c>
      <c r="CQ73" s="128" t="s">
        <v>287</v>
      </c>
      <c r="CR73" s="128" t="s">
        <v>287</v>
      </c>
      <c r="CS73" s="128" t="s">
        <v>287</v>
      </c>
      <c r="CT73" s="128" t="s">
        <v>287</v>
      </c>
      <c r="CU73" s="136" t="s">
        <v>287</v>
      </c>
      <c r="CV73" s="133" t="s">
        <v>287</v>
      </c>
      <c r="CW73" s="133" t="s">
        <v>287</v>
      </c>
      <c r="CX73" s="133" t="s">
        <v>287</v>
      </c>
      <c r="CY73" s="133" t="s">
        <v>287</v>
      </c>
      <c r="CZ73" s="133" t="s">
        <v>287</v>
      </c>
      <c r="DA73" s="136" t="s">
        <v>287</v>
      </c>
      <c r="DB73" s="379" t="s">
        <v>287</v>
      </c>
      <c r="DC73" s="379" t="s">
        <v>287</v>
      </c>
      <c r="DD73" s="128" t="s">
        <v>287</v>
      </c>
      <c r="DE73" s="128" t="s">
        <v>287</v>
      </c>
      <c r="DF73" s="128" t="s">
        <v>287</v>
      </c>
      <c r="DG73" s="15">
        <v>158</v>
      </c>
      <c r="DH73" s="20">
        <v>1.9602977667493797E-2</v>
      </c>
      <c r="DI73" s="470" t="s">
        <v>287</v>
      </c>
      <c r="DJ73" s="471" t="s">
        <v>287</v>
      </c>
      <c r="DK73" s="11">
        <v>2084</v>
      </c>
      <c r="DL73" s="20">
        <v>4.8774779413485618E-2</v>
      </c>
      <c r="DM73" s="379">
        <v>1650</v>
      </c>
      <c r="DN73" s="128">
        <v>1650</v>
      </c>
      <c r="DO73" s="128">
        <v>1580</v>
      </c>
      <c r="DP73" s="128">
        <v>1475</v>
      </c>
      <c r="DQ73" s="128">
        <v>1395</v>
      </c>
      <c r="DR73" s="379" t="s">
        <v>287</v>
      </c>
      <c r="DS73" s="344" t="s">
        <v>287</v>
      </c>
      <c r="DT73" s="128" t="s">
        <v>287</v>
      </c>
      <c r="DU73" s="128" t="s">
        <v>287</v>
      </c>
      <c r="DV73" s="128" t="s">
        <v>287</v>
      </c>
      <c r="DW73" s="344" t="s">
        <v>287</v>
      </c>
      <c r="DX73" s="128" t="s">
        <v>287</v>
      </c>
      <c r="DY73" s="344" t="s">
        <v>287</v>
      </c>
      <c r="DZ73" s="128" t="s">
        <v>287</v>
      </c>
      <c r="EA73" s="344" t="s">
        <v>287</v>
      </c>
      <c r="EB73" s="128" t="s">
        <v>287</v>
      </c>
      <c r="EC73" s="344" t="s">
        <v>287</v>
      </c>
      <c r="ED73" s="128" t="s">
        <v>287</v>
      </c>
      <c r="EE73" s="344" t="s">
        <v>287</v>
      </c>
      <c r="EF73" s="128" t="s">
        <v>287</v>
      </c>
      <c r="EG73" s="344" t="s">
        <v>287</v>
      </c>
      <c r="EH73" s="128" t="s">
        <v>287</v>
      </c>
      <c r="EI73" s="344" t="s">
        <v>287</v>
      </c>
      <c r="EJ73" s="344" t="s">
        <v>287</v>
      </c>
      <c r="EK73" s="344" t="s">
        <v>287</v>
      </c>
      <c r="EL73" s="344" t="s">
        <v>287</v>
      </c>
      <c r="EM73" s="344" t="s">
        <v>287</v>
      </c>
      <c r="EN73" s="344" t="s">
        <v>287</v>
      </c>
      <c r="EO73" s="344" t="s">
        <v>287</v>
      </c>
      <c r="EP73" s="442" t="s">
        <v>287</v>
      </c>
      <c r="EQ73" s="344" t="s">
        <v>287</v>
      </c>
      <c r="ER73" s="133" t="s">
        <v>287</v>
      </c>
      <c r="ES73" s="344" t="s">
        <v>287</v>
      </c>
      <c r="ET73" s="133" t="s">
        <v>287</v>
      </c>
      <c r="EU73" s="344" t="s">
        <v>287</v>
      </c>
      <c r="EV73" s="133" t="s">
        <v>287</v>
      </c>
      <c r="EW73" s="344" t="s">
        <v>287</v>
      </c>
      <c r="EX73" s="133" t="s">
        <v>287</v>
      </c>
      <c r="EY73" s="344" t="s">
        <v>287</v>
      </c>
      <c r="EZ73" s="133" t="s">
        <v>287</v>
      </c>
      <c r="FA73" s="345" t="s">
        <v>287</v>
      </c>
      <c r="FB73" s="128" t="s">
        <v>287</v>
      </c>
      <c r="FC73" s="128" t="s">
        <v>287</v>
      </c>
      <c r="FD73" s="128" t="s">
        <v>287</v>
      </c>
      <c r="FE73" s="344" t="s">
        <v>287</v>
      </c>
      <c r="FF73" s="128" t="s">
        <v>287</v>
      </c>
      <c r="FG73" s="128" t="s">
        <v>287</v>
      </c>
      <c r="FH73" s="344" t="s">
        <v>287</v>
      </c>
      <c r="FI73" s="344" t="s">
        <v>287</v>
      </c>
      <c r="FJ73" s="344" t="s">
        <v>287</v>
      </c>
      <c r="FK73" s="344" t="s">
        <v>287</v>
      </c>
      <c r="FL73" s="344" t="s">
        <v>287</v>
      </c>
      <c r="FM73" s="345" t="s">
        <v>287</v>
      </c>
      <c r="FN73" s="528" t="s">
        <v>287</v>
      </c>
      <c r="FO73" s="344" t="s">
        <v>287</v>
      </c>
      <c r="FP73" s="344" t="s">
        <v>287</v>
      </c>
      <c r="FQ73" s="344" t="s">
        <v>287</v>
      </c>
      <c r="FR73" s="344" t="s">
        <v>287</v>
      </c>
      <c r="FS73" s="344" t="s">
        <v>287</v>
      </c>
      <c r="FT73" s="528" t="s">
        <v>287</v>
      </c>
      <c r="FU73" s="344" t="s">
        <v>287</v>
      </c>
      <c r="FV73" s="344" t="s">
        <v>287</v>
      </c>
      <c r="FW73" s="345" t="s">
        <v>287</v>
      </c>
      <c r="FX73" s="534" t="s">
        <v>287</v>
      </c>
      <c r="FY73" s="528" t="s">
        <v>287</v>
      </c>
      <c r="FZ73" s="528" t="s">
        <v>287</v>
      </c>
      <c r="GA73" s="344" t="s">
        <v>287</v>
      </c>
      <c r="GB73" s="528" t="s">
        <v>287</v>
      </c>
      <c r="GC73" s="528" t="s">
        <v>287</v>
      </c>
      <c r="GD73" s="528" t="s">
        <v>287</v>
      </c>
      <c r="GE73" s="344" t="s">
        <v>287</v>
      </c>
      <c r="GF73" s="344" t="s">
        <v>287</v>
      </c>
      <c r="GG73" s="344" t="s">
        <v>287</v>
      </c>
      <c r="GH73" s="344" t="s">
        <v>287</v>
      </c>
      <c r="GI73" s="344" t="s">
        <v>287</v>
      </c>
      <c r="GJ73" s="345" t="s">
        <v>287</v>
      </c>
      <c r="GK73" s="128" t="s">
        <v>287</v>
      </c>
      <c r="GL73" s="482" t="s">
        <v>287</v>
      </c>
      <c r="GM73" s="344" t="s">
        <v>287</v>
      </c>
      <c r="GN73" s="344" t="s">
        <v>287</v>
      </c>
      <c r="GO73" s="344" t="s">
        <v>287</v>
      </c>
      <c r="GP73" s="516" t="s">
        <v>287</v>
      </c>
      <c r="GQ73" s="128" t="s">
        <v>287</v>
      </c>
      <c r="GR73" s="482" t="s">
        <v>287</v>
      </c>
      <c r="GS73" s="344" t="s">
        <v>287</v>
      </c>
      <c r="GT73" s="344" t="s">
        <v>287</v>
      </c>
      <c r="GU73" s="344" t="s">
        <v>287</v>
      </c>
      <c r="GV73" s="505" t="s">
        <v>287</v>
      </c>
      <c r="GW73" s="128" t="s">
        <v>287</v>
      </c>
      <c r="GX73" s="482" t="s">
        <v>287</v>
      </c>
      <c r="GY73" s="344" t="s">
        <v>287</v>
      </c>
      <c r="GZ73" s="344" t="s">
        <v>287</v>
      </c>
      <c r="HA73" s="344" t="s">
        <v>287</v>
      </c>
      <c r="HB73" s="505" t="s">
        <v>287</v>
      </c>
      <c r="HC73" s="128" t="s">
        <v>287</v>
      </c>
      <c r="HD73" s="482" t="s">
        <v>287</v>
      </c>
      <c r="HE73" s="344" t="s">
        <v>287</v>
      </c>
      <c r="HF73" s="344" t="s">
        <v>287</v>
      </c>
      <c r="HG73" s="344" t="s">
        <v>287</v>
      </c>
      <c r="HH73" s="505" t="s">
        <v>287</v>
      </c>
      <c r="HI73" s="128" t="s">
        <v>287</v>
      </c>
      <c r="HJ73" s="128" t="s">
        <v>287</v>
      </c>
      <c r="HK73" s="344" t="s">
        <v>287</v>
      </c>
      <c r="HL73" s="344" t="s">
        <v>287</v>
      </c>
      <c r="HM73" s="344" t="s">
        <v>287</v>
      </c>
      <c r="HN73" s="505" t="s">
        <v>287</v>
      </c>
      <c r="HO73" s="128">
        <v>1522</v>
      </c>
      <c r="HP73" s="128">
        <v>110</v>
      </c>
      <c r="HQ73" s="344">
        <v>7.2273324572930356E-2</v>
      </c>
      <c r="HR73" s="344">
        <v>6.0313129175953259E-2</v>
      </c>
      <c r="HS73" s="344">
        <v>8.6387209530073714E-2</v>
      </c>
      <c r="HT73" s="510" t="str">
        <f t="shared" si="2"/>
        <v>Sig better than Eng.</v>
      </c>
      <c r="HU73" s="128" t="s">
        <v>287</v>
      </c>
      <c r="HV73" s="482" t="s">
        <v>287</v>
      </c>
      <c r="HW73" s="344" t="s">
        <v>287</v>
      </c>
      <c r="HX73" s="344" t="s">
        <v>287</v>
      </c>
      <c r="HY73" s="344" t="s">
        <v>287</v>
      </c>
      <c r="HZ73" s="128" t="s">
        <v>287</v>
      </c>
      <c r="IA73" s="128" t="s">
        <v>287</v>
      </c>
      <c r="IB73" s="482" t="s">
        <v>287</v>
      </c>
      <c r="IC73" s="344" t="s">
        <v>287</v>
      </c>
      <c r="ID73" s="344" t="s">
        <v>287</v>
      </c>
      <c r="IE73" s="344" t="s">
        <v>287</v>
      </c>
      <c r="IF73" s="128" t="s">
        <v>287</v>
      </c>
      <c r="IG73" s="128" t="s">
        <v>287</v>
      </c>
      <c r="IH73" s="482" t="s">
        <v>287</v>
      </c>
      <c r="II73" s="344" t="s">
        <v>287</v>
      </c>
      <c r="IJ73" s="344" t="s">
        <v>287</v>
      </c>
      <c r="IK73" s="344" t="s">
        <v>287</v>
      </c>
      <c r="IL73" s="128" t="s">
        <v>287</v>
      </c>
      <c r="IM73" s="128" t="s">
        <v>287</v>
      </c>
      <c r="IN73" s="482" t="s">
        <v>287</v>
      </c>
      <c r="IO73" s="344" t="s">
        <v>287</v>
      </c>
      <c r="IP73" s="344" t="s">
        <v>287</v>
      </c>
      <c r="IQ73" s="344" t="s">
        <v>287</v>
      </c>
      <c r="IR73" s="128" t="s">
        <v>287</v>
      </c>
      <c r="IS73" s="128" t="s">
        <v>287</v>
      </c>
      <c r="IT73" s="128" t="s">
        <v>287</v>
      </c>
      <c r="IU73" s="128" t="s">
        <v>287</v>
      </c>
      <c r="IV73" s="128" t="s">
        <v>287</v>
      </c>
      <c r="IW73" s="128" t="s">
        <v>287</v>
      </c>
      <c r="IX73" s="505" t="s">
        <v>287</v>
      </c>
      <c r="IY73" s="128">
        <v>1218</v>
      </c>
      <c r="IZ73" s="128">
        <v>254</v>
      </c>
      <c r="JA73" s="344">
        <v>0.20853858784893267</v>
      </c>
      <c r="JB73" s="344">
        <v>0.18665677725201979</v>
      </c>
      <c r="JC73" s="344">
        <v>0.23225310268830984</v>
      </c>
      <c r="JD73" s="136" t="str">
        <f t="shared" si="3"/>
        <v>Sig better than Eng.</v>
      </c>
      <c r="JE73" s="11">
        <v>1440</v>
      </c>
      <c r="JF73" s="11">
        <v>693</v>
      </c>
      <c r="JG73" s="20">
        <v>0.48125000000000001</v>
      </c>
      <c r="JH73" s="20">
        <v>0.45552756226071045</v>
      </c>
      <c r="JI73" s="20">
        <v>0.50707220957012045</v>
      </c>
      <c r="JJ73" s="11">
        <v>1440</v>
      </c>
      <c r="JK73" s="11">
        <v>34</v>
      </c>
      <c r="JL73" s="11">
        <v>288</v>
      </c>
      <c r="JM73" s="384">
        <v>22.378472222222197</v>
      </c>
      <c r="JN73" s="20">
        <v>0.34180964052287655</v>
      </c>
      <c r="JO73" s="11">
        <v>1518</v>
      </c>
      <c r="JP73" s="11">
        <v>841</v>
      </c>
      <c r="JQ73" s="20">
        <v>0.5540184453227931</v>
      </c>
      <c r="JR73" s="20">
        <v>0.52890795807318758</v>
      </c>
      <c r="JS73" s="20">
        <v>0.57885622396393932</v>
      </c>
      <c r="JT73" s="11">
        <v>1518</v>
      </c>
      <c r="JU73" s="11">
        <v>34</v>
      </c>
      <c r="JV73" s="11">
        <v>303</v>
      </c>
      <c r="JW73" s="384">
        <v>22.61056105610562</v>
      </c>
      <c r="JX73" s="20">
        <v>0.33498349834983471</v>
      </c>
      <c r="JY73" s="44">
        <v>1610</v>
      </c>
      <c r="JZ73" s="44">
        <v>984</v>
      </c>
      <c r="KA73" s="497">
        <v>0.61099999999999999</v>
      </c>
      <c r="KB73" s="497">
        <v>0.58712497274917275</v>
      </c>
      <c r="KC73" s="497">
        <v>0.63470598719010562</v>
      </c>
      <c r="KD73" s="438">
        <v>34</v>
      </c>
      <c r="KE73" s="438">
        <v>322</v>
      </c>
      <c r="KF73" s="384">
        <v>23.4</v>
      </c>
      <c r="KG73" s="104">
        <v>0.31</v>
      </c>
      <c r="KH73" s="344" t="s">
        <v>287</v>
      </c>
      <c r="KI73" s="344" t="s">
        <v>287</v>
      </c>
      <c r="KJ73" s="344" t="s">
        <v>287</v>
      </c>
      <c r="KK73" s="344" t="s">
        <v>287</v>
      </c>
      <c r="KL73" s="344" t="s">
        <v>287</v>
      </c>
      <c r="KM73" s="344" t="s">
        <v>287</v>
      </c>
      <c r="KN73" s="344" t="s">
        <v>287</v>
      </c>
      <c r="KO73" s="344" t="s">
        <v>287</v>
      </c>
      <c r="KP73" s="344" t="s">
        <v>287</v>
      </c>
      <c r="KQ73" s="344" t="s">
        <v>287</v>
      </c>
      <c r="KR73" s="344" t="s">
        <v>287</v>
      </c>
      <c r="KS73" s="344" t="s">
        <v>287</v>
      </c>
      <c r="KT73" s="344" t="s">
        <v>287</v>
      </c>
      <c r="KU73" s="344" t="s">
        <v>287</v>
      </c>
      <c r="KV73" s="344" t="s">
        <v>287</v>
      </c>
      <c r="KW73" s="345" t="s">
        <v>287</v>
      </c>
      <c r="KX73" s="534">
        <v>94</v>
      </c>
      <c r="KY73" s="534">
        <v>782</v>
      </c>
      <c r="KZ73" s="344">
        <v>0.12020460358056266</v>
      </c>
      <c r="LA73" s="344">
        <v>9.9248559504410971E-2</v>
      </c>
      <c r="LB73" s="344">
        <v>0.14487378434416764</v>
      </c>
      <c r="LC73" s="534">
        <v>71</v>
      </c>
      <c r="LD73" s="534">
        <v>781</v>
      </c>
      <c r="LE73" s="344">
        <v>9.0909090909090912E-2</v>
      </c>
      <c r="LF73" s="344">
        <v>7.2699562255173211E-2</v>
      </c>
      <c r="LG73" s="344">
        <v>0.11312326499434044</v>
      </c>
      <c r="LH73" s="534">
        <v>81</v>
      </c>
      <c r="LI73" s="534">
        <v>777</v>
      </c>
      <c r="LJ73" s="344">
        <v>0.10424710424710425</v>
      </c>
      <c r="LK73" s="344">
        <v>8.467233528429223E-2</v>
      </c>
      <c r="LL73" s="344">
        <v>0.12771579670752684</v>
      </c>
      <c r="LM73" s="534">
        <v>172</v>
      </c>
      <c r="LN73" s="534">
        <v>739</v>
      </c>
      <c r="LO73" s="344">
        <v>0.2327469553450609</v>
      </c>
      <c r="LP73" s="344">
        <v>0.20370894597934167</v>
      </c>
      <c r="LQ73" s="345">
        <v>0.26454905805413481</v>
      </c>
      <c r="LR73" s="128" t="s">
        <v>287</v>
      </c>
      <c r="LS73" s="128" t="s">
        <v>287</v>
      </c>
      <c r="LT73" s="128" t="s">
        <v>287</v>
      </c>
      <c r="LU73" s="128" t="s">
        <v>287</v>
      </c>
      <c r="LV73" s="128" t="s">
        <v>287</v>
      </c>
      <c r="LW73" s="128" t="s">
        <v>287</v>
      </c>
      <c r="LX73" s="128" t="s">
        <v>287</v>
      </c>
      <c r="LY73" s="128" t="s">
        <v>287</v>
      </c>
      <c r="LZ73" s="128" t="s">
        <v>287</v>
      </c>
      <c r="MA73" s="128" t="s">
        <v>287</v>
      </c>
      <c r="MB73" s="128" t="s">
        <v>287</v>
      </c>
      <c r="MC73" s="128" t="s">
        <v>287</v>
      </c>
      <c r="MD73" s="128" t="s">
        <v>287</v>
      </c>
      <c r="ME73" s="128" t="s">
        <v>287</v>
      </c>
      <c r="MF73" s="128" t="s">
        <v>287</v>
      </c>
      <c r="MG73" s="128" t="s">
        <v>287</v>
      </c>
      <c r="MH73" s="128" t="s">
        <v>287</v>
      </c>
      <c r="MI73" s="128" t="s">
        <v>287</v>
      </c>
      <c r="MJ73" s="128" t="s">
        <v>287</v>
      </c>
      <c r="MK73" s="128" t="s">
        <v>287</v>
      </c>
      <c r="ML73" s="128" t="s">
        <v>287</v>
      </c>
      <c r="MM73" s="128" t="s">
        <v>287</v>
      </c>
      <c r="MN73" s="136" t="s">
        <v>287</v>
      </c>
      <c r="MO73" s="128" t="s">
        <v>287</v>
      </c>
      <c r="MP73" s="128" t="s">
        <v>287</v>
      </c>
      <c r="MQ73" s="128" t="s">
        <v>287</v>
      </c>
      <c r="MR73" s="128" t="s">
        <v>287</v>
      </c>
      <c r="MS73" s="128" t="s">
        <v>287</v>
      </c>
      <c r="MT73" s="128" t="s">
        <v>287</v>
      </c>
      <c r="MU73" s="128" t="s">
        <v>287</v>
      </c>
      <c r="MV73" s="128" t="s">
        <v>287</v>
      </c>
      <c r="MW73" s="128" t="s">
        <v>287</v>
      </c>
      <c r="MX73" s="128" t="s">
        <v>287</v>
      </c>
      <c r="MY73" s="128" t="s">
        <v>287</v>
      </c>
      <c r="MZ73" s="128" t="s">
        <v>287</v>
      </c>
      <c r="NA73" s="128" t="s">
        <v>287</v>
      </c>
      <c r="NB73" s="128" t="s">
        <v>287</v>
      </c>
      <c r="NC73" s="128" t="s">
        <v>287</v>
      </c>
      <c r="ND73" s="128" t="s">
        <v>287</v>
      </c>
      <c r="NE73" s="128" t="s">
        <v>287</v>
      </c>
      <c r="NF73" s="128" t="s">
        <v>287</v>
      </c>
      <c r="NG73" s="128" t="s">
        <v>287</v>
      </c>
      <c r="NH73" s="128" t="s">
        <v>287</v>
      </c>
      <c r="NI73" s="128" t="s">
        <v>287</v>
      </c>
      <c r="NJ73" s="128" t="s">
        <v>287</v>
      </c>
      <c r="NK73" s="128" t="s">
        <v>287</v>
      </c>
      <c r="NL73" s="128" t="s">
        <v>287</v>
      </c>
      <c r="NM73" s="128" t="s">
        <v>287</v>
      </c>
      <c r="NN73" s="128" t="s">
        <v>287</v>
      </c>
      <c r="NO73" s="128" t="s">
        <v>287</v>
      </c>
      <c r="NP73" s="128" t="s">
        <v>287</v>
      </c>
      <c r="NQ73" s="128" t="s">
        <v>287</v>
      </c>
      <c r="NR73" s="128" t="s">
        <v>287</v>
      </c>
      <c r="NS73" s="128" t="s">
        <v>287</v>
      </c>
      <c r="NT73" s="128" t="s">
        <v>287</v>
      </c>
      <c r="NU73" s="128" t="s">
        <v>287</v>
      </c>
      <c r="NV73" s="128" t="s">
        <v>287</v>
      </c>
      <c r="NW73" s="128" t="s">
        <v>287</v>
      </c>
      <c r="NX73" s="128" t="s">
        <v>287</v>
      </c>
      <c r="NY73" s="128" t="s">
        <v>287</v>
      </c>
      <c r="NZ73" s="128" t="s">
        <v>287</v>
      </c>
      <c r="OA73" s="136" t="s">
        <v>287</v>
      </c>
    </row>
    <row r="74" spans="1:391" s="11" customFormat="1" ht="12.75" x14ac:dyDescent="0.2">
      <c r="A74" s="11" t="s">
        <v>108</v>
      </c>
      <c r="B74" s="8">
        <v>4</v>
      </c>
      <c r="C74" s="11" t="s">
        <v>287</v>
      </c>
      <c r="D74" s="11" t="s">
        <v>287</v>
      </c>
      <c r="E74" s="11" t="s">
        <v>287</v>
      </c>
      <c r="F74" s="11" t="s">
        <v>287</v>
      </c>
      <c r="G74" s="11" t="s">
        <v>287</v>
      </c>
      <c r="H74" s="11" t="s">
        <v>287</v>
      </c>
      <c r="I74" s="11" t="s">
        <v>287</v>
      </c>
      <c r="J74" s="11" t="s">
        <v>271</v>
      </c>
      <c r="K74" s="11" t="s">
        <v>287</v>
      </c>
      <c r="L74" s="11" t="s">
        <v>276</v>
      </c>
      <c r="M74" s="11" t="s">
        <v>287</v>
      </c>
      <c r="N74" s="11" t="s">
        <v>287</v>
      </c>
      <c r="O74" s="128" t="s">
        <v>287</v>
      </c>
      <c r="P74" s="128" t="s">
        <v>287</v>
      </c>
      <c r="Q74" s="128" t="s">
        <v>287</v>
      </c>
      <c r="R74" s="128" t="s">
        <v>287</v>
      </c>
      <c r="S74" s="128" t="s">
        <v>287</v>
      </c>
      <c r="T74" s="38">
        <v>130500</v>
      </c>
      <c r="U74" s="44">
        <v>132050</v>
      </c>
      <c r="V74" s="44">
        <v>134000</v>
      </c>
      <c r="W74" s="44">
        <v>135750</v>
      </c>
      <c r="X74" s="44">
        <v>137200</v>
      </c>
      <c r="Y74" s="44">
        <v>138900</v>
      </c>
      <c r="Z74" s="44">
        <v>140200</v>
      </c>
      <c r="AA74" s="44">
        <v>141150</v>
      </c>
      <c r="AB74" s="44">
        <v>142750</v>
      </c>
      <c r="AC74" s="44">
        <v>144375</v>
      </c>
      <c r="AD74" s="38">
        <v>7450</v>
      </c>
      <c r="AE74" s="44">
        <v>7650</v>
      </c>
      <c r="AF74" s="44">
        <v>8000</v>
      </c>
      <c r="AG74" s="44">
        <v>8150</v>
      </c>
      <c r="AH74" s="44">
        <v>8150</v>
      </c>
      <c r="AI74" s="44">
        <v>8250</v>
      </c>
      <c r="AJ74" s="44">
        <v>8350</v>
      </c>
      <c r="AK74" s="44">
        <v>8500</v>
      </c>
      <c r="AL74" s="44">
        <v>8550</v>
      </c>
      <c r="AM74" s="44">
        <v>8695</v>
      </c>
      <c r="AN74" s="15">
        <v>8343</v>
      </c>
      <c r="AO74" s="11">
        <v>7298</v>
      </c>
      <c r="AP74" s="11">
        <v>325</v>
      </c>
      <c r="AQ74" s="11">
        <v>336</v>
      </c>
      <c r="AR74" s="11">
        <v>331</v>
      </c>
      <c r="AS74" s="11">
        <v>46</v>
      </c>
      <c r="AT74" s="11">
        <v>7</v>
      </c>
      <c r="AU74" s="11">
        <v>1045</v>
      </c>
      <c r="AV74" s="18">
        <v>0.875</v>
      </c>
      <c r="AW74" s="20">
        <v>3.9E-2</v>
      </c>
      <c r="AX74" s="20">
        <v>0.04</v>
      </c>
      <c r="AY74" s="20">
        <v>0.04</v>
      </c>
      <c r="AZ74" s="20">
        <v>6.0000000000000001E-3</v>
      </c>
      <c r="BA74" s="20">
        <v>1E-3</v>
      </c>
      <c r="BB74" s="20">
        <v>0.125</v>
      </c>
      <c r="BC74" s="38">
        <v>22188</v>
      </c>
      <c r="BD74" s="44">
        <v>21777</v>
      </c>
      <c r="BE74" s="44">
        <v>411</v>
      </c>
      <c r="BF74" s="44">
        <v>362</v>
      </c>
      <c r="BG74" s="44">
        <v>49</v>
      </c>
      <c r="BH74" s="20">
        <v>0.88100000000000001</v>
      </c>
      <c r="BI74" s="20">
        <v>0.11899999999999999</v>
      </c>
      <c r="BJ74" s="38">
        <v>16498</v>
      </c>
      <c r="BK74" s="20">
        <v>0.71</v>
      </c>
      <c r="BL74" s="20">
        <v>0.125</v>
      </c>
      <c r="BM74" s="20">
        <v>0.16500000000000001</v>
      </c>
      <c r="BN74" s="442" t="s">
        <v>287</v>
      </c>
      <c r="BO74" s="133" t="s">
        <v>287</v>
      </c>
      <c r="BP74" s="133" t="s">
        <v>287</v>
      </c>
      <c r="BQ74" s="133" t="s">
        <v>287</v>
      </c>
      <c r="BR74" s="133" t="s">
        <v>287</v>
      </c>
      <c r="BS74" s="133" t="s">
        <v>287</v>
      </c>
      <c r="BT74" s="128" t="s">
        <v>287</v>
      </c>
      <c r="BU74" s="442">
        <v>11413</v>
      </c>
      <c r="BV74" s="133">
        <v>8</v>
      </c>
      <c r="BW74" s="133">
        <v>1979</v>
      </c>
      <c r="BX74" s="133">
        <v>2652</v>
      </c>
      <c r="BY74" s="133">
        <v>993</v>
      </c>
      <c r="BZ74" s="123">
        <v>17045</v>
      </c>
      <c r="CA74" s="44">
        <v>6511</v>
      </c>
      <c r="CB74" s="44">
        <v>5856</v>
      </c>
      <c r="CC74" s="44">
        <v>647</v>
      </c>
      <c r="CD74" s="44">
        <v>655</v>
      </c>
      <c r="CE74" s="20">
        <v>9.9370296421440643E-2</v>
      </c>
      <c r="CF74" s="104">
        <v>0.10059898633082476</v>
      </c>
      <c r="CG74" s="44">
        <v>565</v>
      </c>
      <c r="CH74" s="44">
        <v>525</v>
      </c>
      <c r="CI74" s="44">
        <v>450</v>
      </c>
      <c r="CJ74" s="44">
        <v>450</v>
      </c>
      <c r="CK74" s="44">
        <v>420</v>
      </c>
      <c r="CL74" s="38">
        <v>2645</v>
      </c>
      <c r="CM74" s="44">
        <v>656</v>
      </c>
      <c r="CN74" s="20">
        <v>0.24801512287334593</v>
      </c>
      <c r="CO74" s="40">
        <v>222</v>
      </c>
      <c r="CP74" s="128" t="s">
        <v>287</v>
      </c>
      <c r="CQ74" s="128" t="s">
        <v>287</v>
      </c>
      <c r="CR74" s="128" t="s">
        <v>287</v>
      </c>
      <c r="CS74" s="128" t="s">
        <v>287</v>
      </c>
      <c r="CT74" s="128" t="s">
        <v>287</v>
      </c>
      <c r="CU74" s="136" t="s">
        <v>287</v>
      </c>
      <c r="CV74" s="133" t="s">
        <v>287</v>
      </c>
      <c r="CW74" s="133" t="s">
        <v>287</v>
      </c>
      <c r="CX74" s="133" t="s">
        <v>287</v>
      </c>
      <c r="CY74" s="133" t="s">
        <v>287</v>
      </c>
      <c r="CZ74" s="133" t="s">
        <v>287</v>
      </c>
      <c r="DA74" s="136" t="s">
        <v>287</v>
      </c>
      <c r="DB74" s="468" t="s">
        <v>287</v>
      </c>
      <c r="DC74" s="379" t="s">
        <v>287</v>
      </c>
      <c r="DD74" s="128" t="s">
        <v>287</v>
      </c>
      <c r="DE74" s="128" t="s">
        <v>287</v>
      </c>
      <c r="DF74" s="128" t="s">
        <v>287</v>
      </c>
      <c r="DG74" s="15">
        <v>140</v>
      </c>
      <c r="DH74" s="20">
        <v>1.6794625719769675E-2</v>
      </c>
      <c r="DI74" s="470" t="s">
        <v>287</v>
      </c>
      <c r="DJ74" s="471" t="s">
        <v>287</v>
      </c>
      <c r="DK74" s="11">
        <v>1360</v>
      </c>
      <c r="DL74" s="20">
        <v>2.3689665383476458E-2</v>
      </c>
      <c r="DM74" s="379">
        <v>740</v>
      </c>
      <c r="DN74" s="128">
        <v>770</v>
      </c>
      <c r="DO74" s="128">
        <v>785</v>
      </c>
      <c r="DP74" s="128">
        <v>690</v>
      </c>
      <c r="DQ74" s="128">
        <v>665</v>
      </c>
      <c r="DR74" s="379" t="s">
        <v>287</v>
      </c>
      <c r="DS74" s="344" t="s">
        <v>287</v>
      </c>
      <c r="DT74" s="128" t="s">
        <v>287</v>
      </c>
      <c r="DU74" s="128" t="s">
        <v>287</v>
      </c>
      <c r="DV74" s="128" t="s">
        <v>287</v>
      </c>
      <c r="DW74" s="344" t="s">
        <v>287</v>
      </c>
      <c r="DX74" s="128" t="s">
        <v>287</v>
      </c>
      <c r="DY74" s="344" t="s">
        <v>287</v>
      </c>
      <c r="DZ74" s="128" t="s">
        <v>287</v>
      </c>
      <c r="EA74" s="344" t="s">
        <v>287</v>
      </c>
      <c r="EB74" s="128" t="s">
        <v>287</v>
      </c>
      <c r="EC74" s="344" t="s">
        <v>287</v>
      </c>
      <c r="ED74" s="128" t="s">
        <v>287</v>
      </c>
      <c r="EE74" s="344" t="s">
        <v>287</v>
      </c>
      <c r="EF74" s="128" t="s">
        <v>287</v>
      </c>
      <c r="EG74" s="344" t="s">
        <v>287</v>
      </c>
      <c r="EH74" s="128" t="s">
        <v>287</v>
      </c>
      <c r="EI74" s="344" t="s">
        <v>287</v>
      </c>
      <c r="EJ74" s="344" t="s">
        <v>287</v>
      </c>
      <c r="EK74" s="344" t="s">
        <v>287</v>
      </c>
      <c r="EL74" s="344" t="s">
        <v>287</v>
      </c>
      <c r="EM74" s="344" t="s">
        <v>287</v>
      </c>
      <c r="EN74" s="344" t="s">
        <v>287</v>
      </c>
      <c r="EO74" s="344" t="s">
        <v>287</v>
      </c>
      <c r="EP74" s="442" t="s">
        <v>287</v>
      </c>
      <c r="EQ74" s="344" t="s">
        <v>287</v>
      </c>
      <c r="ER74" s="133" t="s">
        <v>287</v>
      </c>
      <c r="ES74" s="344" t="s">
        <v>287</v>
      </c>
      <c r="ET74" s="133" t="s">
        <v>287</v>
      </c>
      <c r="EU74" s="344" t="s">
        <v>287</v>
      </c>
      <c r="EV74" s="133" t="s">
        <v>287</v>
      </c>
      <c r="EW74" s="344" t="s">
        <v>287</v>
      </c>
      <c r="EX74" s="133" t="s">
        <v>287</v>
      </c>
      <c r="EY74" s="344" t="s">
        <v>287</v>
      </c>
      <c r="EZ74" s="133" t="s">
        <v>287</v>
      </c>
      <c r="FA74" s="345" t="s">
        <v>287</v>
      </c>
      <c r="FB74" s="128" t="s">
        <v>287</v>
      </c>
      <c r="FC74" s="128" t="s">
        <v>287</v>
      </c>
      <c r="FD74" s="128" t="s">
        <v>287</v>
      </c>
      <c r="FE74" s="344" t="s">
        <v>287</v>
      </c>
      <c r="FF74" s="128" t="s">
        <v>287</v>
      </c>
      <c r="FG74" s="128" t="s">
        <v>287</v>
      </c>
      <c r="FH74" s="344" t="s">
        <v>287</v>
      </c>
      <c r="FI74" s="344" t="s">
        <v>287</v>
      </c>
      <c r="FJ74" s="344" t="s">
        <v>287</v>
      </c>
      <c r="FK74" s="344" t="s">
        <v>287</v>
      </c>
      <c r="FL74" s="344" t="s">
        <v>287</v>
      </c>
      <c r="FM74" s="345" t="s">
        <v>287</v>
      </c>
      <c r="FN74" s="528" t="s">
        <v>287</v>
      </c>
      <c r="FO74" s="344" t="s">
        <v>287</v>
      </c>
      <c r="FP74" s="344" t="s">
        <v>287</v>
      </c>
      <c r="FQ74" s="344" t="s">
        <v>287</v>
      </c>
      <c r="FR74" s="344" t="s">
        <v>287</v>
      </c>
      <c r="FS74" s="344" t="s">
        <v>287</v>
      </c>
      <c r="FT74" s="528" t="s">
        <v>287</v>
      </c>
      <c r="FU74" s="344" t="s">
        <v>287</v>
      </c>
      <c r="FV74" s="344" t="s">
        <v>287</v>
      </c>
      <c r="FW74" s="345" t="s">
        <v>287</v>
      </c>
      <c r="FX74" s="534" t="s">
        <v>287</v>
      </c>
      <c r="FY74" s="528" t="s">
        <v>287</v>
      </c>
      <c r="FZ74" s="528" t="s">
        <v>287</v>
      </c>
      <c r="GA74" s="344" t="s">
        <v>287</v>
      </c>
      <c r="GB74" s="528" t="s">
        <v>287</v>
      </c>
      <c r="GC74" s="528" t="s">
        <v>287</v>
      </c>
      <c r="GD74" s="528" t="s">
        <v>287</v>
      </c>
      <c r="GE74" s="344" t="s">
        <v>287</v>
      </c>
      <c r="GF74" s="344" t="s">
        <v>287</v>
      </c>
      <c r="GG74" s="344" t="s">
        <v>287</v>
      </c>
      <c r="GH74" s="344" t="s">
        <v>287</v>
      </c>
      <c r="GI74" s="344" t="s">
        <v>287</v>
      </c>
      <c r="GJ74" s="345" t="s">
        <v>287</v>
      </c>
      <c r="GK74" s="128" t="s">
        <v>287</v>
      </c>
      <c r="GL74" s="482" t="s">
        <v>287</v>
      </c>
      <c r="GM74" s="344" t="s">
        <v>287</v>
      </c>
      <c r="GN74" s="344" t="s">
        <v>287</v>
      </c>
      <c r="GO74" s="344" t="s">
        <v>287</v>
      </c>
      <c r="GP74" s="516" t="s">
        <v>287</v>
      </c>
      <c r="GQ74" s="128" t="s">
        <v>287</v>
      </c>
      <c r="GR74" s="482" t="s">
        <v>287</v>
      </c>
      <c r="GS74" s="344" t="s">
        <v>287</v>
      </c>
      <c r="GT74" s="344" t="s">
        <v>287</v>
      </c>
      <c r="GU74" s="344" t="s">
        <v>287</v>
      </c>
      <c r="GV74" s="505" t="s">
        <v>287</v>
      </c>
      <c r="GW74" s="128" t="s">
        <v>287</v>
      </c>
      <c r="GX74" s="482" t="s">
        <v>287</v>
      </c>
      <c r="GY74" s="344" t="s">
        <v>287</v>
      </c>
      <c r="GZ74" s="344" t="s">
        <v>287</v>
      </c>
      <c r="HA74" s="344" t="s">
        <v>287</v>
      </c>
      <c r="HB74" s="505" t="s">
        <v>287</v>
      </c>
      <c r="HC74" s="128" t="s">
        <v>287</v>
      </c>
      <c r="HD74" s="482" t="s">
        <v>287</v>
      </c>
      <c r="HE74" s="344" t="s">
        <v>287</v>
      </c>
      <c r="HF74" s="344" t="s">
        <v>287</v>
      </c>
      <c r="HG74" s="344" t="s">
        <v>287</v>
      </c>
      <c r="HH74" s="505" t="s">
        <v>287</v>
      </c>
      <c r="HI74" s="128" t="s">
        <v>287</v>
      </c>
      <c r="HJ74" s="128" t="s">
        <v>287</v>
      </c>
      <c r="HK74" s="344" t="s">
        <v>287</v>
      </c>
      <c r="HL74" s="344" t="s">
        <v>287</v>
      </c>
      <c r="HM74" s="344" t="s">
        <v>287</v>
      </c>
      <c r="HN74" s="505" t="s">
        <v>287</v>
      </c>
      <c r="HO74" s="128">
        <v>1359</v>
      </c>
      <c r="HP74" s="128">
        <v>81</v>
      </c>
      <c r="HQ74" s="344">
        <v>5.9602649006622516E-2</v>
      </c>
      <c r="HR74" s="344">
        <v>4.8213471990640556E-2</v>
      </c>
      <c r="HS74" s="344">
        <v>7.3474533424311761E-2</v>
      </c>
      <c r="HT74" s="510" t="str">
        <f t="shared" si="2"/>
        <v>Sig better than Eng.</v>
      </c>
      <c r="HU74" s="128" t="s">
        <v>287</v>
      </c>
      <c r="HV74" s="482" t="s">
        <v>287</v>
      </c>
      <c r="HW74" s="344" t="s">
        <v>287</v>
      </c>
      <c r="HX74" s="344" t="s">
        <v>287</v>
      </c>
      <c r="HY74" s="344" t="s">
        <v>287</v>
      </c>
      <c r="HZ74" s="128" t="s">
        <v>287</v>
      </c>
      <c r="IA74" s="128" t="s">
        <v>287</v>
      </c>
      <c r="IB74" s="482" t="s">
        <v>287</v>
      </c>
      <c r="IC74" s="344" t="s">
        <v>287</v>
      </c>
      <c r="ID74" s="344" t="s">
        <v>287</v>
      </c>
      <c r="IE74" s="344" t="s">
        <v>287</v>
      </c>
      <c r="IF74" s="128" t="s">
        <v>287</v>
      </c>
      <c r="IG74" s="128" t="s">
        <v>287</v>
      </c>
      <c r="IH74" s="482" t="s">
        <v>287</v>
      </c>
      <c r="II74" s="344" t="s">
        <v>287</v>
      </c>
      <c r="IJ74" s="344" t="s">
        <v>287</v>
      </c>
      <c r="IK74" s="344" t="s">
        <v>287</v>
      </c>
      <c r="IL74" s="128" t="s">
        <v>287</v>
      </c>
      <c r="IM74" s="128" t="s">
        <v>287</v>
      </c>
      <c r="IN74" s="482" t="s">
        <v>287</v>
      </c>
      <c r="IO74" s="344" t="s">
        <v>287</v>
      </c>
      <c r="IP74" s="344" t="s">
        <v>287</v>
      </c>
      <c r="IQ74" s="344" t="s">
        <v>287</v>
      </c>
      <c r="IR74" s="128" t="s">
        <v>287</v>
      </c>
      <c r="IS74" s="128" t="s">
        <v>287</v>
      </c>
      <c r="IT74" s="128" t="s">
        <v>287</v>
      </c>
      <c r="IU74" s="128" t="s">
        <v>287</v>
      </c>
      <c r="IV74" s="128" t="s">
        <v>287</v>
      </c>
      <c r="IW74" s="128" t="s">
        <v>287</v>
      </c>
      <c r="IX74" s="505" t="s">
        <v>287</v>
      </c>
      <c r="IY74" s="128">
        <v>1250</v>
      </c>
      <c r="IZ74" s="128">
        <v>149</v>
      </c>
      <c r="JA74" s="344">
        <v>0.1192</v>
      </c>
      <c r="JB74" s="344">
        <v>0.10239368062052333</v>
      </c>
      <c r="JC74" s="344">
        <v>0.13833967262542246</v>
      </c>
      <c r="JD74" s="136" t="str">
        <f t="shared" si="3"/>
        <v>Sig better than Eng.</v>
      </c>
      <c r="JE74" s="11">
        <v>1637</v>
      </c>
      <c r="JF74" s="11">
        <v>947</v>
      </c>
      <c r="JG74" s="20">
        <v>0.57849725106902872</v>
      </c>
      <c r="JH74" s="20">
        <v>0.55442004800520173</v>
      </c>
      <c r="JI74" s="20">
        <v>0.60220690618250572</v>
      </c>
      <c r="JJ74" s="11">
        <v>1637</v>
      </c>
      <c r="JK74" s="11">
        <v>34</v>
      </c>
      <c r="JL74" s="11">
        <v>327</v>
      </c>
      <c r="JM74" s="384">
        <v>25.431192660550472</v>
      </c>
      <c r="JN74" s="20">
        <v>0.25202374527792726</v>
      </c>
      <c r="JO74" s="11">
        <v>1614</v>
      </c>
      <c r="JP74" s="11">
        <v>1025</v>
      </c>
      <c r="JQ74" s="20">
        <v>0.63506815365551428</v>
      </c>
      <c r="JR74" s="20">
        <v>0.61128697123654441</v>
      </c>
      <c r="JS74" s="20">
        <v>0.65820791506573717</v>
      </c>
      <c r="JT74" s="11">
        <v>1614</v>
      </c>
      <c r="JU74" s="11">
        <v>34</v>
      </c>
      <c r="JV74" s="11">
        <v>322</v>
      </c>
      <c r="JW74" s="384">
        <v>26.602484472049689</v>
      </c>
      <c r="JX74" s="20">
        <v>0.21757398611618561</v>
      </c>
      <c r="JY74" s="44">
        <v>1729</v>
      </c>
      <c r="JZ74" s="44">
        <v>1188</v>
      </c>
      <c r="KA74" s="497">
        <v>0.68700000000000006</v>
      </c>
      <c r="KB74" s="497">
        <v>0.66484874293830565</v>
      </c>
      <c r="KC74" s="497">
        <v>0.70852644191000924</v>
      </c>
      <c r="KD74" s="438">
        <v>34</v>
      </c>
      <c r="KE74" s="438">
        <v>345</v>
      </c>
      <c r="KF74" s="384">
        <v>26.3</v>
      </c>
      <c r="KG74" s="104">
        <v>0.22600000000000001</v>
      </c>
      <c r="KH74" s="344" t="s">
        <v>287</v>
      </c>
      <c r="KI74" s="344" t="s">
        <v>287</v>
      </c>
      <c r="KJ74" s="344" t="s">
        <v>287</v>
      </c>
      <c r="KK74" s="344" t="s">
        <v>287</v>
      </c>
      <c r="KL74" s="344" t="s">
        <v>287</v>
      </c>
      <c r="KM74" s="344" t="s">
        <v>287</v>
      </c>
      <c r="KN74" s="344" t="s">
        <v>287</v>
      </c>
      <c r="KO74" s="344" t="s">
        <v>287</v>
      </c>
      <c r="KP74" s="344" t="s">
        <v>287</v>
      </c>
      <c r="KQ74" s="344" t="s">
        <v>287</v>
      </c>
      <c r="KR74" s="344" t="s">
        <v>287</v>
      </c>
      <c r="KS74" s="344" t="s">
        <v>287</v>
      </c>
      <c r="KT74" s="344" t="s">
        <v>287</v>
      </c>
      <c r="KU74" s="344" t="s">
        <v>287</v>
      </c>
      <c r="KV74" s="344" t="s">
        <v>287</v>
      </c>
      <c r="KW74" s="345" t="s">
        <v>287</v>
      </c>
      <c r="KX74" s="534">
        <v>55</v>
      </c>
      <c r="KY74" s="534">
        <v>823</v>
      </c>
      <c r="KZ74" s="344">
        <v>6.6828675577156743E-2</v>
      </c>
      <c r="LA74" s="344">
        <v>5.170105847217684E-2</v>
      </c>
      <c r="LB74" s="344">
        <v>8.5981271805581239E-2</v>
      </c>
      <c r="LC74" s="534">
        <v>43</v>
      </c>
      <c r="LD74" s="534">
        <v>823</v>
      </c>
      <c r="LE74" s="344">
        <v>5.2247873633049821E-2</v>
      </c>
      <c r="LF74" s="344">
        <v>3.9018455733918607E-2</v>
      </c>
      <c r="LG74" s="344">
        <v>6.9637753823876228E-2</v>
      </c>
      <c r="LH74" s="534">
        <v>50</v>
      </c>
      <c r="LI74" s="534">
        <v>818</v>
      </c>
      <c r="LJ74" s="344">
        <v>6.1124694376528114E-2</v>
      </c>
      <c r="LK74" s="344">
        <v>4.6669911343793682E-2</v>
      </c>
      <c r="LL74" s="344">
        <v>7.9682267298668577E-2</v>
      </c>
      <c r="LM74" s="534">
        <v>112</v>
      </c>
      <c r="LN74" s="534">
        <v>814</v>
      </c>
      <c r="LO74" s="344">
        <v>0.13759213759213759</v>
      </c>
      <c r="LP74" s="344">
        <v>0.11562469537313362</v>
      </c>
      <c r="LQ74" s="345">
        <v>0.16296409022014693</v>
      </c>
      <c r="LR74" s="128" t="s">
        <v>287</v>
      </c>
      <c r="LS74" s="128" t="s">
        <v>287</v>
      </c>
      <c r="LT74" s="128" t="s">
        <v>287</v>
      </c>
      <c r="LU74" s="128" t="s">
        <v>287</v>
      </c>
      <c r="LV74" s="128" t="s">
        <v>287</v>
      </c>
      <c r="LW74" s="128" t="s">
        <v>287</v>
      </c>
      <c r="LX74" s="128" t="s">
        <v>287</v>
      </c>
      <c r="LY74" s="128" t="s">
        <v>287</v>
      </c>
      <c r="LZ74" s="128" t="s">
        <v>287</v>
      </c>
      <c r="MA74" s="128" t="s">
        <v>287</v>
      </c>
      <c r="MB74" s="128" t="s">
        <v>287</v>
      </c>
      <c r="MC74" s="128" t="s">
        <v>287</v>
      </c>
      <c r="MD74" s="128" t="s">
        <v>287</v>
      </c>
      <c r="ME74" s="128" t="s">
        <v>287</v>
      </c>
      <c r="MF74" s="128" t="s">
        <v>287</v>
      </c>
      <c r="MG74" s="128" t="s">
        <v>287</v>
      </c>
      <c r="MH74" s="128" t="s">
        <v>287</v>
      </c>
      <c r="MI74" s="128" t="s">
        <v>287</v>
      </c>
      <c r="MJ74" s="128" t="s">
        <v>287</v>
      </c>
      <c r="MK74" s="128" t="s">
        <v>287</v>
      </c>
      <c r="ML74" s="128" t="s">
        <v>287</v>
      </c>
      <c r="MM74" s="128" t="s">
        <v>287</v>
      </c>
      <c r="MN74" s="136" t="s">
        <v>287</v>
      </c>
      <c r="MO74" s="128" t="s">
        <v>287</v>
      </c>
      <c r="MP74" s="128" t="s">
        <v>287</v>
      </c>
      <c r="MQ74" s="128" t="s">
        <v>287</v>
      </c>
      <c r="MR74" s="128" t="s">
        <v>287</v>
      </c>
      <c r="MS74" s="128" t="s">
        <v>287</v>
      </c>
      <c r="MT74" s="128" t="s">
        <v>287</v>
      </c>
      <c r="MU74" s="128" t="s">
        <v>287</v>
      </c>
      <c r="MV74" s="128" t="s">
        <v>287</v>
      </c>
      <c r="MW74" s="128" t="s">
        <v>287</v>
      </c>
      <c r="MX74" s="128" t="s">
        <v>287</v>
      </c>
      <c r="MY74" s="128" t="s">
        <v>287</v>
      </c>
      <c r="MZ74" s="128" t="s">
        <v>287</v>
      </c>
      <c r="NA74" s="128" t="s">
        <v>287</v>
      </c>
      <c r="NB74" s="128" t="s">
        <v>287</v>
      </c>
      <c r="NC74" s="128" t="s">
        <v>287</v>
      </c>
      <c r="ND74" s="128" t="s">
        <v>287</v>
      </c>
      <c r="NE74" s="128" t="s">
        <v>287</v>
      </c>
      <c r="NF74" s="128" t="s">
        <v>287</v>
      </c>
      <c r="NG74" s="128" t="s">
        <v>287</v>
      </c>
      <c r="NH74" s="128" t="s">
        <v>287</v>
      </c>
      <c r="NI74" s="128" t="s">
        <v>287</v>
      </c>
      <c r="NJ74" s="128" t="s">
        <v>287</v>
      </c>
      <c r="NK74" s="128" t="s">
        <v>287</v>
      </c>
      <c r="NL74" s="128" t="s">
        <v>287</v>
      </c>
      <c r="NM74" s="128" t="s">
        <v>287</v>
      </c>
      <c r="NN74" s="128" t="s">
        <v>287</v>
      </c>
      <c r="NO74" s="128" t="s">
        <v>287</v>
      </c>
      <c r="NP74" s="128" t="s">
        <v>287</v>
      </c>
      <c r="NQ74" s="128" t="s">
        <v>287</v>
      </c>
      <c r="NR74" s="128" t="s">
        <v>287</v>
      </c>
      <c r="NS74" s="128" t="s">
        <v>287</v>
      </c>
      <c r="NT74" s="128" t="s">
        <v>287</v>
      </c>
      <c r="NU74" s="128" t="s">
        <v>287</v>
      </c>
      <c r="NV74" s="128" t="s">
        <v>287</v>
      </c>
      <c r="NW74" s="128" t="s">
        <v>287</v>
      </c>
      <c r="NX74" s="128" t="s">
        <v>287</v>
      </c>
      <c r="NY74" s="128" t="s">
        <v>287</v>
      </c>
      <c r="NZ74" s="128" t="s">
        <v>287</v>
      </c>
      <c r="OA74" s="136" t="s">
        <v>287</v>
      </c>
    </row>
    <row r="75" spans="1:391" s="4" customFormat="1" ht="12.75" x14ac:dyDescent="0.2">
      <c r="A75" s="4" t="s">
        <v>110</v>
      </c>
      <c r="B75" s="9">
        <v>5</v>
      </c>
      <c r="C75" s="4" t="s">
        <v>287</v>
      </c>
      <c r="D75" s="4" t="s">
        <v>287</v>
      </c>
      <c r="E75" s="4" t="s">
        <v>287</v>
      </c>
      <c r="F75" s="4" t="s">
        <v>287</v>
      </c>
      <c r="G75" s="4" t="s">
        <v>287</v>
      </c>
      <c r="H75" s="4" t="s">
        <v>287</v>
      </c>
      <c r="I75" s="4" t="s">
        <v>287</v>
      </c>
      <c r="J75" s="4" t="s">
        <v>398</v>
      </c>
      <c r="K75" s="4" t="s">
        <v>287</v>
      </c>
      <c r="L75" s="4" t="s">
        <v>274</v>
      </c>
      <c r="M75" s="4" t="s">
        <v>287</v>
      </c>
      <c r="N75" s="4" t="s">
        <v>287</v>
      </c>
      <c r="O75" s="129" t="s">
        <v>287</v>
      </c>
      <c r="P75" s="129" t="s">
        <v>287</v>
      </c>
      <c r="Q75" s="129" t="s">
        <v>287</v>
      </c>
      <c r="R75" s="129" t="s">
        <v>287</v>
      </c>
      <c r="S75" s="129" t="s">
        <v>287</v>
      </c>
      <c r="T75" s="41">
        <v>92650</v>
      </c>
      <c r="U75" s="42">
        <v>93800</v>
      </c>
      <c r="V75" s="42">
        <v>94800</v>
      </c>
      <c r="W75" s="42">
        <v>95550</v>
      </c>
      <c r="X75" s="42">
        <v>96250</v>
      </c>
      <c r="Y75" s="42">
        <v>97100</v>
      </c>
      <c r="Z75" s="42">
        <v>97700</v>
      </c>
      <c r="AA75" s="42">
        <v>98250</v>
      </c>
      <c r="AB75" s="42">
        <v>98900</v>
      </c>
      <c r="AC75" s="42">
        <v>100290</v>
      </c>
      <c r="AD75" s="41">
        <v>5300</v>
      </c>
      <c r="AE75" s="42">
        <v>5250</v>
      </c>
      <c r="AF75" s="42">
        <v>5450</v>
      </c>
      <c r="AG75" s="42">
        <v>5450</v>
      </c>
      <c r="AH75" s="42">
        <v>5500</v>
      </c>
      <c r="AI75" s="42">
        <v>5550</v>
      </c>
      <c r="AJ75" s="42">
        <v>5650</v>
      </c>
      <c r="AK75" s="42">
        <v>5650</v>
      </c>
      <c r="AL75" s="42">
        <v>5650</v>
      </c>
      <c r="AM75" s="42">
        <v>5588</v>
      </c>
      <c r="AN75" s="16">
        <v>5639</v>
      </c>
      <c r="AO75" s="4">
        <v>4989</v>
      </c>
      <c r="AP75" s="4">
        <v>189</v>
      </c>
      <c r="AQ75" s="4">
        <v>260</v>
      </c>
      <c r="AR75" s="4">
        <v>162</v>
      </c>
      <c r="AS75" s="4">
        <v>27</v>
      </c>
      <c r="AT75" s="4">
        <v>12</v>
      </c>
      <c r="AU75" s="4">
        <v>650</v>
      </c>
      <c r="AV75" s="21">
        <v>0.88500000000000001</v>
      </c>
      <c r="AW75" s="22">
        <v>3.4000000000000002E-2</v>
      </c>
      <c r="AX75" s="22">
        <v>4.5999999999999999E-2</v>
      </c>
      <c r="AY75" s="22">
        <v>2.9000000000000001E-2</v>
      </c>
      <c r="AZ75" s="22">
        <v>5.0000000000000001E-3</v>
      </c>
      <c r="BA75" s="22">
        <v>2E-3</v>
      </c>
      <c r="BB75" s="22">
        <v>0.115</v>
      </c>
      <c r="BC75" s="41">
        <v>15726</v>
      </c>
      <c r="BD75" s="42">
        <v>15417</v>
      </c>
      <c r="BE75" s="42">
        <v>309</v>
      </c>
      <c r="BF75" s="42">
        <v>263</v>
      </c>
      <c r="BG75" s="42">
        <v>46</v>
      </c>
      <c r="BH75" s="22">
        <v>0.85099999999999998</v>
      </c>
      <c r="BI75" s="22">
        <v>0.14899999999999999</v>
      </c>
      <c r="BJ75" s="41">
        <v>11218</v>
      </c>
      <c r="BK75" s="22">
        <v>0.70799999999999996</v>
      </c>
      <c r="BL75" s="22">
        <v>0.14399999999999999</v>
      </c>
      <c r="BM75" s="22">
        <v>0.14799999999999999</v>
      </c>
      <c r="BN75" s="443" t="s">
        <v>287</v>
      </c>
      <c r="BO75" s="66" t="s">
        <v>287</v>
      </c>
      <c r="BP75" s="66" t="s">
        <v>287</v>
      </c>
      <c r="BQ75" s="66" t="s">
        <v>287</v>
      </c>
      <c r="BR75" s="66" t="s">
        <v>287</v>
      </c>
      <c r="BS75" s="66" t="s">
        <v>287</v>
      </c>
      <c r="BT75" s="129" t="s">
        <v>287</v>
      </c>
      <c r="BU75" s="443">
        <v>8022</v>
      </c>
      <c r="BV75" s="66">
        <v>6</v>
      </c>
      <c r="BW75" s="66">
        <v>1336</v>
      </c>
      <c r="BX75" s="66">
        <v>1851</v>
      </c>
      <c r="BY75" s="66">
        <v>679</v>
      </c>
      <c r="BZ75" s="333">
        <v>11894</v>
      </c>
      <c r="CA75" s="42">
        <v>4353</v>
      </c>
      <c r="CB75" s="42">
        <v>3865</v>
      </c>
      <c r="CC75" s="42">
        <v>483</v>
      </c>
      <c r="CD75" s="42">
        <v>488</v>
      </c>
      <c r="CE75" s="22">
        <v>0.11095796002756719</v>
      </c>
      <c r="CF75" s="105">
        <v>0.11210659315414656</v>
      </c>
      <c r="CG75" s="42">
        <v>465</v>
      </c>
      <c r="CH75" s="42">
        <v>395</v>
      </c>
      <c r="CI75" s="42">
        <v>325</v>
      </c>
      <c r="CJ75" s="42">
        <v>300</v>
      </c>
      <c r="CK75" s="42">
        <v>290</v>
      </c>
      <c r="CL75" s="41">
        <v>1846</v>
      </c>
      <c r="CM75" s="42">
        <v>527</v>
      </c>
      <c r="CN75" s="22">
        <v>0.28548212351029251</v>
      </c>
      <c r="CO75" s="43">
        <v>194</v>
      </c>
      <c r="CP75" s="129" t="s">
        <v>287</v>
      </c>
      <c r="CQ75" s="129" t="s">
        <v>287</v>
      </c>
      <c r="CR75" s="129" t="s">
        <v>287</v>
      </c>
      <c r="CS75" s="129" t="s">
        <v>287</v>
      </c>
      <c r="CT75" s="129" t="s">
        <v>287</v>
      </c>
      <c r="CU75" s="137" t="s">
        <v>287</v>
      </c>
      <c r="CV75" s="66" t="s">
        <v>287</v>
      </c>
      <c r="CW75" s="66" t="s">
        <v>287</v>
      </c>
      <c r="CX75" s="66" t="s">
        <v>287</v>
      </c>
      <c r="CY75" s="66" t="s">
        <v>287</v>
      </c>
      <c r="CZ75" s="66" t="s">
        <v>287</v>
      </c>
      <c r="DA75" s="137" t="s">
        <v>287</v>
      </c>
      <c r="DB75" s="467" t="s">
        <v>287</v>
      </c>
      <c r="DC75" s="380" t="s">
        <v>287</v>
      </c>
      <c r="DD75" s="129" t="s">
        <v>287</v>
      </c>
      <c r="DE75" s="129" t="s">
        <v>287</v>
      </c>
      <c r="DF75" s="129" t="s">
        <v>287</v>
      </c>
      <c r="DG75" s="16">
        <v>91</v>
      </c>
      <c r="DH75" s="22">
        <v>1.6169154228855721E-2</v>
      </c>
      <c r="DI75" s="472" t="s">
        <v>287</v>
      </c>
      <c r="DJ75" s="473" t="s">
        <v>287</v>
      </c>
      <c r="DK75" s="4">
        <v>1123</v>
      </c>
      <c r="DL75" s="22">
        <v>2.7908248216903998E-2</v>
      </c>
      <c r="DM75" s="380">
        <v>605</v>
      </c>
      <c r="DN75" s="129">
        <v>595</v>
      </c>
      <c r="DO75" s="129">
        <v>580</v>
      </c>
      <c r="DP75" s="129">
        <v>575</v>
      </c>
      <c r="DQ75" s="129">
        <v>480</v>
      </c>
      <c r="DR75" s="380" t="s">
        <v>287</v>
      </c>
      <c r="DS75" s="346" t="s">
        <v>287</v>
      </c>
      <c r="DT75" s="129" t="s">
        <v>287</v>
      </c>
      <c r="DU75" s="129" t="s">
        <v>287</v>
      </c>
      <c r="DV75" s="129" t="s">
        <v>287</v>
      </c>
      <c r="DW75" s="346" t="s">
        <v>287</v>
      </c>
      <c r="DX75" s="129" t="s">
        <v>287</v>
      </c>
      <c r="DY75" s="346" t="s">
        <v>287</v>
      </c>
      <c r="DZ75" s="129" t="s">
        <v>287</v>
      </c>
      <c r="EA75" s="346" t="s">
        <v>287</v>
      </c>
      <c r="EB75" s="129" t="s">
        <v>287</v>
      </c>
      <c r="EC75" s="346" t="s">
        <v>287</v>
      </c>
      <c r="ED75" s="129" t="s">
        <v>287</v>
      </c>
      <c r="EE75" s="346" t="s">
        <v>287</v>
      </c>
      <c r="EF75" s="129" t="s">
        <v>287</v>
      </c>
      <c r="EG75" s="346" t="s">
        <v>287</v>
      </c>
      <c r="EH75" s="129" t="s">
        <v>287</v>
      </c>
      <c r="EI75" s="346" t="s">
        <v>287</v>
      </c>
      <c r="EJ75" s="346" t="s">
        <v>287</v>
      </c>
      <c r="EK75" s="346" t="s">
        <v>287</v>
      </c>
      <c r="EL75" s="346" t="s">
        <v>287</v>
      </c>
      <c r="EM75" s="346" t="s">
        <v>287</v>
      </c>
      <c r="EN75" s="346" t="s">
        <v>287</v>
      </c>
      <c r="EO75" s="346" t="s">
        <v>287</v>
      </c>
      <c r="EP75" s="443" t="s">
        <v>287</v>
      </c>
      <c r="EQ75" s="346" t="s">
        <v>287</v>
      </c>
      <c r="ER75" s="66" t="s">
        <v>287</v>
      </c>
      <c r="ES75" s="346" t="s">
        <v>287</v>
      </c>
      <c r="ET75" s="66" t="s">
        <v>287</v>
      </c>
      <c r="EU75" s="346" t="s">
        <v>287</v>
      </c>
      <c r="EV75" s="66" t="s">
        <v>287</v>
      </c>
      <c r="EW75" s="346" t="s">
        <v>287</v>
      </c>
      <c r="EX75" s="66" t="s">
        <v>287</v>
      </c>
      <c r="EY75" s="346" t="s">
        <v>287</v>
      </c>
      <c r="EZ75" s="66" t="s">
        <v>287</v>
      </c>
      <c r="FA75" s="347" t="s">
        <v>287</v>
      </c>
      <c r="FB75" s="129" t="s">
        <v>287</v>
      </c>
      <c r="FC75" s="129" t="s">
        <v>287</v>
      </c>
      <c r="FD75" s="129" t="s">
        <v>287</v>
      </c>
      <c r="FE75" s="346" t="s">
        <v>287</v>
      </c>
      <c r="FF75" s="129" t="s">
        <v>287</v>
      </c>
      <c r="FG75" s="129" t="s">
        <v>287</v>
      </c>
      <c r="FH75" s="346" t="s">
        <v>287</v>
      </c>
      <c r="FI75" s="346" t="s">
        <v>287</v>
      </c>
      <c r="FJ75" s="346" t="s">
        <v>287</v>
      </c>
      <c r="FK75" s="346" t="s">
        <v>287</v>
      </c>
      <c r="FL75" s="346" t="s">
        <v>287</v>
      </c>
      <c r="FM75" s="347" t="s">
        <v>287</v>
      </c>
      <c r="FN75" s="529" t="s">
        <v>287</v>
      </c>
      <c r="FO75" s="346" t="s">
        <v>287</v>
      </c>
      <c r="FP75" s="346" t="s">
        <v>287</v>
      </c>
      <c r="FQ75" s="346" t="s">
        <v>287</v>
      </c>
      <c r="FR75" s="346" t="s">
        <v>287</v>
      </c>
      <c r="FS75" s="346" t="s">
        <v>287</v>
      </c>
      <c r="FT75" s="529" t="s">
        <v>287</v>
      </c>
      <c r="FU75" s="346" t="s">
        <v>287</v>
      </c>
      <c r="FV75" s="346" t="s">
        <v>287</v>
      </c>
      <c r="FW75" s="347" t="s">
        <v>287</v>
      </c>
      <c r="FX75" s="535" t="s">
        <v>287</v>
      </c>
      <c r="FY75" s="529" t="s">
        <v>287</v>
      </c>
      <c r="FZ75" s="529" t="s">
        <v>287</v>
      </c>
      <c r="GA75" s="346" t="s">
        <v>287</v>
      </c>
      <c r="GB75" s="529" t="s">
        <v>287</v>
      </c>
      <c r="GC75" s="529" t="s">
        <v>287</v>
      </c>
      <c r="GD75" s="529" t="s">
        <v>287</v>
      </c>
      <c r="GE75" s="346" t="s">
        <v>287</v>
      </c>
      <c r="GF75" s="346" t="s">
        <v>287</v>
      </c>
      <c r="GG75" s="346" t="s">
        <v>287</v>
      </c>
      <c r="GH75" s="346" t="s">
        <v>287</v>
      </c>
      <c r="GI75" s="346" t="s">
        <v>287</v>
      </c>
      <c r="GJ75" s="347" t="s">
        <v>287</v>
      </c>
      <c r="GK75" s="129" t="s">
        <v>287</v>
      </c>
      <c r="GL75" s="483" t="s">
        <v>287</v>
      </c>
      <c r="GM75" s="346" t="s">
        <v>287</v>
      </c>
      <c r="GN75" s="346" t="s">
        <v>287</v>
      </c>
      <c r="GO75" s="346" t="s">
        <v>287</v>
      </c>
      <c r="GP75" s="515" t="s">
        <v>287</v>
      </c>
      <c r="GQ75" s="129" t="s">
        <v>287</v>
      </c>
      <c r="GR75" s="483" t="s">
        <v>287</v>
      </c>
      <c r="GS75" s="346" t="s">
        <v>287</v>
      </c>
      <c r="GT75" s="346" t="s">
        <v>287</v>
      </c>
      <c r="GU75" s="346" t="s">
        <v>287</v>
      </c>
      <c r="GV75" s="504" t="s">
        <v>287</v>
      </c>
      <c r="GW75" s="129" t="s">
        <v>287</v>
      </c>
      <c r="GX75" s="483" t="s">
        <v>287</v>
      </c>
      <c r="GY75" s="346" t="s">
        <v>287</v>
      </c>
      <c r="GZ75" s="346" t="s">
        <v>287</v>
      </c>
      <c r="HA75" s="346" t="s">
        <v>287</v>
      </c>
      <c r="HB75" s="504" t="s">
        <v>287</v>
      </c>
      <c r="HC75" s="129" t="s">
        <v>287</v>
      </c>
      <c r="HD75" s="483" t="s">
        <v>287</v>
      </c>
      <c r="HE75" s="346" t="s">
        <v>287</v>
      </c>
      <c r="HF75" s="346" t="s">
        <v>287</v>
      </c>
      <c r="HG75" s="346" t="s">
        <v>287</v>
      </c>
      <c r="HH75" s="504" t="s">
        <v>287</v>
      </c>
      <c r="HI75" s="129" t="s">
        <v>287</v>
      </c>
      <c r="HJ75" s="129" t="s">
        <v>287</v>
      </c>
      <c r="HK75" s="346" t="s">
        <v>287</v>
      </c>
      <c r="HL75" s="346" t="s">
        <v>287</v>
      </c>
      <c r="HM75" s="346" t="s">
        <v>287</v>
      </c>
      <c r="HN75" s="504" t="s">
        <v>287</v>
      </c>
      <c r="HO75" s="129">
        <v>951</v>
      </c>
      <c r="HP75" s="129">
        <v>52</v>
      </c>
      <c r="HQ75" s="346">
        <v>5.4679284963196635E-2</v>
      </c>
      <c r="HR75" s="346">
        <v>4.1939401979816826E-2</v>
      </c>
      <c r="HS75" s="346">
        <v>7.1002341201178876E-2</v>
      </c>
      <c r="HT75" s="511" t="str">
        <f t="shared" si="2"/>
        <v>Sig better than Eng.</v>
      </c>
      <c r="HU75" s="129" t="s">
        <v>287</v>
      </c>
      <c r="HV75" s="483" t="s">
        <v>287</v>
      </c>
      <c r="HW75" s="346" t="s">
        <v>287</v>
      </c>
      <c r="HX75" s="346" t="s">
        <v>287</v>
      </c>
      <c r="HY75" s="346" t="s">
        <v>287</v>
      </c>
      <c r="HZ75" s="129" t="s">
        <v>287</v>
      </c>
      <c r="IA75" s="129" t="s">
        <v>287</v>
      </c>
      <c r="IB75" s="483" t="s">
        <v>287</v>
      </c>
      <c r="IC75" s="346" t="s">
        <v>287</v>
      </c>
      <c r="ID75" s="346" t="s">
        <v>287</v>
      </c>
      <c r="IE75" s="346" t="s">
        <v>287</v>
      </c>
      <c r="IF75" s="129" t="s">
        <v>287</v>
      </c>
      <c r="IG75" s="129" t="s">
        <v>287</v>
      </c>
      <c r="IH75" s="483" t="s">
        <v>287</v>
      </c>
      <c r="II75" s="346" t="s">
        <v>287</v>
      </c>
      <c r="IJ75" s="346" t="s">
        <v>287</v>
      </c>
      <c r="IK75" s="346" t="s">
        <v>287</v>
      </c>
      <c r="IL75" s="129" t="s">
        <v>287</v>
      </c>
      <c r="IM75" s="129" t="s">
        <v>287</v>
      </c>
      <c r="IN75" s="483" t="s">
        <v>287</v>
      </c>
      <c r="IO75" s="346" t="s">
        <v>287</v>
      </c>
      <c r="IP75" s="346" t="s">
        <v>287</v>
      </c>
      <c r="IQ75" s="346" t="s">
        <v>287</v>
      </c>
      <c r="IR75" s="129" t="s">
        <v>287</v>
      </c>
      <c r="IS75" s="129" t="s">
        <v>287</v>
      </c>
      <c r="IT75" s="129" t="s">
        <v>287</v>
      </c>
      <c r="IU75" s="129" t="s">
        <v>287</v>
      </c>
      <c r="IV75" s="129" t="s">
        <v>287</v>
      </c>
      <c r="IW75" s="129" t="s">
        <v>287</v>
      </c>
      <c r="IX75" s="504" t="s">
        <v>287</v>
      </c>
      <c r="IY75" s="129">
        <v>948</v>
      </c>
      <c r="IZ75" s="129">
        <v>121</v>
      </c>
      <c r="JA75" s="346">
        <v>0.12763713080168776</v>
      </c>
      <c r="JB75" s="346">
        <v>0.10788832837084729</v>
      </c>
      <c r="JC75" s="346">
        <v>0.15039151071631024</v>
      </c>
      <c r="JD75" s="137" t="str">
        <f t="shared" si="3"/>
        <v>Sig better than Eng.</v>
      </c>
      <c r="JE75" s="4">
        <v>1048</v>
      </c>
      <c r="JF75" s="4">
        <v>616</v>
      </c>
      <c r="JG75" s="22">
        <v>0.58778625954198471</v>
      </c>
      <c r="JH75" s="22">
        <v>0.55771687583754714</v>
      </c>
      <c r="JI75" s="22">
        <v>0.61721443007075727</v>
      </c>
      <c r="JJ75" s="4">
        <v>1048</v>
      </c>
      <c r="JK75" s="4">
        <v>34</v>
      </c>
      <c r="JL75" s="4">
        <v>209</v>
      </c>
      <c r="JM75" s="385">
        <v>25.28708133971292</v>
      </c>
      <c r="JN75" s="22">
        <v>0.25626231353785528</v>
      </c>
      <c r="JO75" s="4">
        <v>1190</v>
      </c>
      <c r="JP75" s="4">
        <v>753</v>
      </c>
      <c r="JQ75" s="22">
        <v>0.63277310924369745</v>
      </c>
      <c r="JR75" s="22">
        <v>0.60499829450020992</v>
      </c>
      <c r="JS75" s="22">
        <v>0.6596934680996186</v>
      </c>
      <c r="JT75" s="4">
        <v>1190</v>
      </c>
      <c r="JU75" s="4">
        <v>34</v>
      </c>
      <c r="JV75" s="4">
        <v>238</v>
      </c>
      <c r="JW75" s="385">
        <v>25.205882352941188</v>
      </c>
      <c r="JX75" s="22">
        <v>0.2586505190311415</v>
      </c>
      <c r="JY75" s="42">
        <v>1165</v>
      </c>
      <c r="JZ75" s="42">
        <v>779</v>
      </c>
      <c r="KA75" s="22">
        <v>0.66900000000000004</v>
      </c>
      <c r="KB75" s="22">
        <v>0.64113888079698667</v>
      </c>
      <c r="KC75" s="22">
        <v>0.69509149247923041</v>
      </c>
      <c r="KD75" s="439">
        <v>34</v>
      </c>
      <c r="KE75" s="439">
        <v>233</v>
      </c>
      <c r="KF75" s="385">
        <v>25.4</v>
      </c>
      <c r="KG75" s="105">
        <v>0.253</v>
      </c>
      <c r="KH75" s="346" t="s">
        <v>287</v>
      </c>
      <c r="KI75" s="346" t="s">
        <v>287</v>
      </c>
      <c r="KJ75" s="346" t="s">
        <v>287</v>
      </c>
      <c r="KK75" s="346" t="s">
        <v>287</v>
      </c>
      <c r="KL75" s="346" t="s">
        <v>287</v>
      </c>
      <c r="KM75" s="346" t="s">
        <v>287</v>
      </c>
      <c r="KN75" s="346" t="s">
        <v>287</v>
      </c>
      <c r="KO75" s="346" t="s">
        <v>287</v>
      </c>
      <c r="KP75" s="346" t="s">
        <v>287</v>
      </c>
      <c r="KQ75" s="346" t="s">
        <v>287</v>
      </c>
      <c r="KR75" s="346" t="s">
        <v>287</v>
      </c>
      <c r="KS75" s="346" t="s">
        <v>287</v>
      </c>
      <c r="KT75" s="346" t="s">
        <v>287</v>
      </c>
      <c r="KU75" s="346" t="s">
        <v>287</v>
      </c>
      <c r="KV75" s="346" t="s">
        <v>287</v>
      </c>
      <c r="KW75" s="347" t="s">
        <v>287</v>
      </c>
      <c r="KX75" s="535">
        <v>38</v>
      </c>
      <c r="KY75" s="535">
        <v>417</v>
      </c>
      <c r="KZ75" s="346">
        <v>9.1127098321342928E-2</v>
      </c>
      <c r="LA75" s="346">
        <v>6.7111500233552293E-2</v>
      </c>
      <c r="LB75" s="346">
        <v>0.12260711504838881</v>
      </c>
      <c r="LC75" s="535">
        <v>31</v>
      </c>
      <c r="LD75" s="535">
        <v>417</v>
      </c>
      <c r="LE75" s="346">
        <v>7.4340527577937646E-2</v>
      </c>
      <c r="LF75" s="346">
        <v>5.2863909450450441E-2</v>
      </c>
      <c r="LG75" s="346">
        <v>0.10358802141491347</v>
      </c>
      <c r="LH75" s="535">
        <v>37</v>
      </c>
      <c r="LI75" s="535">
        <v>415</v>
      </c>
      <c r="LJ75" s="346">
        <v>8.91566265060241E-2</v>
      </c>
      <c r="LK75" s="346">
        <v>6.5374670446320476E-2</v>
      </c>
      <c r="LL75" s="346">
        <v>0.12047478925107311</v>
      </c>
      <c r="LM75" s="535">
        <v>67</v>
      </c>
      <c r="LN75" s="535">
        <v>408</v>
      </c>
      <c r="LO75" s="346">
        <v>0.1642156862745098</v>
      </c>
      <c r="LP75" s="346">
        <v>0.13143113339150828</v>
      </c>
      <c r="LQ75" s="347">
        <v>0.20326430794507408</v>
      </c>
      <c r="LR75" s="129" t="s">
        <v>287</v>
      </c>
      <c r="LS75" s="129" t="s">
        <v>287</v>
      </c>
      <c r="LT75" s="129" t="s">
        <v>287</v>
      </c>
      <c r="LU75" s="129" t="s">
        <v>287</v>
      </c>
      <c r="LV75" s="129" t="s">
        <v>287</v>
      </c>
      <c r="LW75" s="129" t="s">
        <v>287</v>
      </c>
      <c r="LX75" s="129" t="s">
        <v>287</v>
      </c>
      <c r="LY75" s="129" t="s">
        <v>287</v>
      </c>
      <c r="LZ75" s="129" t="s">
        <v>287</v>
      </c>
      <c r="MA75" s="129" t="s">
        <v>287</v>
      </c>
      <c r="MB75" s="129" t="s">
        <v>287</v>
      </c>
      <c r="MC75" s="129" t="s">
        <v>287</v>
      </c>
      <c r="MD75" s="129" t="s">
        <v>287</v>
      </c>
      <c r="ME75" s="129" t="s">
        <v>287</v>
      </c>
      <c r="MF75" s="129" t="s">
        <v>287</v>
      </c>
      <c r="MG75" s="129" t="s">
        <v>287</v>
      </c>
      <c r="MH75" s="129" t="s">
        <v>287</v>
      </c>
      <c r="MI75" s="129" t="s">
        <v>287</v>
      </c>
      <c r="MJ75" s="129" t="s">
        <v>287</v>
      </c>
      <c r="MK75" s="129" t="s">
        <v>287</v>
      </c>
      <c r="ML75" s="129" t="s">
        <v>287</v>
      </c>
      <c r="MM75" s="129" t="s">
        <v>287</v>
      </c>
      <c r="MN75" s="137" t="s">
        <v>287</v>
      </c>
      <c r="MO75" s="129" t="s">
        <v>287</v>
      </c>
      <c r="MP75" s="129" t="s">
        <v>287</v>
      </c>
      <c r="MQ75" s="129" t="s">
        <v>287</v>
      </c>
      <c r="MR75" s="129" t="s">
        <v>287</v>
      </c>
      <c r="MS75" s="129" t="s">
        <v>287</v>
      </c>
      <c r="MT75" s="129" t="s">
        <v>287</v>
      </c>
      <c r="MU75" s="129" t="s">
        <v>287</v>
      </c>
      <c r="MV75" s="129" t="s">
        <v>287</v>
      </c>
      <c r="MW75" s="494" t="s">
        <v>287</v>
      </c>
      <c r="MX75" s="494" t="s">
        <v>287</v>
      </c>
      <c r="MY75" s="494" t="s">
        <v>287</v>
      </c>
      <c r="MZ75" s="494" t="s">
        <v>287</v>
      </c>
      <c r="NA75" s="494" t="s">
        <v>287</v>
      </c>
      <c r="NB75" s="129" t="s">
        <v>287</v>
      </c>
      <c r="NC75" s="129" t="s">
        <v>287</v>
      </c>
      <c r="ND75" s="129" t="s">
        <v>287</v>
      </c>
      <c r="NE75" s="129" t="s">
        <v>287</v>
      </c>
      <c r="NF75" s="129" t="s">
        <v>287</v>
      </c>
      <c r="NG75" s="129" t="s">
        <v>287</v>
      </c>
      <c r="NH75" s="129" t="s">
        <v>287</v>
      </c>
      <c r="NI75" s="129" t="s">
        <v>287</v>
      </c>
      <c r="NJ75" s="129" t="s">
        <v>287</v>
      </c>
      <c r="NK75" s="129" t="s">
        <v>287</v>
      </c>
      <c r="NL75" s="129" t="s">
        <v>287</v>
      </c>
      <c r="NM75" s="129" t="s">
        <v>287</v>
      </c>
      <c r="NN75" s="129" t="s">
        <v>287</v>
      </c>
      <c r="NO75" s="129" t="s">
        <v>287</v>
      </c>
      <c r="NP75" s="129" t="s">
        <v>287</v>
      </c>
      <c r="NQ75" s="129" t="s">
        <v>287</v>
      </c>
      <c r="NR75" s="129" t="s">
        <v>287</v>
      </c>
      <c r="NS75" s="129" t="s">
        <v>287</v>
      </c>
      <c r="NT75" s="129" t="s">
        <v>287</v>
      </c>
      <c r="NU75" s="129" t="s">
        <v>287</v>
      </c>
      <c r="NV75" s="129" t="s">
        <v>287</v>
      </c>
      <c r="NW75" s="129" t="s">
        <v>287</v>
      </c>
      <c r="NX75" s="129" t="s">
        <v>287</v>
      </c>
      <c r="NY75" s="129" t="s">
        <v>287</v>
      </c>
      <c r="NZ75" s="129" t="s">
        <v>287</v>
      </c>
      <c r="OA75" s="137" t="s">
        <v>287</v>
      </c>
    </row>
    <row r="76" spans="1:391" s="11" customFormat="1" ht="12.75" x14ac:dyDescent="0.2">
      <c r="A76" s="11" t="s">
        <v>111</v>
      </c>
      <c r="B76" s="8">
        <v>1</v>
      </c>
      <c r="C76" s="11" t="s">
        <v>287</v>
      </c>
      <c r="D76" s="11" t="s">
        <v>287</v>
      </c>
      <c r="E76" s="11" t="s">
        <v>287</v>
      </c>
      <c r="F76" s="11" t="s">
        <v>287</v>
      </c>
      <c r="G76" s="11" t="s">
        <v>287</v>
      </c>
      <c r="H76" s="11" t="s">
        <v>287</v>
      </c>
      <c r="I76" s="11" t="s">
        <v>287</v>
      </c>
      <c r="J76" s="11" t="s">
        <v>287</v>
      </c>
      <c r="K76" s="11" t="s">
        <v>287</v>
      </c>
      <c r="L76" s="11" t="s">
        <v>287</v>
      </c>
      <c r="M76" s="11" t="s">
        <v>287</v>
      </c>
      <c r="N76" s="11" t="s">
        <v>287</v>
      </c>
      <c r="O76" s="128" t="s">
        <v>287</v>
      </c>
      <c r="P76" s="128" t="s">
        <v>287</v>
      </c>
      <c r="Q76" s="128" t="s">
        <v>287</v>
      </c>
      <c r="R76" s="128" t="s">
        <v>287</v>
      </c>
      <c r="S76" s="128" t="s">
        <v>287</v>
      </c>
      <c r="T76" s="38">
        <v>770795</v>
      </c>
      <c r="U76" s="44">
        <v>777395</v>
      </c>
      <c r="V76" s="44">
        <v>784280</v>
      </c>
      <c r="W76" s="44">
        <v>790985</v>
      </c>
      <c r="X76" s="44">
        <v>796040</v>
      </c>
      <c r="Y76" s="44">
        <v>803155</v>
      </c>
      <c r="Z76" s="44">
        <v>808920</v>
      </c>
      <c r="AA76" s="44">
        <v>815120</v>
      </c>
      <c r="AB76" s="44">
        <v>821360</v>
      </c>
      <c r="AC76" s="44">
        <v>828400</v>
      </c>
      <c r="AD76" s="38">
        <v>40730</v>
      </c>
      <c r="AE76" s="44">
        <v>41335</v>
      </c>
      <c r="AF76" s="44">
        <v>42610</v>
      </c>
      <c r="AG76" s="44">
        <v>43655</v>
      </c>
      <c r="AH76" s="44">
        <v>44415</v>
      </c>
      <c r="AI76" s="44">
        <v>45670</v>
      </c>
      <c r="AJ76" s="44">
        <v>46670</v>
      </c>
      <c r="AK76" s="44">
        <v>47670</v>
      </c>
      <c r="AL76" s="44">
        <v>47835</v>
      </c>
      <c r="AM76" s="44">
        <v>47980</v>
      </c>
      <c r="AN76" s="15">
        <v>46486</v>
      </c>
      <c r="AO76" s="11">
        <v>38843</v>
      </c>
      <c r="AP76" s="11">
        <v>2069</v>
      </c>
      <c r="AQ76" s="11">
        <v>2203</v>
      </c>
      <c r="AR76" s="11">
        <v>2550</v>
      </c>
      <c r="AS76" s="11">
        <v>601</v>
      </c>
      <c r="AT76" s="11">
        <v>220</v>
      </c>
      <c r="AU76" s="11">
        <v>7643</v>
      </c>
      <c r="AV76" s="18">
        <v>0.83558490728391344</v>
      </c>
      <c r="AW76" s="20">
        <v>4.450802392118057E-2</v>
      </c>
      <c r="AX76" s="20">
        <v>4.7390612227337266E-2</v>
      </c>
      <c r="AY76" s="20">
        <v>5.4855225229101232E-2</v>
      </c>
      <c r="AZ76" s="20">
        <v>1.2928623671643075E-2</v>
      </c>
      <c r="BA76" s="20">
        <v>4.7326076668244201E-3</v>
      </c>
      <c r="BB76" s="20">
        <v>0.16441509271608656</v>
      </c>
      <c r="BC76" s="52">
        <v>117072</v>
      </c>
      <c r="BD76" s="51">
        <v>113395</v>
      </c>
      <c r="BE76" s="51">
        <v>3677</v>
      </c>
      <c r="BF76" s="51">
        <v>3091</v>
      </c>
      <c r="BG76" s="51">
        <v>586</v>
      </c>
      <c r="BH76" s="20">
        <v>0.84063094914332337</v>
      </c>
      <c r="BI76" s="20">
        <v>0.15936905085667663</v>
      </c>
      <c r="BJ76" s="38">
        <v>89522</v>
      </c>
      <c r="BK76" s="20">
        <v>0.62169075757914261</v>
      </c>
      <c r="BL76" s="20">
        <v>0.17295190009159758</v>
      </c>
      <c r="BM76" s="20">
        <v>0.20535734232925984</v>
      </c>
      <c r="BN76" s="38">
        <v>233754</v>
      </c>
      <c r="BO76" s="44">
        <v>14471</v>
      </c>
      <c r="BP76" s="44">
        <v>14675</v>
      </c>
      <c r="BQ76" s="44">
        <v>7032</v>
      </c>
      <c r="BR76" s="44">
        <v>163825</v>
      </c>
      <c r="BS76" s="44">
        <v>92663</v>
      </c>
      <c r="BT76" s="20">
        <v>0.14609930608765095</v>
      </c>
      <c r="BU76" s="38">
        <v>55058</v>
      </c>
      <c r="BV76" s="44">
        <v>53</v>
      </c>
      <c r="BW76" s="44">
        <v>12250</v>
      </c>
      <c r="BX76" s="44">
        <v>18695</v>
      </c>
      <c r="BY76" s="44">
        <v>7042</v>
      </c>
      <c r="BZ76" s="40">
        <v>93098</v>
      </c>
      <c r="CA76" s="44">
        <v>36414</v>
      </c>
      <c r="CB76" s="44">
        <v>30468</v>
      </c>
      <c r="CC76" s="44">
        <v>5856</v>
      </c>
      <c r="CD76" s="44">
        <v>5946</v>
      </c>
      <c r="CE76" s="20">
        <v>0.16081726808370406</v>
      </c>
      <c r="CF76" s="104">
        <v>0.1632888449497446</v>
      </c>
      <c r="CG76" s="44">
        <v>5395</v>
      </c>
      <c r="CH76" s="44">
        <v>4895</v>
      </c>
      <c r="CI76" s="44">
        <v>4255</v>
      </c>
      <c r="CJ76" s="44">
        <v>4135</v>
      </c>
      <c r="CK76" s="44">
        <v>3900</v>
      </c>
      <c r="CL76" s="38">
        <v>18637</v>
      </c>
      <c r="CM76" s="44">
        <v>6279</v>
      </c>
      <c r="CN76" s="20">
        <v>0.33691044696034772</v>
      </c>
      <c r="CO76" s="40">
        <v>1695</v>
      </c>
      <c r="CP76" s="44">
        <v>8927</v>
      </c>
      <c r="CQ76" s="44">
        <v>9024</v>
      </c>
      <c r="CR76" s="44">
        <v>9198</v>
      </c>
      <c r="CS76" s="44">
        <v>9207</v>
      </c>
      <c r="CT76" s="44">
        <v>8835</v>
      </c>
      <c r="CU76" s="40">
        <v>8719</v>
      </c>
      <c r="CV76" s="44">
        <v>456</v>
      </c>
      <c r="CW76" s="44">
        <v>399</v>
      </c>
      <c r="CX76" s="44">
        <v>367</v>
      </c>
      <c r="CY76" s="44">
        <v>345</v>
      </c>
      <c r="CZ76" s="44">
        <v>331</v>
      </c>
      <c r="DA76" s="136">
        <v>240</v>
      </c>
      <c r="DB76" s="15">
        <v>666</v>
      </c>
      <c r="DC76" s="15">
        <v>560</v>
      </c>
      <c r="DD76" s="20">
        <v>6.3384267119411433E-2</v>
      </c>
      <c r="DE76" s="20">
        <v>5.8490971257775859E-2</v>
      </c>
      <c r="DF76" s="20">
        <v>6.8657079089836148E-2</v>
      </c>
      <c r="DG76" s="15">
        <v>853</v>
      </c>
      <c r="DH76" s="20">
        <v>1.8369764186497255E-2</v>
      </c>
      <c r="DI76" s="470" t="s">
        <v>287</v>
      </c>
      <c r="DJ76" s="471" t="s">
        <v>287</v>
      </c>
      <c r="DK76" s="11">
        <v>12972</v>
      </c>
      <c r="DL76" s="20">
        <v>3.7533201780020488E-2</v>
      </c>
      <c r="DM76" s="15">
        <v>7150</v>
      </c>
      <c r="DN76" s="11">
        <v>7170</v>
      </c>
      <c r="DO76" s="11">
        <v>7270</v>
      </c>
      <c r="DP76" s="11">
        <v>6830</v>
      </c>
      <c r="DQ76" s="11">
        <v>6170</v>
      </c>
      <c r="DR76" s="15">
        <v>6110</v>
      </c>
      <c r="DS76" s="20">
        <v>0.14502729646332779</v>
      </c>
      <c r="DT76" s="20">
        <v>0.14169722698358567</v>
      </c>
      <c r="DU76" s="20">
        <v>0.14842209362874459</v>
      </c>
      <c r="DV76" s="11">
        <v>6940</v>
      </c>
      <c r="DW76" s="20">
        <v>0.16019473745218499</v>
      </c>
      <c r="DX76" s="20">
        <v>0.15676365982333609</v>
      </c>
      <c r="DY76" s="20">
        <v>0.16368633353164547</v>
      </c>
      <c r="DZ76" s="11">
        <v>6955</v>
      </c>
      <c r="EA76" s="20">
        <v>0.15725121702705763</v>
      </c>
      <c r="EB76" s="20">
        <v>0.15388592402837381</v>
      </c>
      <c r="EC76" s="20">
        <v>0.16067612921846403</v>
      </c>
      <c r="ED76" s="11">
        <v>7065</v>
      </c>
      <c r="EE76" s="20">
        <v>0.15680604982206406</v>
      </c>
      <c r="EF76" s="20">
        <v>0.15347429649501526</v>
      </c>
      <c r="EG76" s="20">
        <v>0.16019644428760754</v>
      </c>
      <c r="EH76" s="11">
        <v>6685</v>
      </c>
      <c r="EI76" s="20">
        <v>0.14665936473165389</v>
      </c>
      <c r="EJ76" s="20">
        <v>0.14344387874183293</v>
      </c>
      <c r="EK76" s="20">
        <v>0.14993431312186389</v>
      </c>
      <c r="EL76" s="438">
        <v>6530</v>
      </c>
      <c r="EM76" s="20">
        <v>0.15426411528466807</v>
      </c>
      <c r="EN76" s="20">
        <v>0.1508545873636733</v>
      </c>
      <c r="EO76" s="104">
        <v>0.15773638875948945</v>
      </c>
      <c r="EP76" s="38">
        <v>18490</v>
      </c>
      <c r="EQ76" s="20">
        <v>0.13359635152743593</v>
      </c>
      <c r="ER76" s="44">
        <v>19950</v>
      </c>
      <c r="ES76" s="20">
        <v>0.14253021526138884</v>
      </c>
      <c r="ET76" s="44">
        <v>19345</v>
      </c>
      <c r="EU76" s="20">
        <v>0.13716987168094408</v>
      </c>
      <c r="EV76" s="44">
        <v>19070</v>
      </c>
      <c r="EW76" s="20">
        <v>0.13467038593270012</v>
      </c>
      <c r="EX76" s="44">
        <v>17655</v>
      </c>
      <c r="EY76" s="20">
        <v>0.12370808954910135</v>
      </c>
      <c r="EZ76" s="44">
        <v>17240</v>
      </c>
      <c r="FA76" s="104">
        <v>0.1209060943965215</v>
      </c>
      <c r="FB76" s="11">
        <v>8655</v>
      </c>
      <c r="FC76" s="11">
        <v>345</v>
      </c>
      <c r="FD76" s="11">
        <v>8310</v>
      </c>
      <c r="FE76" s="20">
        <v>0.96013864818024264</v>
      </c>
      <c r="FF76" s="11">
        <v>3498</v>
      </c>
      <c r="FG76" s="11">
        <v>4605</v>
      </c>
      <c r="FH76" s="497">
        <v>0.42093862815884475</v>
      </c>
      <c r="FI76" s="497">
        <v>0.55415162454873645</v>
      </c>
      <c r="FJ76" s="20">
        <v>0.41036256656596182</v>
      </c>
      <c r="FK76" s="20">
        <v>0.43158775128549393</v>
      </c>
      <c r="FL76" s="497">
        <v>0.54344199999999998</v>
      </c>
      <c r="FM76" s="104">
        <v>0.56481099999999995</v>
      </c>
      <c r="FN76" s="438">
        <v>7801</v>
      </c>
      <c r="FO76" s="438">
        <v>3156</v>
      </c>
      <c r="FP76" s="438">
        <v>1238</v>
      </c>
      <c r="FQ76" s="438">
        <v>4394</v>
      </c>
      <c r="FR76" s="497">
        <v>0.40456351749775671</v>
      </c>
      <c r="FS76" s="497">
        <v>0.56326112036918341</v>
      </c>
      <c r="FT76" s="497">
        <v>0.39372166155286392</v>
      </c>
      <c r="FU76" s="497">
        <v>0.41549931905819043</v>
      </c>
      <c r="FV76" s="497">
        <v>0.55222641414261608</v>
      </c>
      <c r="FW76" s="104">
        <v>0.5742335537129174</v>
      </c>
      <c r="FX76" s="438">
        <v>8573</v>
      </c>
      <c r="FY76" s="438">
        <v>707</v>
      </c>
      <c r="FZ76" s="438">
        <v>7866</v>
      </c>
      <c r="GA76" s="497">
        <v>0.91753178583926276</v>
      </c>
      <c r="GB76" s="438">
        <v>3184</v>
      </c>
      <c r="GC76" s="438">
        <v>1248</v>
      </c>
      <c r="GD76" s="438">
        <v>4432</v>
      </c>
      <c r="GE76" s="497">
        <v>0.40478006610729722</v>
      </c>
      <c r="GF76" s="497">
        <v>0.56343757945588613</v>
      </c>
      <c r="GG76" s="497">
        <v>0.39398184929837549</v>
      </c>
      <c r="GH76" s="497">
        <v>0.41567124119418986</v>
      </c>
      <c r="GI76" s="497">
        <v>0.55244907788444697</v>
      </c>
      <c r="GJ76" s="104">
        <v>0.57436415021196141</v>
      </c>
      <c r="GK76" s="11">
        <v>6935</v>
      </c>
      <c r="GL76" s="356">
        <v>540.92999999999995</v>
      </c>
      <c r="GM76" s="20">
        <v>7.8E-2</v>
      </c>
      <c r="GN76" s="20">
        <v>7.1999999999999995E-2</v>
      </c>
      <c r="GO76" s="20">
        <v>8.4000000000000005E-2</v>
      </c>
      <c r="GP76" s="516" t="s">
        <v>726</v>
      </c>
      <c r="GQ76" s="11">
        <v>7601</v>
      </c>
      <c r="GR76" s="356">
        <v>608.08000000000004</v>
      </c>
      <c r="GS76" s="20">
        <v>0.08</v>
      </c>
      <c r="GT76" s="20">
        <v>7.3999999999999996E-2</v>
      </c>
      <c r="GU76" s="20">
        <v>8.6000000000000007E-2</v>
      </c>
      <c r="GV76" s="505" t="s">
        <v>726</v>
      </c>
      <c r="GW76" s="11">
        <v>6858</v>
      </c>
      <c r="GX76" s="356">
        <v>541.78200000000004</v>
      </c>
      <c r="GY76" s="20">
        <v>7.9000000000000001E-2</v>
      </c>
      <c r="GZ76" s="20">
        <v>7.2999999999999995E-2</v>
      </c>
      <c r="HA76" s="20">
        <v>8.5000000000000006E-2</v>
      </c>
      <c r="HB76" s="505" t="s">
        <v>726</v>
      </c>
      <c r="HC76" s="11">
        <v>7939</v>
      </c>
      <c r="HD76" s="356">
        <v>674.81500000000005</v>
      </c>
      <c r="HE76" s="20">
        <v>8.5000000000000006E-2</v>
      </c>
      <c r="HF76" s="20">
        <v>7.9000000000000001E-2</v>
      </c>
      <c r="HG76" s="20">
        <v>9.1000000000000011E-2</v>
      </c>
      <c r="HH76" s="505" t="s">
        <v>726</v>
      </c>
      <c r="HI76" s="11">
        <v>5584</v>
      </c>
      <c r="HJ76" s="356">
        <v>474.99737599999992</v>
      </c>
      <c r="HK76" s="20">
        <v>8.5063999999999987E-2</v>
      </c>
      <c r="HL76" s="20">
        <v>7.8029000000000001E-2</v>
      </c>
      <c r="HM76" s="20">
        <v>9.2669999999999988E-2</v>
      </c>
      <c r="HN76" s="505" t="s">
        <v>726</v>
      </c>
      <c r="HO76" s="128">
        <v>8184</v>
      </c>
      <c r="HP76" s="128">
        <v>593.99999999999977</v>
      </c>
      <c r="HQ76" s="344">
        <v>7.25806451612903E-2</v>
      </c>
      <c r="HR76" s="344">
        <v>6.7157915551190397E-2</v>
      </c>
      <c r="HS76" s="344">
        <v>7.8404436237721309E-2</v>
      </c>
      <c r="HT76" s="510" t="str">
        <f t="shared" si="2"/>
        <v>Sig better than Eng.</v>
      </c>
      <c r="HU76" s="11">
        <v>7034</v>
      </c>
      <c r="HV76" s="356">
        <v>1104.338</v>
      </c>
      <c r="HW76" s="20">
        <v>0.157</v>
      </c>
      <c r="HX76" s="20">
        <v>0.14799999999999999</v>
      </c>
      <c r="HY76" s="20">
        <v>0.16600000000000001</v>
      </c>
      <c r="HZ76" s="11" t="s">
        <v>726</v>
      </c>
      <c r="IA76" s="11">
        <v>7004</v>
      </c>
      <c r="IB76" s="356">
        <v>1113.636</v>
      </c>
      <c r="IC76" s="20">
        <v>0.159</v>
      </c>
      <c r="ID76" s="20">
        <v>0.15</v>
      </c>
      <c r="IE76" s="20">
        <v>0.16800000000000001</v>
      </c>
      <c r="IF76" s="11" t="s">
        <v>726</v>
      </c>
      <c r="IG76" s="11">
        <v>6928</v>
      </c>
      <c r="IH76" s="356">
        <v>1080.768</v>
      </c>
      <c r="II76" s="20">
        <v>0.156</v>
      </c>
      <c r="IJ76" s="20">
        <v>0.14699999999999999</v>
      </c>
      <c r="IK76" s="20">
        <v>0.16500000000000001</v>
      </c>
      <c r="IL76" s="11" t="s">
        <v>726</v>
      </c>
      <c r="IM76" s="11">
        <v>6804</v>
      </c>
      <c r="IN76" s="356">
        <v>1000.188</v>
      </c>
      <c r="IO76" s="20">
        <v>0.14699999999999999</v>
      </c>
      <c r="IP76" s="20">
        <v>0.13899999999999998</v>
      </c>
      <c r="IQ76" s="20">
        <v>0.155</v>
      </c>
      <c r="IR76" s="11" t="s">
        <v>726</v>
      </c>
      <c r="IS76" s="11">
        <v>7269</v>
      </c>
      <c r="IT76" s="356">
        <v>1162.996386</v>
      </c>
      <c r="IU76" s="20">
        <v>0.159994</v>
      </c>
      <c r="IV76" s="20">
        <v>0.15174699999999999</v>
      </c>
      <c r="IW76" s="20">
        <v>0.168601</v>
      </c>
      <c r="IX76" s="11" t="s">
        <v>726</v>
      </c>
      <c r="IY76" s="11">
        <v>7429</v>
      </c>
      <c r="IZ76" s="11">
        <v>2183.9999999999977</v>
      </c>
      <c r="JA76" s="497">
        <v>0.29398303944003201</v>
      </c>
      <c r="JB76" s="497">
        <v>0.28373183791762796</v>
      </c>
      <c r="JC76" s="497">
        <v>0.304447189314622</v>
      </c>
      <c r="JD76" s="8" t="str">
        <f t="shared" si="3"/>
        <v>Sig better than Eng.</v>
      </c>
      <c r="JE76" s="128" t="s">
        <v>287</v>
      </c>
      <c r="JF76" s="128" t="s">
        <v>287</v>
      </c>
      <c r="JG76" s="20">
        <v>0.52</v>
      </c>
      <c r="JH76" s="128" t="s">
        <v>287</v>
      </c>
      <c r="JI76" s="128" t="s">
        <v>287</v>
      </c>
      <c r="JJ76" s="128" t="s">
        <v>287</v>
      </c>
      <c r="JK76" s="11">
        <v>34</v>
      </c>
      <c r="JL76" s="128" t="s">
        <v>287</v>
      </c>
      <c r="JM76" s="384">
        <v>23.7</v>
      </c>
      <c r="JN76" s="20">
        <v>0.30399999999999999</v>
      </c>
      <c r="JO76" s="128" t="s">
        <v>287</v>
      </c>
      <c r="JP76" s="128" t="s">
        <v>287</v>
      </c>
      <c r="JQ76" s="20">
        <v>0.59</v>
      </c>
      <c r="JR76" s="128" t="s">
        <v>287</v>
      </c>
      <c r="JS76" s="128" t="s">
        <v>287</v>
      </c>
      <c r="JT76" s="128" t="s">
        <v>287</v>
      </c>
      <c r="JU76" s="11">
        <v>34</v>
      </c>
      <c r="JV76" s="128" t="s">
        <v>287</v>
      </c>
      <c r="JW76" s="384">
        <v>24.5</v>
      </c>
      <c r="JX76" s="20">
        <v>0.27900000000000003</v>
      </c>
      <c r="JY76" s="486">
        <v>9660</v>
      </c>
      <c r="JZ76" s="128" t="s">
        <v>287</v>
      </c>
      <c r="KA76" s="487">
        <v>0.63500000000000001</v>
      </c>
      <c r="KB76" s="128" t="s">
        <v>287</v>
      </c>
      <c r="KC76" s="128" t="s">
        <v>287</v>
      </c>
      <c r="KD76" s="438">
        <v>34</v>
      </c>
      <c r="KE76" s="128" t="s">
        <v>287</v>
      </c>
      <c r="KF76" s="384">
        <v>24.5</v>
      </c>
      <c r="KG76" s="104">
        <v>0.27900000000000003</v>
      </c>
      <c r="KH76" s="20"/>
      <c r="KI76" s="20"/>
      <c r="KJ76" s="20"/>
      <c r="KK76" s="20"/>
      <c r="KL76" s="20"/>
      <c r="KM76" s="20"/>
      <c r="KN76" s="20"/>
      <c r="KO76" s="20"/>
      <c r="KP76" s="20"/>
      <c r="KQ76" s="20"/>
      <c r="KR76" s="20"/>
      <c r="KS76" s="20"/>
      <c r="KT76" s="20"/>
      <c r="KU76" s="20"/>
      <c r="KV76" s="20"/>
      <c r="KW76" s="104"/>
      <c r="KX76" s="438">
        <v>477</v>
      </c>
      <c r="KY76" s="438">
        <v>4343</v>
      </c>
      <c r="KZ76" s="497">
        <v>0.10983191342390053</v>
      </c>
      <c r="LA76" s="497">
        <v>0.10087506725523812</v>
      </c>
      <c r="LB76" s="497">
        <v>0.11947837049828836</v>
      </c>
      <c r="LC76" s="438">
        <v>366</v>
      </c>
      <c r="LD76" s="438">
        <v>4343</v>
      </c>
      <c r="LE76" s="497">
        <v>8.4273543633433104E-2</v>
      </c>
      <c r="LF76" s="497">
        <v>7.6374485919414287E-2</v>
      </c>
      <c r="LG76" s="497">
        <v>9.2907385938946346E-2</v>
      </c>
      <c r="LH76" s="438">
        <v>426</v>
      </c>
      <c r="LI76" s="438">
        <v>4318</v>
      </c>
      <c r="LJ76" s="497">
        <v>9.8656785548865214E-2</v>
      </c>
      <c r="LK76" s="497">
        <v>9.0115944888874061E-2</v>
      </c>
      <c r="LL76" s="497">
        <v>0.10791109219134049</v>
      </c>
      <c r="LM76" s="438">
        <v>811</v>
      </c>
      <c r="LN76" s="438">
        <v>4245</v>
      </c>
      <c r="LO76" s="497">
        <v>0.19104829210836277</v>
      </c>
      <c r="LP76" s="497">
        <v>0.1795035530603909</v>
      </c>
      <c r="LQ76" s="104">
        <v>0.20315168945175535</v>
      </c>
      <c r="LR76" s="128" t="s">
        <v>287</v>
      </c>
      <c r="LS76" s="128" t="s">
        <v>287</v>
      </c>
      <c r="LT76" s="128" t="s">
        <v>287</v>
      </c>
      <c r="LU76" s="128" t="s">
        <v>287</v>
      </c>
      <c r="LV76" s="128" t="s">
        <v>287</v>
      </c>
      <c r="LW76" s="128" t="s">
        <v>287</v>
      </c>
      <c r="LX76" s="128" t="s">
        <v>287</v>
      </c>
      <c r="LY76" s="128" t="s">
        <v>287</v>
      </c>
      <c r="LZ76" s="128" t="s">
        <v>287</v>
      </c>
      <c r="MA76" s="128" t="s">
        <v>287</v>
      </c>
      <c r="MB76" s="128" t="s">
        <v>287</v>
      </c>
      <c r="MC76" s="128" t="s">
        <v>287</v>
      </c>
      <c r="MD76" s="128" t="s">
        <v>287</v>
      </c>
      <c r="ME76" s="128" t="s">
        <v>287</v>
      </c>
      <c r="MF76" s="128" t="s">
        <v>287</v>
      </c>
      <c r="MG76" s="128" t="s">
        <v>287</v>
      </c>
      <c r="MH76" s="128" t="s">
        <v>287</v>
      </c>
      <c r="MI76" s="128" t="s">
        <v>287</v>
      </c>
      <c r="MJ76" s="128" t="s">
        <v>287</v>
      </c>
      <c r="MK76" s="128" t="s">
        <v>287</v>
      </c>
      <c r="ML76" s="128" t="s">
        <v>287</v>
      </c>
      <c r="MM76" s="128" t="s">
        <v>287</v>
      </c>
      <c r="MN76" s="136" t="s">
        <v>287</v>
      </c>
      <c r="MO76" s="11">
        <v>8826</v>
      </c>
      <c r="MP76" s="493">
        <v>0.95099999999999996</v>
      </c>
      <c r="MQ76" s="493">
        <v>8.0000000000000002E-3</v>
      </c>
      <c r="MR76" s="493">
        <v>0.95</v>
      </c>
      <c r="MS76" s="11">
        <v>8393</v>
      </c>
      <c r="MT76" s="11">
        <v>74</v>
      </c>
      <c r="MU76" s="11">
        <v>8384</v>
      </c>
      <c r="MV76" s="11">
        <v>9062</v>
      </c>
      <c r="MW76" s="493">
        <v>0.96899999999999997</v>
      </c>
      <c r="MX76" s="493">
        <v>0.93400000000000005</v>
      </c>
      <c r="MY76" s="493">
        <v>0.95699999999999996</v>
      </c>
      <c r="MZ76" s="493">
        <v>0.93799999999999994</v>
      </c>
      <c r="NA76" s="493">
        <v>0.93500000000000005</v>
      </c>
      <c r="NB76" s="11">
        <v>8778</v>
      </c>
      <c r="NC76" s="11">
        <v>8461</v>
      </c>
      <c r="ND76" s="11">
        <v>8673</v>
      </c>
      <c r="NE76" s="11">
        <v>8497</v>
      </c>
      <c r="NF76" s="11">
        <v>8476</v>
      </c>
      <c r="NG76" s="11">
        <v>9784</v>
      </c>
      <c r="NH76" s="493">
        <v>0.96199999999999997</v>
      </c>
      <c r="NI76" s="493">
        <v>0.91900000000000004</v>
      </c>
      <c r="NJ76" s="493">
        <v>0.96199999999999997</v>
      </c>
      <c r="NK76" s="493">
        <v>0.95899999999999996</v>
      </c>
      <c r="NL76" s="493">
        <v>0.95399999999999996</v>
      </c>
      <c r="NM76" s="493">
        <v>0.877</v>
      </c>
      <c r="NN76" s="493">
        <v>0.94199999999999995</v>
      </c>
      <c r="NO76" s="493">
        <v>0.91900000000000004</v>
      </c>
      <c r="NP76" s="493">
        <v>0.95799999999999996</v>
      </c>
      <c r="NQ76" s="493">
        <v>0.91700000000000004</v>
      </c>
      <c r="NR76" s="11">
        <v>9409</v>
      </c>
      <c r="NS76" s="11">
        <v>8991</v>
      </c>
      <c r="NT76" s="11">
        <v>9408</v>
      </c>
      <c r="NU76" s="11">
        <v>9386</v>
      </c>
      <c r="NV76" s="11">
        <v>9336</v>
      </c>
      <c r="NW76" s="11">
        <v>8577</v>
      </c>
      <c r="NX76" s="11">
        <v>9218</v>
      </c>
      <c r="NY76" s="11">
        <v>8991</v>
      </c>
      <c r="NZ76" s="11">
        <v>9370</v>
      </c>
      <c r="OA76" s="8">
        <v>8970</v>
      </c>
    </row>
    <row r="77" spans="1:391" s="11" customFormat="1" ht="12.75" x14ac:dyDescent="0.2">
      <c r="A77" s="11" t="s">
        <v>112</v>
      </c>
      <c r="B77" s="8">
        <v>2</v>
      </c>
      <c r="C77" s="11" t="s">
        <v>287</v>
      </c>
      <c r="D77" s="11" t="s">
        <v>287</v>
      </c>
      <c r="E77" s="11" t="s">
        <v>287</v>
      </c>
      <c r="F77" s="11" t="s">
        <v>287</v>
      </c>
      <c r="G77" s="11" t="s">
        <v>287</v>
      </c>
      <c r="H77" s="11" t="s">
        <v>287</v>
      </c>
      <c r="I77" s="11" t="s">
        <v>287</v>
      </c>
      <c r="J77" s="11" t="s">
        <v>287</v>
      </c>
      <c r="K77" s="11" t="s">
        <v>287</v>
      </c>
      <c r="L77" s="11" t="s">
        <v>287</v>
      </c>
      <c r="M77" s="11" t="s">
        <v>287</v>
      </c>
      <c r="N77" s="11" t="s">
        <v>287</v>
      </c>
      <c r="O77" s="128" t="s">
        <v>287</v>
      </c>
      <c r="P77" s="128" t="s">
        <v>287</v>
      </c>
      <c r="Q77" s="128" t="s">
        <v>287</v>
      </c>
      <c r="R77" s="128" t="s">
        <v>287</v>
      </c>
      <c r="S77" s="128" t="s">
        <v>287</v>
      </c>
      <c r="T77" s="38">
        <v>8202900</v>
      </c>
      <c r="U77" s="44">
        <v>8270900</v>
      </c>
      <c r="V77" s="44">
        <v>8351400</v>
      </c>
      <c r="W77" s="44">
        <v>8426400</v>
      </c>
      <c r="X77" s="44">
        <v>8490900</v>
      </c>
      <c r="Y77" s="44">
        <v>8577800</v>
      </c>
      <c r="Z77" s="44">
        <v>8652800</v>
      </c>
      <c r="AA77" s="44">
        <v>8724700</v>
      </c>
      <c r="AB77" s="44">
        <v>8792800</v>
      </c>
      <c r="AC77" s="44">
        <v>8873800</v>
      </c>
      <c r="AD77" s="38">
        <v>463200</v>
      </c>
      <c r="AE77" s="44">
        <v>471000</v>
      </c>
      <c r="AF77" s="44">
        <v>485900</v>
      </c>
      <c r="AG77" s="44">
        <v>500100</v>
      </c>
      <c r="AH77" s="44">
        <v>510600</v>
      </c>
      <c r="AI77" s="44">
        <v>525200</v>
      </c>
      <c r="AJ77" s="44">
        <v>536000</v>
      </c>
      <c r="AK77" s="44">
        <v>545700</v>
      </c>
      <c r="AL77" s="44">
        <v>547500</v>
      </c>
      <c r="AM77" s="44">
        <v>548300</v>
      </c>
      <c r="AN77" s="15">
        <v>534235</v>
      </c>
      <c r="AO77" s="11">
        <v>420966</v>
      </c>
      <c r="AP77" s="11">
        <v>26435</v>
      </c>
      <c r="AQ77" s="11">
        <v>31296</v>
      </c>
      <c r="AR77" s="11">
        <v>38794</v>
      </c>
      <c r="AS77" s="11">
        <v>12779</v>
      </c>
      <c r="AT77" s="11">
        <v>3965</v>
      </c>
      <c r="AU77" s="11">
        <v>113269</v>
      </c>
      <c r="AV77" s="18">
        <v>0.78797907287991242</v>
      </c>
      <c r="AW77" s="20">
        <v>4.9481969545237585E-2</v>
      </c>
      <c r="AX77" s="20">
        <v>5.8580961561859497E-2</v>
      </c>
      <c r="AY77" s="20">
        <v>7.2615983602721645E-2</v>
      </c>
      <c r="AZ77" s="20">
        <v>2.392018493734031E-2</v>
      </c>
      <c r="BA77" s="20">
        <v>7.4218274729285797E-3</v>
      </c>
      <c r="BB77" s="20">
        <v>0.2120209271200876</v>
      </c>
      <c r="BC77" s="52">
        <v>1321193</v>
      </c>
      <c r="BD77" s="51">
        <v>1269063</v>
      </c>
      <c r="BE77" s="51">
        <v>52130</v>
      </c>
      <c r="BF77" s="51">
        <v>43594</v>
      </c>
      <c r="BG77" s="51">
        <v>8536</v>
      </c>
      <c r="BH77" s="20">
        <v>0.83625551505850759</v>
      </c>
      <c r="BI77" s="20">
        <v>0.16374448494149244</v>
      </c>
      <c r="BJ77" s="38">
        <v>1020973</v>
      </c>
      <c r="BK77" s="20">
        <v>0.60131071046932683</v>
      </c>
      <c r="BL77" s="20">
        <v>0.17231993402372051</v>
      </c>
      <c r="BM77" s="20">
        <v>0.22636935550695267</v>
      </c>
      <c r="BN77" s="38">
        <v>2458022</v>
      </c>
      <c r="BO77" s="44">
        <v>167421</v>
      </c>
      <c r="BP77" s="44">
        <v>162401</v>
      </c>
      <c r="BQ77" s="44">
        <v>85422</v>
      </c>
      <c r="BR77" s="44">
        <v>1860927</v>
      </c>
      <c r="BS77" s="44">
        <v>1041021</v>
      </c>
      <c r="BT77" s="20">
        <v>0.15760681100573379</v>
      </c>
      <c r="BU77" s="38">
        <v>607685</v>
      </c>
      <c r="BV77" s="44">
        <v>566</v>
      </c>
      <c r="BW77" s="44">
        <v>138651</v>
      </c>
      <c r="BX77" s="44">
        <v>216366</v>
      </c>
      <c r="BY77" s="44">
        <v>81369</v>
      </c>
      <c r="BZ77" s="40">
        <v>1044637</v>
      </c>
      <c r="CA77" s="44">
        <v>417901</v>
      </c>
      <c r="CB77" s="44">
        <v>345105</v>
      </c>
      <c r="CC77" s="44">
        <v>71738</v>
      </c>
      <c r="CD77" s="44">
        <v>72796</v>
      </c>
      <c r="CE77" s="20">
        <v>0.17166266651671089</v>
      </c>
      <c r="CF77" s="104">
        <v>0.17419436660835941</v>
      </c>
      <c r="CG77" s="133">
        <v>66340</v>
      </c>
      <c r="CH77" s="133">
        <v>63190</v>
      </c>
      <c r="CI77" s="133">
        <v>54770</v>
      </c>
      <c r="CJ77" s="133">
        <v>52480</v>
      </c>
      <c r="CK77" s="133">
        <v>49270</v>
      </c>
      <c r="CL77" s="38">
        <v>215348</v>
      </c>
      <c r="CM77" s="44">
        <v>78504</v>
      </c>
      <c r="CN77" s="20">
        <v>0.364544829763917</v>
      </c>
      <c r="CO77" s="40">
        <v>22090</v>
      </c>
      <c r="CP77" s="44">
        <v>103669</v>
      </c>
      <c r="CQ77" s="44">
        <v>106434</v>
      </c>
      <c r="CR77" s="44">
        <v>107132</v>
      </c>
      <c r="CS77" s="44">
        <v>107858</v>
      </c>
      <c r="CT77" s="44">
        <v>102190</v>
      </c>
      <c r="CU77" s="40">
        <v>102406</v>
      </c>
      <c r="CV77" s="44">
        <v>5317</v>
      </c>
      <c r="CW77" s="44">
        <v>4994</v>
      </c>
      <c r="CX77" s="44">
        <v>4521</v>
      </c>
      <c r="CY77" s="44">
        <v>4191</v>
      </c>
      <c r="CZ77" s="44">
        <v>3686</v>
      </c>
      <c r="DA77" s="436">
        <v>3244</v>
      </c>
      <c r="DB77" s="379" t="s">
        <v>287</v>
      </c>
      <c r="DC77" s="379" t="s">
        <v>287</v>
      </c>
      <c r="DD77" s="128" t="s">
        <v>287</v>
      </c>
      <c r="DE77" s="128" t="s">
        <v>287</v>
      </c>
      <c r="DF77" s="128" t="s">
        <v>287</v>
      </c>
      <c r="DG77" s="15">
        <v>10296</v>
      </c>
      <c r="DH77" s="20">
        <v>1.9291520050364809E-2</v>
      </c>
      <c r="DI77" s="470" t="s">
        <v>287</v>
      </c>
      <c r="DJ77" s="471" t="s">
        <v>287</v>
      </c>
      <c r="DK77" s="11">
        <v>143982</v>
      </c>
      <c r="DL77" s="20">
        <v>4.0495991661282933E-2</v>
      </c>
      <c r="DM77" s="15">
        <v>87780</v>
      </c>
      <c r="DN77" s="11">
        <v>87380</v>
      </c>
      <c r="DO77" s="11">
        <v>88800</v>
      </c>
      <c r="DP77" s="11">
        <v>84810</v>
      </c>
      <c r="DQ77" s="11">
        <v>77170</v>
      </c>
      <c r="DR77" s="15">
        <v>80315</v>
      </c>
      <c r="DS77" s="20">
        <v>0.16714880332986473</v>
      </c>
      <c r="DT77" s="20">
        <v>0.16609650340974497</v>
      </c>
      <c r="DU77" s="20">
        <v>0.16820642530593949</v>
      </c>
      <c r="DV77" s="11">
        <v>88955</v>
      </c>
      <c r="DW77" s="20">
        <v>0.18006356017974981</v>
      </c>
      <c r="DX77" s="20">
        <v>0.17899458214908345</v>
      </c>
      <c r="DY77" s="20">
        <v>0.18113751377052345</v>
      </c>
      <c r="DZ77" s="11">
        <v>87905</v>
      </c>
      <c r="EA77" s="20">
        <v>0.17398834205864597</v>
      </c>
      <c r="EB77" s="20">
        <v>0.17294548913366911</v>
      </c>
      <c r="EC77" s="20">
        <v>0.17503615248196333</v>
      </c>
      <c r="ED77" s="11">
        <v>88660</v>
      </c>
      <c r="EE77" s="20">
        <v>0.17238127643027268</v>
      </c>
      <c r="EF77" s="20">
        <v>0.17135146343848351</v>
      </c>
      <c r="EG77" s="20">
        <v>0.17341598330991739</v>
      </c>
      <c r="EH77" s="11">
        <v>85520</v>
      </c>
      <c r="EI77" s="20">
        <v>0.16435249690109446</v>
      </c>
      <c r="EJ77" s="20">
        <v>0.16334803891218105</v>
      </c>
      <c r="EK77" s="20">
        <v>0.16536191070410292</v>
      </c>
      <c r="EL77" s="438">
        <v>83245</v>
      </c>
      <c r="EM77" s="20">
        <v>0.17539109823544904</v>
      </c>
      <c r="EN77" s="20">
        <v>0.17431179317805806</v>
      </c>
      <c r="EO77" s="104">
        <v>0.17647565780592492</v>
      </c>
      <c r="EP77" s="38">
        <v>233325</v>
      </c>
      <c r="EQ77" s="20">
        <v>0.15182670314975744</v>
      </c>
      <c r="ER77" s="44">
        <v>249690</v>
      </c>
      <c r="ES77" s="20">
        <v>0.15990240247451995</v>
      </c>
      <c r="ET77" s="44">
        <v>243950</v>
      </c>
      <c r="EU77" s="20">
        <v>0.1553312130097452</v>
      </c>
      <c r="EV77" s="44">
        <v>239725</v>
      </c>
      <c r="EW77" s="20">
        <v>0.1514811631933474</v>
      </c>
      <c r="EX77" s="44">
        <v>226550</v>
      </c>
      <c r="EY77" s="20">
        <v>0.14191838831326659</v>
      </c>
      <c r="EZ77" s="44">
        <v>219485</v>
      </c>
      <c r="FA77" s="104">
        <v>0.13700000000000001</v>
      </c>
      <c r="FB77" s="128" t="s">
        <v>287</v>
      </c>
      <c r="FC77" s="128" t="s">
        <v>287</v>
      </c>
      <c r="FD77" s="128" t="s">
        <v>287</v>
      </c>
      <c r="FE77" s="344" t="s">
        <v>287</v>
      </c>
      <c r="FF77" s="128" t="s">
        <v>287</v>
      </c>
      <c r="FG77" s="128" t="s">
        <v>287</v>
      </c>
      <c r="FH77" s="344" t="s">
        <v>287</v>
      </c>
      <c r="FI77" s="344" t="s">
        <v>287</v>
      </c>
      <c r="FJ77" s="344" t="s">
        <v>287</v>
      </c>
      <c r="FK77" s="344" t="s">
        <v>287</v>
      </c>
      <c r="FL77" s="344" t="s">
        <v>287</v>
      </c>
      <c r="FM77" s="345" t="s">
        <v>287</v>
      </c>
      <c r="FN77" s="528" t="s">
        <v>287</v>
      </c>
      <c r="FO77" s="344" t="s">
        <v>287</v>
      </c>
      <c r="FP77" s="344" t="s">
        <v>287</v>
      </c>
      <c r="FQ77" s="344" t="s">
        <v>287</v>
      </c>
      <c r="FR77" s="344" t="s">
        <v>287</v>
      </c>
      <c r="FS77" s="344" t="s">
        <v>287</v>
      </c>
      <c r="FT77" s="344" t="s">
        <v>287</v>
      </c>
      <c r="FU77" s="344" t="s">
        <v>287</v>
      </c>
      <c r="FV77" s="344" t="s">
        <v>287</v>
      </c>
      <c r="FW77" s="345" t="s">
        <v>287</v>
      </c>
      <c r="FX77" s="534" t="s">
        <v>287</v>
      </c>
      <c r="FY77" s="528" t="s">
        <v>287</v>
      </c>
      <c r="FZ77" s="528" t="s">
        <v>287</v>
      </c>
      <c r="GA77" s="344" t="s">
        <v>287</v>
      </c>
      <c r="GB77" s="528" t="s">
        <v>287</v>
      </c>
      <c r="GC77" s="528" t="s">
        <v>287</v>
      </c>
      <c r="GD77" s="528" t="s">
        <v>287</v>
      </c>
      <c r="GE77" s="344" t="s">
        <v>287</v>
      </c>
      <c r="GF77" s="344" t="s">
        <v>287</v>
      </c>
      <c r="GG77" s="344" t="s">
        <v>287</v>
      </c>
      <c r="GH77" s="344" t="s">
        <v>287</v>
      </c>
      <c r="GI77" s="344" t="s">
        <v>287</v>
      </c>
      <c r="GJ77" s="345" t="s">
        <v>287</v>
      </c>
      <c r="GK77" s="11">
        <v>82264</v>
      </c>
      <c r="GL77" s="356">
        <v>7156.9679999999998</v>
      </c>
      <c r="GM77" s="20">
        <v>8.6999999999999994E-2</v>
      </c>
      <c r="GN77" s="20">
        <v>8.4999999999999992E-2</v>
      </c>
      <c r="GO77" s="20">
        <v>8.8999999999999996E-2</v>
      </c>
      <c r="GP77" s="516" t="s">
        <v>726</v>
      </c>
      <c r="GQ77" s="11">
        <v>83380</v>
      </c>
      <c r="GR77" s="356">
        <v>6837.16</v>
      </c>
      <c r="GS77" s="20">
        <v>8.2000000000000003E-2</v>
      </c>
      <c r="GT77" s="20">
        <v>0.08</v>
      </c>
      <c r="GU77" s="20">
        <v>8.4000000000000005E-2</v>
      </c>
      <c r="GV77" s="505" t="s">
        <v>726</v>
      </c>
      <c r="GW77" s="11">
        <v>87844</v>
      </c>
      <c r="GX77" s="356">
        <v>7291.0520000000006</v>
      </c>
      <c r="GY77" s="20">
        <v>8.3000000000000004E-2</v>
      </c>
      <c r="GZ77" s="20">
        <v>8.1000000000000003E-2</v>
      </c>
      <c r="HA77" s="20">
        <v>8.5000000000000006E-2</v>
      </c>
      <c r="HB77" s="505" t="s">
        <v>726</v>
      </c>
      <c r="HC77" s="11">
        <v>89710</v>
      </c>
      <c r="HD77" s="356">
        <v>7087.09</v>
      </c>
      <c r="HE77" s="20">
        <v>7.9000000000000001E-2</v>
      </c>
      <c r="HF77" s="20">
        <v>7.6999999999999999E-2</v>
      </c>
      <c r="HG77" s="20">
        <v>8.1000000000000003E-2</v>
      </c>
      <c r="HH77" s="505" t="s">
        <v>726</v>
      </c>
      <c r="HI77" s="11">
        <v>86205</v>
      </c>
      <c r="HJ77" s="356">
        <v>6863.9869200000003</v>
      </c>
      <c r="HK77" s="20">
        <v>7.9624E-2</v>
      </c>
      <c r="HL77" s="20">
        <v>7.7836000000000002E-2</v>
      </c>
      <c r="HM77" s="20">
        <v>8.1449999999999995E-2</v>
      </c>
      <c r="HN77" s="505" t="s">
        <v>726</v>
      </c>
      <c r="HO77" s="128">
        <v>96798</v>
      </c>
      <c r="HP77" s="128">
        <v>7633.0000000000018</v>
      </c>
      <c r="HQ77" s="344">
        <v>7.8854935019318603E-2</v>
      </c>
      <c r="HR77" s="344">
        <v>7.7173772386484096E-2</v>
      </c>
      <c r="HS77" s="344">
        <v>8.0569522872175392E-2</v>
      </c>
      <c r="HT77" s="510" t="str">
        <f t="shared" si="2"/>
        <v>Sig better than Eng.</v>
      </c>
      <c r="HU77" s="11">
        <v>78560</v>
      </c>
      <c r="HV77" s="356">
        <v>13040.960000000001</v>
      </c>
      <c r="HW77" s="20">
        <v>0.16600000000000001</v>
      </c>
      <c r="HX77" s="20">
        <v>0.16300000000000001</v>
      </c>
      <c r="HY77" s="20">
        <v>0.16900000000000001</v>
      </c>
      <c r="HZ77" s="11" t="s">
        <v>726</v>
      </c>
      <c r="IA77" s="11">
        <v>76553</v>
      </c>
      <c r="IB77" s="356">
        <v>12707.798000000001</v>
      </c>
      <c r="IC77" s="20">
        <v>0.16600000000000001</v>
      </c>
      <c r="ID77" s="20">
        <v>0.16300000000000001</v>
      </c>
      <c r="IE77" s="20">
        <v>0.16900000000000001</v>
      </c>
      <c r="IF77" s="11" t="s">
        <v>726</v>
      </c>
      <c r="IG77" s="11">
        <v>76433</v>
      </c>
      <c r="IH77" s="356">
        <v>12611.445</v>
      </c>
      <c r="II77" s="20">
        <v>0.16500000000000001</v>
      </c>
      <c r="IJ77" s="20">
        <v>0.16200000000000001</v>
      </c>
      <c r="IK77" s="20">
        <v>0.16800000000000001</v>
      </c>
      <c r="IL77" s="11" t="s">
        <v>726</v>
      </c>
      <c r="IM77" s="11">
        <v>76191</v>
      </c>
      <c r="IN77" s="356">
        <v>12190.56</v>
      </c>
      <c r="IO77" s="20">
        <v>0.16</v>
      </c>
      <c r="IP77" s="20">
        <v>0.157</v>
      </c>
      <c r="IQ77" s="20">
        <v>0.16300000000000001</v>
      </c>
      <c r="IR77" s="11" t="s">
        <v>726</v>
      </c>
      <c r="IS77" s="11">
        <v>79890</v>
      </c>
      <c r="IT77" s="356">
        <v>13118.976570000001</v>
      </c>
      <c r="IU77" s="20">
        <v>0.164213</v>
      </c>
      <c r="IV77" s="20">
        <v>0.161661</v>
      </c>
      <c r="IW77" s="20">
        <v>0.166798</v>
      </c>
      <c r="IX77" s="11" t="s">
        <v>726</v>
      </c>
      <c r="IY77" s="11">
        <v>83234</v>
      </c>
      <c r="IZ77" s="11">
        <v>25020.999999999971</v>
      </c>
      <c r="JA77" s="497">
        <v>0.30061032751039202</v>
      </c>
      <c r="JB77" s="497">
        <v>0.29750457901078398</v>
      </c>
      <c r="JC77" s="497">
        <v>0.303734479832174</v>
      </c>
      <c r="JD77" s="8" t="str">
        <f t="shared" si="3"/>
        <v>Sig better than Eng.</v>
      </c>
      <c r="JE77" s="128" t="s">
        <v>287</v>
      </c>
      <c r="JF77" s="128" t="s">
        <v>287</v>
      </c>
      <c r="JG77" s="20">
        <v>0.54</v>
      </c>
      <c r="JH77" s="128" t="s">
        <v>287</v>
      </c>
      <c r="JI77" s="128" t="s">
        <v>287</v>
      </c>
      <c r="JJ77" s="128" t="s">
        <v>287</v>
      </c>
      <c r="JK77" s="11">
        <v>34</v>
      </c>
      <c r="JL77" s="128" t="s">
        <v>287</v>
      </c>
      <c r="JM77" s="384">
        <v>23.4</v>
      </c>
      <c r="JN77" s="20">
        <v>0.311</v>
      </c>
      <c r="JO77" s="128" t="s">
        <v>287</v>
      </c>
      <c r="JP77" s="128" t="s">
        <v>287</v>
      </c>
      <c r="JQ77" s="20">
        <v>0.64</v>
      </c>
      <c r="JR77" s="128" t="s">
        <v>287</v>
      </c>
      <c r="JS77" s="128" t="s">
        <v>287</v>
      </c>
      <c r="JT77" s="128" t="s">
        <v>287</v>
      </c>
      <c r="JU77" s="11">
        <v>34</v>
      </c>
      <c r="JV77" s="128" t="s">
        <v>287</v>
      </c>
      <c r="JW77" s="384">
        <v>24.7</v>
      </c>
      <c r="JX77" s="20">
        <v>0.27500000000000002</v>
      </c>
      <c r="JY77" s="44">
        <v>105096</v>
      </c>
      <c r="JZ77" s="128" t="s">
        <v>287</v>
      </c>
      <c r="KA77" s="20">
        <v>0.70099999999999996</v>
      </c>
      <c r="KB77" s="128" t="s">
        <v>287</v>
      </c>
      <c r="KC77" s="128" t="s">
        <v>287</v>
      </c>
      <c r="KD77" s="438">
        <v>34</v>
      </c>
      <c r="KE77" s="128" t="s">
        <v>287</v>
      </c>
      <c r="KF77" s="384">
        <v>25.3</v>
      </c>
      <c r="KG77" s="104">
        <v>0.25700000000000001</v>
      </c>
      <c r="KH77" s="20"/>
      <c r="KI77" s="20"/>
      <c r="KJ77" s="20"/>
      <c r="KK77" s="20"/>
      <c r="KL77" s="20"/>
      <c r="KM77" s="20"/>
      <c r="KN77" s="20"/>
      <c r="KO77" s="20"/>
      <c r="KP77" s="20"/>
      <c r="KQ77" s="20"/>
      <c r="KR77" s="20"/>
      <c r="KS77" s="20"/>
      <c r="KT77" s="20"/>
      <c r="KU77" s="20"/>
      <c r="KV77" s="20"/>
      <c r="KW77" s="104"/>
      <c r="KX77" s="534" t="s">
        <v>287</v>
      </c>
      <c r="KY77" s="534" t="s">
        <v>287</v>
      </c>
      <c r="KZ77" s="344" t="s">
        <v>287</v>
      </c>
      <c r="LA77" s="344" t="s">
        <v>287</v>
      </c>
      <c r="LB77" s="344" t="s">
        <v>287</v>
      </c>
      <c r="LC77" s="534" t="s">
        <v>287</v>
      </c>
      <c r="LD77" s="534" t="s">
        <v>287</v>
      </c>
      <c r="LE77" s="344" t="s">
        <v>287</v>
      </c>
      <c r="LF77" s="344" t="s">
        <v>287</v>
      </c>
      <c r="LG77" s="344" t="s">
        <v>287</v>
      </c>
      <c r="LH77" s="534" t="s">
        <v>287</v>
      </c>
      <c r="LI77" s="534" t="s">
        <v>287</v>
      </c>
      <c r="LJ77" s="344" t="s">
        <v>287</v>
      </c>
      <c r="LK77" s="344" t="s">
        <v>287</v>
      </c>
      <c r="LL77" s="344" t="s">
        <v>287</v>
      </c>
      <c r="LM77" s="534" t="s">
        <v>287</v>
      </c>
      <c r="LN77" s="534" t="s">
        <v>287</v>
      </c>
      <c r="LO77" s="344" t="s">
        <v>287</v>
      </c>
      <c r="LP77" s="344" t="s">
        <v>287</v>
      </c>
      <c r="LQ77" s="345" t="s">
        <v>287</v>
      </c>
      <c r="LR77" s="128" t="s">
        <v>287</v>
      </c>
      <c r="LS77" s="128" t="s">
        <v>287</v>
      </c>
      <c r="LT77" s="128" t="s">
        <v>287</v>
      </c>
      <c r="LU77" s="128" t="s">
        <v>287</v>
      </c>
      <c r="LV77" s="128" t="s">
        <v>287</v>
      </c>
      <c r="LW77" s="128" t="s">
        <v>287</v>
      </c>
      <c r="LX77" s="128" t="s">
        <v>287</v>
      </c>
      <c r="LY77" s="128" t="s">
        <v>287</v>
      </c>
      <c r="LZ77" s="128" t="s">
        <v>287</v>
      </c>
      <c r="MA77" s="128" t="s">
        <v>287</v>
      </c>
      <c r="MB77" s="128" t="s">
        <v>287</v>
      </c>
      <c r="MC77" s="128" t="s">
        <v>287</v>
      </c>
      <c r="MD77" s="128" t="s">
        <v>287</v>
      </c>
      <c r="ME77" s="128" t="s">
        <v>287</v>
      </c>
      <c r="MF77" s="128" t="s">
        <v>287</v>
      </c>
      <c r="MG77" s="128" t="s">
        <v>287</v>
      </c>
      <c r="MH77" s="128" t="s">
        <v>287</v>
      </c>
      <c r="MI77" s="128" t="s">
        <v>287</v>
      </c>
      <c r="MJ77" s="128" t="s">
        <v>287</v>
      </c>
      <c r="MK77" s="128" t="s">
        <v>287</v>
      </c>
      <c r="ML77" s="128" t="s">
        <v>287</v>
      </c>
      <c r="MM77" s="128" t="s">
        <v>287</v>
      </c>
      <c r="MN77" s="136" t="s">
        <v>287</v>
      </c>
      <c r="MO77" s="128" t="s">
        <v>287</v>
      </c>
      <c r="MP77" s="128" t="s">
        <v>287</v>
      </c>
      <c r="MQ77" s="128" t="s">
        <v>287</v>
      </c>
      <c r="MR77" s="128" t="s">
        <v>287</v>
      </c>
      <c r="MS77" s="128" t="s">
        <v>287</v>
      </c>
      <c r="MT77" s="128" t="s">
        <v>287</v>
      </c>
      <c r="MU77" s="128" t="s">
        <v>287</v>
      </c>
      <c r="MV77" s="128" t="s">
        <v>287</v>
      </c>
      <c r="MW77" s="128" t="s">
        <v>287</v>
      </c>
      <c r="MX77" s="128" t="s">
        <v>287</v>
      </c>
      <c r="MY77" s="128" t="s">
        <v>287</v>
      </c>
      <c r="MZ77" s="128" t="s">
        <v>287</v>
      </c>
      <c r="NA77" s="128" t="s">
        <v>287</v>
      </c>
      <c r="NB77" s="128" t="s">
        <v>287</v>
      </c>
      <c r="NC77" s="128" t="s">
        <v>287</v>
      </c>
      <c r="ND77" s="128" t="s">
        <v>287</v>
      </c>
      <c r="NE77" s="128" t="s">
        <v>287</v>
      </c>
      <c r="NF77" s="128" t="s">
        <v>287</v>
      </c>
      <c r="NG77" s="128" t="s">
        <v>287</v>
      </c>
      <c r="NH77" s="128" t="s">
        <v>287</v>
      </c>
      <c r="NI77" s="128" t="s">
        <v>287</v>
      </c>
      <c r="NJ77" s="128" t="s">
        <v>287</v>
      </c>
      <c r="NK77" s="128" t="s">
        <v>287</v>
      </c>
      <c r="NL77" s="128" t="s">
        <v>287</v>
      </c>
      <c r="NM77" s="128" t="s">
        <v>287</v>
      </c>
      <c r="NN77" s="128" t="s">
        <v>287</v>
      </c>
      <c r="NO77" s="128" t="s">
        <v>287</v>
      </c>
      <c r="NP77" s="128" t="s">
        <v>287</v>
      </c>
      <c r="NQ77" s="128" t="s">
        <v>287</v>
      </c>
      <c r="NR77" s="128" t="s">
        <v>287</v>
      </c>
      <c r="NS77" s="128" t="s">
        <v>287</v>
      </c>
      <c r="NT77" s="128" t="s">
        <v>287</v>
      </c>
      <c r="NU77" s="128" t="s">
        <v>287</v>
      </c>
      <c r="NV77" s="128" t="s">
        <v>287</v>
      </c>
      <c r="NW77" s="128" t="s">
        <v>287</v>
      </c>
      <c r="NX77" s="128" t="s">
        <v>287</v>
      </c>
      <c r="NY77" s="128" t="s">
        <v>287</v>
      </c>
      <c r="NZ77" s="128" t="s">
        <v>287</v>
      </c>
      <c r="OA77" s="136" t="s">
        <v>287</v>
      </c>
    </row>
    <row r="78" spans="1:391" s="4" customFormat="1" ht="12.75" x14ac:dyDescent="0.2">
      <c r="A78" s="4" t="s">
        <v>113</v>
      </c>
      <c r="B78" s="9">
        <v>3</v>
      </c>
      <c r="C78" s="4" t="s">
        <v>287</v>
      </c>
      <c r="D78" s="4" t="s">
        <v>287</v>
      </c>
      <c r="E78" s="4" t="s">
        <v>287</v>
      </c>
      <c r="F78" s="4" t="s">
        <v>287</v>
      </c>
      <c r="G78" s="4" t="s">
        <v>287</v>
      </c>
      <c r="H78" s="4" t="s">
        <v>287</v>
      </c>
      <c r="I78" s="4" t="s">
        <v>287</v>
      </c>
      <c r="J78" s="4" t="s">
        <v>287</v>
      </c>
      <c r="K78" s="4" t="s">
        <v>287</v>
      </c>
      <c r="L78" s="4" t="s">
        <v>287</v>
      </c>
      <c r="M78" s="4" t="s">
        <v>287</v>
      </c>
      <c r="N78" s="4" t="s">
        <v>287</v>
      </c>
      <c r="O78" s="129" t="s">
        <v>287</v>
      </c>
      <c r="P78" s="129" t="s">
        <v>287</v>
      </c>
      <c r="Q78" s="129" t="s">
        <v>287</v>
      </c>
      <c r="R78" s="129" t="s">
        <v>287</v>
      </c>
      <c r="S78" s="129" t="s">
        <v>287</v>
      </c>
      <c r="T78" s="41">
        <v>50606000</v>
      </c>
      <c r="U78" s="42">
        <v>50965200</v>
      </c>
      <c r="V78" s="42">
        <v>51381100</v>
      </c>
      <c r="W78" s="42">
        <v>51815900</v>
      </c>
      <c r="X78" s="42">
        <v>52196400</v>
      </c>
      <c r="Y78" s="42">
        <v>52642500</v>
      </c>
      <c r="Z78" s="42">
        <v>53107200</v>
      </c>
      <c r="AA78" s="42">
        <v>53493700</v>
      </c>
      <c r="AB78" s="42">
        <v>53865800</v>
      </c>
      <c r="AC78" s="42">
        <v>54316600</v>
      </c>
      <c r="AD78" s="41">
        <v>2908000</v>
      </c>
      <c r="AE78" s="42">
        <v>2963100</v>
      </c>
      <c r="AF78" s="42">
        <v>3049000</v>
      </c>
      <c r="AG78" s="42">
        <v>3142700</v>
      </c>
      <c r="AH78" s="42">
        <v>3211900</v>
      </c>
      <c r="AI78" s="42">
        <v>3280500</v>
      </c>
      <c r="AJ78" s="42">
        <v>3328700</v>
      </c>
      <c r="AK78" s="42">
        <v>3393300</v>
      </c>
      <c r="AL78" s="42">
        <v>3414100</v>
      </c>
      <c r="AM78" s="42">
        <v>3431000</v>
      </c>
      <c r="AN78" s="16">
        <v>3318449</v>
      </c>
      <c r="AO78" s="4">
        <v>2346692</v>
      </c>
      <c r="AP78" s="4">
        <v>173830</v>
      </c>
      <c r="AQ78" s="4">
        <v>215247</v>
      </c>
      <c r="AR78" s="4">
        <v>358785</v>
      </c>
      <c r="AS78" s="4">
        <v>175346</v>
      </c>
      <c r="AT78" s="4">
        <v>48549</v>
      </c>
      <c r="AU78" s="4">
        <v>971757</v>
      </c>
      <c r="AV78" s="21">
        <v>0.70716530523747689</v>
      </c>
      <c r="AW78" s="22">
        <v>5.2382905387426473E-2</v>
      </c>
      <c r="AX78" s="22">
        <v>6.4863736040541825E-2</v>
      </c>
      <c r="AY78" s="22">
        <v>0.10811828055817642</v>
      </c>
      <c r="AZ78" s="22">
        <v>5.2839745314753973E-2</v>
      </c>
      <c r="BA78" s="22">
        <v>1.4630027461624392E-2</v>
      </c>
      <c r="BB78" s="22">
        <v>0.29283469476252311</v>
      </c>
      <c r="BC78" s="53">
        <v>8015990</v>
      </c>
      <c r="BD78" s="54">
        <v>7549840</v>
      </c>
      <c r="BE78" s="54">
        <v>466150</v>
      </c>
      <c r="BF78" s="54">
        <v>390060</v>
      </c>
      <c r="BG78" s="54">
        <v>76090</v>
      </c>
      <c r="BH78" s="22">
        <v>0.83676928027458974</v>
      </c>
      <c r="BI78" s="22">
        <v>0.16323071972541028</v>
      </c>
      <c r="BJ78" s="41">
        <v>6286051</v>
      </c>
      <c r="BK78" s="22">
        <v>0.55249679011512953</v>
      </c>
      <c r="BL78" s="22">
        <v>0.21446978397089048</v>
      </c>
      <c r="BM78" s="22">
        <v>0.23303342591398002</v>
      </c>
      <c r="BN78" s="41">
        <v>14885145</v>
      </c>
      <c r="BO78" s="42">
        <v>1064130</v>
      </c>
      <c r="BP78" s="42">
        <v>957255</v>
      </c>
      <c r="BQ78" s="42">
        <v>566275</v>
      </c>
      <c r="BR78" s="42">
        <v>11437443</v>
      </c>
      <c r="BS78" s="42">
        <v>6408564</v>
      </c>
      <c r="BT78" s="22">
        <v>0.16224570746270148</v>
      </c>
      <c r="BU78" s="41">
        <v>3373005</v>
      </c>
      <c r="BV78" s="42">
        <v>2885</v>
      </c>
      <c r="BW78" s="42">
        <v>890780</v>
      </c>
      <c r="BX78" s="42">
        <v>1573255</v>
      </c>
      <c r="BY78" s="42">
        <v>584016</v>
      </c>
      <c r="BZ78" s="43">
        <v>6423941</v>
      </c>
      <c r="CA78" s="42">
        <v>2606564</v>
      </c>
      <c r="CB78" s="42">
        <v>2018660</v>
      </c>
      <c r="CC78" s="42">
        <v>579738</v>
      </c>
      <c r="CD78" s="42">
        <v>587904</v>
      </c>
      <c r="CE78" s="22">
        <v>0.22241464241814127</v>
      </c>
      <c r="CF78" s="105">
        <v>0.22554750238244678</v>
      </c>
      <c r="CG78" s="66">
        <v>532700</v>
      </c>
      <c r="CH78" s="66">
        <v>506980</v>
      </c>
      <c r="CI78" s="66">
        <v>438170</v>
      </c>
      <c r="CJ78" s="66">
        <v>415710</v>
      </c>
      <c r="CK78" s="66">
        <v>387480</v>
      </c>
      <c r="CL78" s="41">
        <v>1564681</v>
      </c>
      <c r="CM78" s="42">
        <v>634019</v>
      </c>
      <c r="CN78" s="22">
        <v>0.40520655648020265</v>
      </c>
      <c r="CO78" s="43">
        <v>151744</v>
      </c>
      <c r="CP78" s="42">
        <v>671058</v>
      </c>
      <c r="CQ78" s="42">
        <v>687006</v>
      </c>
      <c r="CR78" s="42">
        <v>688120</v>
      </c>
      <c r="CS78" s="42">
        <v>694241</v>
      </c>
      <c r="CT78" s="42">
        <v>664517</v>
      </c>
      <c r="CU78" s="43">
        <v>661496</v>
      </c>
      <c r="CV78" s="42">
        <v>40359</v>
      </c>
      <c r="CW78" s="42">
        <v>37844</v>
      </c>
      <c r="CX78" s="42">
        <v>34025</v>
      </c>
      <c r="CY78" s="42">
        <v>31566</v>
      </c>
      <c r="CZ78" s="42">
        <v>27213</v>
      </c>
      <c r="DA78" s="437">
        <v>24246</v>
      </c>
      <c r="DB78" s="380" t="s">
        <v>287</v>
      </c>
      <c r="DC78" s="380" t="s">
        <v>287</v>
      </c>
      <c r="DD78" s="129" t="s">
        <v>287</v>
      </c>
      <c r="DE78" s="129" t="s">
        <v>287</v>
      </c>
      <c r="DF78" s="129" t="s">
        <v>287</v>
      </c>
      <c r="DG78" s="16">
        <v>70922</v>
      </c>
      <c r="DH78" s="22">
        <v>2.1388687416405674E-2</v>
      </c>
      <c r="DI78" s="472" t="s">
        <v>287</v>
      </c>
      <c r="DJ78" s="473" t="s">
        <v>287</v>
      </c>
      <c r="DK78" s="4">
        <v>1249557</v>
      </c>
      <c r="DL78" s="22">
        <v>5.6634916301083318E-2</v>
      </c>
      <c r="DM78" s="16">
        <v>724870</v>
      </c>
      <c r="DN78" s="4">
        <v>721690</v>
      </c>
      <c r="DO78" s="4">
        <v>731680</v>
      </c>
      <c r="DP78" s="4">
        <v>700500</v>
      </c>
      <c r="DQ78" s="4">
        <v>637860</v>
      </c>
      <c r="DR78" s="16">
        <v>706015</v>
      </c>
      <c r="DS78" s="22">
        <v>0.23214288650065187</v>
      </c>
      <c r="DT78" s="22">
        <v>0.2316687244671867</v>
      </c>
      <c r="DU78" s="22">
        <v>0.23261772519374502</v>
      </c>
      <c r="DV78" s="4">
        <v>749615</v>
      </c>
      <c r="DW78" s="22">
        <v>0.23928108580877047</v>
      </c>
      <c r="DX78" s="22">
        <v>0.23880896266935656</v>
      </c>
      <c r="DY78" s="22">
        <v>0.23975384834178659</v>
      </c>
      <c r="DZ78" s="4">
        <v>734090</v>
      </c>
      <c r="EA78" s="22">
        <v>0.22961623757049512</v>
      </c>
      <c r="EB78" s="22">
        <v>0.22915553218576157</v>
      </c>
      <c r="EC78" s="22">
        <v>0.230077592725072</v>
      </c>
      <c r="ED78" s="4">
        <v>735425</v>
      </c>
      <c r="EE78" s="22">
        <v>0.2265069406586773</v>
      </c>
      <c r="EF78" s="22">
        <v>0.2260519738612651</v>
      </c>
      <c r="EG78" s="22">
        <v>0.22696255462120365</v>
      </c>
      <c r="EH78" s="4">
        <v>707815</v>
      </c>
      <c r="EI78" s="22">
        <v>0.21546519008053139</v>
      </c>
      <c r="EJ78" s="22">
        <v>0.21502092091881381</v>
      </c>
      <c r="EK78" s="22">
        <v>0.21591012469684692</v>
      </c>
      <c r="EL78" s="439">
        <v>689470</v>
      </c>
      <c r="EM78" s="22">
        <v>0.22145456531025867</v>
      </c>
      <c r="EN78" s="22">
        <v>0.2209936797092171</v>
      </c>
      <c r="EO78" s="105">
        <v>0.2219161382818966</v>
      </c>
      <c r="EP78" s="41">
        <v>2068970</v>
      </c>
      <c r="EQ78" s="22">
        <v>0.21572973020880418</v>
      </c>
      <c r="ER78" s="42">
        <v>2131350</v>
      </c>
      <c r="ES78" s="22">
        <v>0.21868108021589544</v>
      </c>
      <c r="ET78" s="42">
        <v>2066320</v>
      </c>
      <c r="EU78" s="22">
        <v>0.21087878235852719</v>
      </c>
      <c r="EV78" s="42">
        <v>2026465</v>
      </c>
      <c r="EW78" s="22">
        <v>0.20561079077053887</v>
      </c>
      <c r="EX78" s="42">
        <v>1912310</v>
      </c>
      <c r="EY78" s="22">
        <v>0.19245423914399926</v>
      </c>
      <c r="EZ78" s="42">
        <v>1854005</v>
      </c>
      <c r="FA78" s="444">
        <v>0.186</v>
      </c>
      <c r="FB78" s="129" t="s">
        <v>287</v>
      </c>
      <c r="FC78" s="129" t="s">
        <v>287</v>
      </c>
      <c r="FD78" s="129" t="s">
        <v>287</v>
      </c>
      <c r="FE78" s="346" t="s">
        <v>287</v>
      </c>
      <c r="FF78" s="129" t="s">
        <v>287</v>
      </c>
      <c r="FG78" s="129" t="s">
        <v>287</v>
      </c>
      <c r="FH78" s="346" t="s">
        <v>287</v>
      </c>
      <c r="FI78" s="346" t="s">
        <v>287</v>
      </c>
      <c r="FJ78" s="346" t="s">
        <v>287</v>
      </c>
      <c r="FK78" s="346" t="s">
        <v>287</v>
      </c>
      <c r="FL78" s="346" t="s">
        <v>287</v>
      </c>
      <c r="FM78" s="347" t="s">
        <v>287</v>
      </c>
      <c r="FN78" s="529" t="s">
        <v>287</v>
      </c>
      <c r="FO78" s="346" t="s">
        <v>287</v>
      </c>
      <c r="FP78" s="346" t="s">
        <v>287</v>
      </c>
      <c r="FQ78" s="346" t="s">
        <v>287</v>
      </c>
      <c r="FR78" s="346" t="s">
        <v>287</v>
      </c>
      <c r="FS78" s="346" t="s">
        <v>287</v>
      </c>
      <c r="FT78" s="346" t="s">
        <v>287</v>
      </c>
      <c r="FU78" s="346" t="s">
        <v>287</v>
      </c>
      <c r="FV78" s="346" t="s">
        <v>287</v>
      </c>
      <c r="FW78" s="347" t="s">
        <v>287</v>
      </c>
      <c r="FX78" s="535" t="s">
        <v>287</v>
      </c>
      <c r="FY78" s="529" t="s">
        <v>287</v>
      </c>
      <c r="FZ78" s="529" t="s">
        <v>287</v>
      </c>
      <c r="GA78" s="346" t="s">
        <v>287</v>
      </c>
      <c r="GB78" s="529" t="s">
        <v>287</v>
      </c>
      <c r="GC78" s="529" t="s">
        <v>287</v>
      </c>
      <c r="GD78" s="529" t="s">
        <v>287</v>
      </c>
      <c r="GE78" s="346" t="s">
        <v>287</v>
      </c>
      <c r="GF78" s="346" t="s">
        <v>287</v>
      </c>
      <c r="GG78" s="346" t="s">
        <v>287</v>
      </c>
      <c r="GH78" s="346" t="s">
        <v>287</v>
      </c>
      <c r="GI78" s="346" t="s">
        <v>287</v>
      </c>
      <c r="GJ78" s="347" t="s">
        <v>287</v>
      </c>
      <c r="GK78" s="4">
        <v>526499</v>
      </c>
      <c r="GL78" s="355">
        <v>51596.902000000002</v>
      </c>
      <c r="GM78" s="22">
        <v>9.8000000000000004E-2</v>
      </c>
      <c r="GN78" s="22">
        <v>9.7000000000000003E-2</v>
      </c>
      <c r="GO78" s="22">
        <v>9.9000000000000005E-2</v>
      </c>
      <c r="GP78" s="515"/>
      <c r="GQ78" s="4">
        <v>540228</v>
      </c>
      <c r="GR78" s="355">
        <v>50781.432000000001</v>
      </c>
      <c r="GS78" s="22">
        <v>9.4E-2</v>
      </c>
      <c r="GT78" s="22">
        <v>9.2999999999999999E-2</v>
      </c>
      <c r="GU78" s="22">
        <v>9.5000000000000001E-2</v>
      </c>
      <c r="GV78" s="504"/>
      <c r="GW78" s="4">
        <v>565662</v>
      </c>
      <c r="GX78" s="355">
        <v>53737.89</v>
      </c>
      <c r="GY78" s="22">
        <v>9.5000000000000001E-2</v>
      </c>
      <c r="GZ78" s="22">
        <v>9.4E-2</v>
      </c>
      <c r="HA78" s="22">
        <v>9.6000000000000002E-2</v>
      </c>
      <c r="HB78" s="504"/>
      <c r="HC78" s="4">
        <v>586332</v>
      </c>
      <c r="HD78" s="355">
        <v>54528.875999999997</v>
      </c>
      <c r="HE78" s="22">
        <v>9.2999999999999999E-2</v>
      </c>
      <c r="HF78" s="22">
        <v>9.1999999999999998E-2</v>
      </c>
      <c r="HG78" s="22">
        <v>9.4E-2</v>
      </c>
      <c r="HH78" s="504"/>
      <c r="HI78" s="4">
        <v>587336</v>
      </c>
      <c r="HJ78" s="355">
        <v>55672.992103999997</v>
      </c>
      <c r="HK78" s="22">
        <v>9.4788999999999998E-2</v>
      </c>
      <c r="HL78" s="22">
        <v>9.4042999999999988E-2</v>
      </c>
      <c r="HM78" s="22">
        <v>9.5541000000000001E-2</v>
      </c>
      <c r="HN78" s="504"/>
      <c r="HO78" s="129">
        <v>610636</v>
      </c>
      <c r="HP78" s="129">
        <v>55449</v>
      </c>
      <c r="HQ78" s="578">
        <v>9.0805324284844002E-2</v>
      </c>
      <c r="HR78" s="578">
        <v>9.008721860664419E-2</v>
      </c>
      <c r="HS78" s="578">
        <v>9.1528578348031797E-2</v>
      </c>
      <c r="HT78" s="511"/>
      <c r="HU78" s="4">
        <v>499867</v>
      </c>
      <c r="HV78" s="355">
        <v>93475.129000000001</v>
      </c>
      <c r="HW78" s="22">
        <v>0.187</v>
      </c>
      <c r="HX78" s="22">
        <v>0.186</v>
      </c>
      <c r="HY78" s="22">
        <v>0.188</v>
      </c>
      <c r="HZ78" s="4" t="s">
        <v>287</v>
      </c>
      <c r="IA78" s="4">
        <v>464334</v>
      </c>
      <c r="IB78" s="355">
        <v>88223.46</v>
      </c>
      <c r="IC78" s="22">
        <v>0.19</v>
      </c>
      <c r="ID78" s="22">
        <v>0.189</v>
      </c>
      <c r="IE78" s="22">
        <v>0.191</v>
      </c>
      <c r="IF78" s="4" t="s">
        <v>287</v>
      </c>
      <c r="IG78" s="4">
        <v>491118</v>
      </c>
      <c r="IH78" s="355">
        <v>94294.656000000003</v>
      </c>
      <c r="II78" s="22">
        <v>0.192</v>
      </c>
      <c r="IJ78" s="22">
        <v>0.191</v>
      </c>
      <c r="IK78" s="22">
        <v>0.193</v>
      </c>
      <c r="IL78" s="4" t="s">
        <v>287</v>
      </c>
      <c r="IM78" s="4">
        <v>487817</v>
      </c>
      <c r="IN78" s="355">
        <v>92197.413</v>
      </c>
      <c r="IO78" s="22">
        <v>0.189</v>
      </c>
      <c r="IP78" s="22">
        <v>0.188</v>
      </c>
      <c r="IQ78" s="22">
        <v>0.19</v>
      </c>
      <c r="IR78" s="4" t="s">
        <v>287</v>
      </c>
      <c r="IS78" s="4">
        <v>514275</v>
      </c>
      <c r="IT78" s="355">
        <v>98190.011475000007</v>
      </c>
      <c r="IU78" s="22">
        <v>0.19092900000000002</v>
      </c>
      <c r="IV78" s="22">
        <v>0.18985700000000003</v>
      </c>
      <c r="IW78" s="22">
        <v>0.19200500000000001</v>
      </c>
      <c r="IX78" s="4" t="s">
        <v>287</v>
      </c>
      <c r="IY78" s="4">
        <v>531223</v>
      </c>
      <c r="IZ78" s="4">
        <v>176576.99999999988</v>
      </c>
      <c r="JA78" s="22">
        <v>0.33239712888937395</v>
      </c>
      <c r="JB78" s="22">
        <v>0.33113157599582299</v>
      </c>
      <c r="JC78" s="22">
        <v>0.33366510575504899</v>
      </c>
      <c r="JD78" s="9" t="s">
        <v>287</v>
      </c>
      <c r="JE78" s="129" t="s">
        <v>287</v>
      </c>
      <c r="JF78" s="129" t="s">
        <v>287</v>
      </c>
      <c r="JG78" s="22">
        <v>0.52</v>
      </c>
      <c r="JH78" s="129" t="s">
        <v>287</v>
      </c>
      <c r="JI78" s="129" t="s">
        <v>287</v>
      </c>
      <c r="JJ78" s="129" t="s">
        <v>287</v>
      </c>
      <c r="JK78" s="4">
        <v>34</v>
      </c>
      <c r="JL78" s="129" t="s">
        <v>287</v>
      </c>
      <c r="JM78" s="385">
        <v>21.6</v>
      </c>
      <c r="JN78" s="22">
        <v>0.36599999999999999</v>
      </c>
      <c r="JO78" s="129" t="s">
        <v>287</v>
      </c>
      <c r="JP78" s="129" t="s">
        <v>287</v>
      </c>
      <c r="JQ78" s="22">
        <v>0.6</v>
      </c>
      <c r="JR78" s="129" t="s">
        <v>287</v>
      </c>
      <c r="JS78" s="129" t="s">
        <v>287</v>
      </c>
      <c r="JT78" s="129" t="s">
        <v>287</v>
      </c>
      <c r="JU78" s="4">
        <v>34</v>
      </c>
      <c r="JV78" s="129" t="s">
        <v>287</v>
      </c>
      <c r="JW78" s="385">
        <v>22.5</v>
      </c>
      <c r="JX78" s="22">
        <v>0.33900000000000002</v>
      </c>
      <c r="JY78" s="42">
        <v>655016</v>
      </c>
      <c r="JZ78" s="129" t="s">
        <v>287</v>
      </c>
      <c r="KA78" s="22">
        <v>0.66300000000000003</v>
      </c>
      <c r="KB78" s="129" t="s">
        <v>287</v>
      </c>
      <c r="KC78" s="129" t="s">
        <v>287</v>
      </c>
      <c r="KD78" s="439">
        <v>34</v>
      </c>
      <c r="KE78" s="129" t="s">
        <v>287</v>
      </c>
      <c r="KF78" s="385">
        <v>23.1</v>
      </c>
      <c r="KG78" s="105">
        <v>0.32100000000000001</v>
      </c>
      <c r="KH78" s="22"/>
      <c r="KI78" s="22"/>
      <c r="KJ78" s="22"/>
      <c r="KK78" s="22"/>
      <c r="KL78" s="22"/>
      <c r="KM78" s="22"/>
      <c r="KN78" s="22"/>
      <c r="KO78" s="22"/>
      <c r="KP78" s="22"/>
      <c r="KQ78" s="22"/>
      <c r="KR78" s="22"/>
      <c r="KS78" s="22"/>
      <c r="KT78" s="22"/>
      <c r="KU78" s="22"/>
      <c r="KV78" s="22"/>
      <c r="KW78" s="105"/>
      <c r="KX78" s="535" t="s">
        <v>287</v>
      </c>
      <c r="KY78" s="535" t="s">
        <v>287</v>
      </c>
      <c r="KZ78" s="346" t="s">
        <v>287</v>
      </c>
      <c r="LA78" s="346" t="s">
        <v>287</v>
      </c>
      <c r="LB78" s="346" t="s">
        <v>287</v>
      </c>
      <c r="LC78" s="535" t="s">
        <v>287</v>
      </c>
      <c r="LD78" s="535" t="s">
        <v>287</v>
      </c>
      <c r="LE78" s="346" t="s">
        <v>287</v>
      </c>
      <c r="LF78" s="346" t="s">
        <v>287</v>
      </c>
      <c r="LG78" s="346" t="s">
        <v>287</v>
      </c>
      <c r="LH78" s="535" t="s">
        <v>287</v>
      </c>
      <c r="LI78" s="535" t="s">
        <v>287</v>
      </c>
      <c r="LJ78" s="346" t="s">
        <v>287</v>
      </c>
      <c r="LK78" s="346" t="s">
        <v>287</v>
      </c>
      <c r="LL78" s="346" t="s">
        <v>287</v>
      </c>
      <c r="LM78" s="535" t="s">
        <v>287</v>
      </c>
      <c r="LN78" s="535" t="s">
        <v>287</v>
      </c>
      <c r="LO78" s="346" t="s">
        <v>287</v>
      </c>
      <c r="LP78" s="346" t="s">
        <v>287</v>
      </c>
      <c r="LQ78" s="347" t="s">
        <v>287</v>
      </c>
      <c r="LR78" s="129" t="s">
        <v>287</v>
      </c>
      <c r="LS78" s="129" t="s">
        <v>287</v>
      </c>
      <c r="LT78" s="129" t="s">
        <v>287</v>
      </c>
      <c r="LU78" s="129" t="s">
        <v>287</v>
      </c>
      <c r="LV78" s="129" t="s">
        <v>287</v>
      </c>
      <c r="LW78" s="129" t="s">
        <v>287</v>
      </c>
      <c r="LX78" s="129" t="s">
        <v>287</v>
      </c>
      <c r="LY78" s="129" t="s">
        <v>287</v>
      </c>
      <c r="LZ78" s="129" t="s">
        <v>287</v>
      </c>
      <c r="MA78" s="129" t="s">
        <v>287</v>
      </c>
      <c r="MB78" s="129" t="s">
        <v>287</v>
      </c>
      <c r="MC78" s="129" t="s">
        <v>287</v>
      </c>
      <c r="MD78" s="129" t="s">
        <v>287</v>
      </c>
      <c r="ME78" s="129" t="s">
        <v>287</v>
      </c>
      <c r="MF78" s="129" t="s">
        <v>287</v>
      </c>
      <c r="MG78" s="129" t="s">
        <v>287</v>
      </c>
      <c r="MH78" s="129" t="s">
        <v>287</v>
      </c>
      <c r="MI78" s="129" t="s">
        <v>287</v>
      </c>
      <c r="MJ78" s="129" t="s">
        <v>287</v>
      </c>
      <c r="MK78" s="129" t="s">
        <v>287</v>
      </c>
      <c r="ML78" s="129" t="s">
        <v>287</v>
      </c>
      <c r="MM78" s="129" t="s">
        <v>287</v>
      </c>
      <c r="MN78" s="137" t="s">
        <v>287</v>
      </c>
      <c r="MO78" s="129" t="s">
        <v>287</v>
      </c>
      <c r="MP78" s="129" t="s">
        <v>287</v>
      </c>
      <c r="MQ78" s="129" t="s">
        <v>287</v>
      </c>
      <c r="MR78" s="129" t="s">
        <v>287</v>
      </c>
      <c r="MS78" s="129" t="s">
        <v>287</v>
      </c>
      <c r="MT78" s="129" t="s">
        <v>287</v>
      </c>
      <c r="MU78" s="129" t="s">
        <v>287</v>
      </c>
      <c r="MV78" s="129" t="s">
        <v>287</v>
      </c>
      <c r="MW78" s="129" t="s">
        <v>287</v>
      </c>
      <c r="MX78" s="129" t="s">
        <v>287</v>
      </c>
      <c r="MY78" s="129" t="s">
        <v>287</v>
      </c>
      <c r="MZ78" s="129" t="s">
        <v>287</v>
      </c>
      <c r="NA78" s="129" t="s">
        <v>287</v>
      </c>
      <c r="NB78" s="129" t="s">
        <v>287</v>
      </c>
      <c r="NC78" s="129" t="s">
        <v>287</v>
      </c>
      <c r="ND78" s="129" t="s">
        <v>287</v>
      </c>
      <c r="NE78" s="129" t="s">
        <v>287</v>
      </c>
      <c r="NF78" s="129" t="s">
        <v>287</v>
      </c>
      <c r="NG78" s="129" t="s">
        <v>287</v>
      </c>
      <c r="NH78" s="129" t="s">
        <v>287</v>
      </c>
      <c r="NI78" s="129" t="s">
        <v>287</v>
      </c>
      <c r="NJ78" s="129" t="s">
        <v>287</v>
      </c>
      <c r="NK78" s="129" t="s">
        <v>287</v>
      </c>
      <c r="NL78" s="129" t="s">
        <v>287</v>
      </c>
      <c r="NM78" s="129" t="s">
        <v>287</v>
      </c>
      <c r="NN78" s="129" t="s">
        <v>287</v>
      </c>
      <c r="NO78" s="129" t="s">
        <v>287</v>
      </c>
      <c r="NP78" s="129" t="s">
        <v>287</v>
      </c>
      <c r="NQ78" s="129" t="s">
        <v>287</v>
      </c>
      <c r="NR78" s="129" t="s">
        <v>287</v>
      </c>
      <c r="NS78" s="129" t="s">
        <v>287</v>
      </c>
      <c r="NT78" s="129" t="s">
        <v>287</v>
      </c>
      <c r="NU78" s="129" t="s">
        <v>287</v>
      </c>
      <c r="NV78" s="129" t="s">
        <v>287</v>
      </c>
      <c r="NW78" s="129" t="s">
        <v>287</v>
      </c>
      <c r="NX78" s="129" t="s">
        <v>287</v>
      </c>
      <c r="NY78" s="129" t="s">
        <v>287</v>
      </c>
      <c r="NZ78" s="129" t="s">
        <v>287</v>
      </c>
      <c r="OA78" s="137" t="s">
        <v>287</v>
      </c>
    </row>
    <row r="79" spans="1:391" s="249" customFormat="1" ht="12.75" x14ac:dyDescent="0.2">
      <c r="A79" s="243" t="s">
        <v>85</v>
      </c>
      <c r="B79" s="244"/>
      <c r="C79" s="243" t="s">
        <v>474</v>
      </c>
      <c r="D79" s="243" t="s">
        <v>474</v>
      </c>
      <c r="E79" s="243" t="s">
        <v>474</v>
      </c>
      <c r="F79" s="243" t="s">
        <v>474</v>
      </c>
      <c r="G79" s="243" t="s">
        <v>474</v>
      </c>
      <c r="H79" s="243" t="s">
        <v>474</v>
      </c>
      <c r="I79" s="243" t="s">
        <v>474</v>
      </c>
      <c r="J79" s="243" t="s">
        <v>474</v>
      </c>
      <c r="K79" s="243" t="s">
        <v>474</v>
      </c>
      <c r="L79" s="243" t="s">
        <v>474</v>
      </c>
      <c r="M79" s="243" t="s">
        <v>474</v>
      </c>
      <c r="N79" s="243" t="s">
        <v>474</v>
      </c>
      <c r="O79" s="376" t="s">
        <v>474</v>
      </c>
      <c r="P79" s="376" t="s">
        <v>474</v>
      </c>
      <c r="Q79" s="376" t="s">
        <v>474</v>
      </c>
      <c r="R79" s="376" t="s">
        <v>474</v>
      </c>
      <c r="S79" s="376" t="s">
        <v>474</v>
      </c>
      <c r="T79" s="245">
        <v>770795</v>
      </c>
      <c r="U79" s="246">
        <v>777395</v>
      </c>
      <c r="V79" s="246">
        <v>784280</v>
      </c>
      <c r="W79" s="246">
        <v>790985</v>
      </c>
      <c r="X79" s="246">
        <v>796040</v>
      </c>
      <c r="Y79" s="246">
        <v>803155</v>
      </c>
      <c r="Z79" s="246">
        <v>808920</v>
      </c>
      <c r="AA79" s="246">
        <v>815120</v>
      </c>
      <c r="AB79" s="246">
        <v>821360</v>
      </c>
      <c r="AC79" s="247">
        <v>828398</v>
      </c>
      <c r="AD79" s="245">
        <v>40730</v>
      </c>
      <c r="AE79" s="246">
        <v>41335</v>
      </c>
      <c r="AF79" s="246">
        <v>42610</v>
      </c>
      <c r="AG79" s="246">
        <v>43655</v>
      </c>
      <c r="AH79" s="246">
        <v>44415</v>
      </c>
      <c r="AI79" s="246">
        <v>45670</v>
      </c>
      <c r="AJ79" s="246">
        <v>46670</v>
      </c>
      <c r="AK79" s="246">
        <v>47670</v>
      </c>
      <c r="AL79" s="246">
        <v>47835</v>
      </c>
      <c r="AM79" s="247">
        <v>47981</v>
      </c>
      <c r="AN79" s="248">
        <v>46486</v>
      </c>
      <c r="AO79" s="249">
        <v>38843</v>
      </c>
      <c r="AP79" s="249">
        <v>2069</v>
      </c>
      <c r="AQ79" s="249">
        <v>2203</v>
      </c>
      <c r="AR79" s="249">
        <v>2550</v>
      </c>
      <c r="AS79" s="249">
        <v>601</v>
      </c>
      <c r="AT79" s="249">
        <v>220</v>
      </c>
      <c r="AU79" s="243">
        <v>7643</v>
      </c>
      <c r="AV79" s="461" t="s">
        <v>474</v>
      </c>
      <c r="AW79" s="462" t="s">
        <v>474</v>
      </c>
      <c r="AX79" s="462" t="s">
        <v>474</v>
      </c>
      <c r="AY79" s="462" t="s">
        <v>474</v>
      </c>
      <c r="AZ79" s="462" t="s">
        <v>474</v>
      </c>
      <c r="BA79" s="462" t="s">
        <v>474</v>
      </c>
      <c r="BB79" s="463" t="s">
        <v>474</v>
      </c>
      <c r="BC79" s="251">
        <v>117072</v>
      </c>
      <c r="BD79" s="252">
        <v>113395</v>
      </c>
      <c r="BE79" s="252">
        <v>3677</v>
      </c>
      <c r="BF79" s="252">
        <v>3091</v>
      </c>
      <c r="BG79" s="252">
        <v>586</v>
      </c>
      <c r="BH79" s="250">
        <v>0.85257398680246155</v>
      </c>
      <c r="BI79" s="250">
        <v>0.14742601319753845</v>
      </c>
      <c r="BJ79" s="245">
        <v>89522</v>
      </c>
      <c r="BK79" s="253">
        <v>0.62706341087054307</v>
      </c>
      <c r="BL79" s="253">
        <v>0.16984454656539485</v>
      </c>
      <c r="BM79" s="254">
        <v>0.20309204256406221</v>
      </c>
      <c r="BN79" s="245">
        <v>233754</v>
      </c>
      <c r="BO79" s="246">
        <v>14471</v>
      </c>
      <c r="BP79" s="246">
        <v>14675</v>
      </c>
      <c r="BQ79" s="246">
        <v>7032</v>
      </c>
      <c r="BR79" s="246">
        <v>163825</v>
      </c>
      <c r="BS79" s="246">
        <v>92663</v>
      </c>
      <c r="BT79" s="376" t="s">
        <v>287</v>
      </c>
      <c r="BU79" s="245">
        <v>55058</v>
      </c>
      <c r="BV79" s="246">
        <v>53</v>
      </c>
      <c r="BW79" s="246">
        <v>12250</v>
      </c>
      <c r="BX79" s="246">
        <v>18695</v>
      </c>
      <c r="BY79" s="246">
        <v>7042</v>
      </c>
      <c r="BZ79" s="255">
        <v>93098</v>
      </c>
      <c r="CA79" s="246">
        <v>36414</v>
      </c>
      <c r="CB79" s="246">
        <v>30468</v>
      </c>
      <c r="CC79" s="246">
        <v>5856</v>
      </c>
      <c r="CD79" s="246">
        <v>5946</v>
      </c>
      <c r="CE79" s="364" t="s">
        <v>287</v>
      </c>
      <c r="CF79" s="365" t="s">
        <v>287</v>
      </c>
      <c r="CG79" s="246">
        <v>5395</v>
      </c>
      <c r="CH79" s="246">
        <v>4895</v>
      </c>
      <c r="CI79" s="246">
        <v>4255</v>
      </c>
      <c r="CJ79" s="246">
        <v>4135</v>
      </c>
      <c r="CK79" s="246">
        <v>3900</v>
      </c>
      <c r="CL79" s="245">
        <v>18637</v>
      </c>
      <c r="CM79" s="246">
        <v>6279</v>
      </c>
      <c r="CN79" s="364" t="s">
        <v>287</v>
      </c>
      <c r="CO79" s="255">
        <v>1695</v>
      </c>
      <c r="CP79" s="246">
        <v>8694</v>
      </c>
      <c r="CQ79" s="246">
        <v>8819</v>
      </c>
      <c r="CR79" s="246">
        <v>8998</v>
      </c>
      <c r="CS79" s="246">
        <v>8886</v>
      </c>
      <c r="CT79" s="246">
        <v>8511</v>
      </c>
      <c r="CU79" s="256" t="s">
        <v>474</v>
      </c>
      <c r="CV79" s="246">
        <v>447</v>
      </c>
      <c r="CW79" s="246">
        <v>396</v>
      </c>
      <c r="CX79" s="246">
        <v>369</v>
      </c>
      <c r="CY79" s="246">
        <v>339</v>
      </c>
      <c r="CZ79" s="246">
        <v>322</v>
      </c>
      <c r="DA79" s="256" t="s">
        <v>474</v>
      </c>
      <c r="DB79" s="248">
        <v>666</v>
      </c>
      <c r="DC79" s="248">
        <v>560</v>
      </c>
      <c r="DD79" s="375" t="s">
        <v>287</v>
      </c>
      <c r="DE79" s="375" t="s">
        <v>287</v>
      </c>
      <c r="DF79" s="376" t="s">
        <v>287</v>
      </c>
      <c r="DG79" s="248">
        <v>853</v>
      </c>
      <c r="DH79" s="376" t="s">
        <v>287</v>
      </c>
      <c r="DI79" s="474" t="s">
        <v>287</v>
      </c>
      <c r="DJ79" s="475" t="s">
        <v>287</v>
      </c>
      <c r="DK79" s="249">
        <v>12972</v>
      </c>
      <c r="DL79" s="376" t="s">
        <v>287</v>
      </c>
      <c r="DM79" s="15">
        <v>7205</v>
      </c>
      <c r="DN79" s="3">
        <v>7205</v>
      </c>
      <c r="DO79" s="3">
        <v>7270</v>
      </c>
      <c r="DP79" s="3">
        <v>6780</v>
      </c>
      <c r="DQ79" s="11">
        <v>6200</v>
      </c>
      <c r="DR79" s="469">
        <v>6110</v>
      </c>
      <c r="DS79" s="364" t="s">
        <v>287</v>
      </c>
      <c r="DT79" s="364" t="s">
        <v>287</v>
      </c>
      <c r="DU79" s="364" t="s">
        <v>287</v>
      </c>
      <c r="DV79" s="375">
        <v>6910</v>
      </c>
      <c r="DW79" s="364" t="s">
        <v>287</v>
      </c>
      <c r="DX79" s="364" t="s">
        <v>287</v>
      </c>
      <c r="DY79" s="364" t="s">
        <v>287</v>
      </c>
      <c r="DZ79" s="375">
        <v>6945</v>
      </c>
      <c r="EA79" s="364" t="s">
        <v>287</v>
      </c>
      <c r="EB79" s="364" t="s">
        <v>287</v>
      </c>
      <c r="EC79" s="364" t="s">
        <v>287</v>
      </c>
      <c r="ED79" s="375">
        <v>7050</v>
      </c>
      <c r="EE79" s="364" t="s">
        <v>287</v>
      </c>
      <c r="EF79" s="364" t="s">
        <v>287</v>
      </c>
      <c r="EG79" s="364" t="s">
        <v>287</v>
      </c>
      <c r="EH79" s="375">
        <v>6695</v>
      </c>
      <c r="EI79" s="366" t="s">
        <v>287</v>
      </c>
      <c r="EJ79" s="366" t="s">
        <v>287</v>
      </c>
      <c r="EK79" s="366" t="s">
        <v>287</v>
      </c>
      <c r="EL79" s="478">
        <v>6530</v>
      </c>
      <c r="EM79" s="366" t="s">
        <v>287</v>
      </c>
      <c r="EN79" s="366" t="s">
        <v>287</v>
      </c>
      <c r="EO79" s="366" t="s">
        <v>287</v>
      </c>
      <c r="EP79" s="479">
        <v>18455</v>
      </c>
      <c r="EQ79" s="366" t="s">
        <v>287</v>
      </c>
      <c r="ER79" s="478">
        <v>19930</v>
      </c>
      <c r="ES79" s="366" t="s">
        <v>287</v>
      </c>
      <c r="ET79" s="478">
        <v>19295</v>
      </c>
      <c r="EU79" s="366" t="s">
        <v>287</v>
      </c>
      <c r="EV79" s="478">
        <v>19065</v>
      </c>
      <c r="EW79" s="366" t="s">
        <v>287</v>
      </c>
      <c r="EX79" s="478">
        <v>17690</v>
      </c>
      <c r="EY79" s="366" t="s">
        <v>287</v>
      </c>
      <c r="EZ79" s="478">
        <v>17240</v>
      </c>
      <c r="FA79" s="445" t="s">
        <v>287</v>
      </c>
      <c r="FB79" s="249">
        <v>8655</v>
      </c>
      <c r="FC79" s="249">
        <v>345</v>
      </c>
      <c r="FD79" s="249">
        <v>8310</v>
      </c>
      <c r="FE79" s="364" t="s">
        <v>287</v>
      </c>
      <c r="FF79" s="249">
        <v>3498</v>
      </c>
      <c r="FG79" s="249">
        <v>4605</v>
      </c>
      <c r="FH79" s="364" t="s">
        <v>287</v>
      </c>
      <c r="FI79" s="364" t="s">
        <v>287</v>
      </c>
      <c r="FJ79" s="364" t="s">
        <v>287</v>
      </c>
      <c r="FK79" s="364" t="s">
        <v>287</v>
      </c>
      <c r="FL79" s="364" t="s">
        <v>287</v>
      </c>
      <c r="FM79" s="499" t="s">
        <v>287</v>
      </c>
      <c r="FN79" s="536">
        <v>7801</v>
      </c>
      <c r="FO79" s="536">
        <v>3156</v>
      </c>
      <c r="FP79" s="536">
        <v>1238</v>
      </c>
      <c r="FQ79" s="536">
        <v>4394</v>
      </c>
      <c r="FR79" s="366" t="s">
        <v>287</v>
      </c>
      <c r="FS79" s="366" t="s">
        <v>287</v>
      </c>
      <c r="FT79" s="366" t="s">
        <v>287</v>
      </c>
      <c r="FU79" s="366" t="s">
        <v>287</v>
      </c>
      <c r="FV79" s="366" t="s">
        <v>287</v>
      </c>
      <c r="FW79" s="365" t="s">
        <v>287</v>
      </c>
      <c r="FX79" s="536">
        <v>8573</v>
      </c>
      <c r="FY79" s="536">
        <v>707</v>
      </c>
      <c r="FZ79" s="536">
        <v>7866</v>
      </c>
      <c r="GA79" s="536" t="s">
        <v>287</v>
      </c>
      <c r="GB79" s="536">
        <v>3184</v>
      </c>
      <c r="GC79" s="536">
        <v>1248</v>
      </c>
      <c r="GD79" s="536">
        <v>4432</v>
      </c>
      <c r="GE79" s="536" t="s">
        <v>287</v>
      </c>
      <c r="GF79" s="536" t="s">
        <v>287</v>
      </c>
      <c r="GG79" s="536" t="s">
        <v>287</v>
      </c>
      <c r="GH79" s="536" t="s">
        <v>287</v>
      </c>
      <c r="GI79" s="536" t="s">
        <v>287</v>
      </c>
      <c r="GJ79" s="576" t="s">
        <v>287</v>
      </c>
      <c r="GK79" s="375">
        <v>6842</v>
      </c>
      <c r="GL79" s="375">
        <v>534</v>
      </c>
      <c r="GM79" s="364" t="s">
        <v>287</v>
      </c>
      <c r="GN79" s="364" t="s">
        <v>287</v>
      </c>
      <c r="GO79" s="364" t="s">
        <v>287</v>
      </c>
      <c r="GP79" s="507" t="s">
        <v>287</v>
      </c>
      <c r="GQ79" s="375">
        <v>7515</v>
      </c>
      <c r="GR79" s="375">
        <v>599</v>
      </c>
      <c r="GS79" s="364" t="s">
        <v>287</v>
      </c>
      <c r="GT79" s="364" t="s">
        <v>287</v>
      </c>
      <c r="GU79" s="364" t="s">
        <v>287</v>
      </c>
      <c r="GV79" s="506" t="s">
        <v>287</v>
      </c>
      <c r="GW79" s="375">
        <v>6743</v>
      </c>
      <c r="GX79" s="375">
        <v>525</v>
      </c>
      <c r="GY79" s="375" t="s">
        <v>287</v>
      </c>
      <c r="GZ79" s="375" t="s">
        <v>287</v>
      </c>
      <c r="HA79" s="375" t="s">
        <v>287</v>
      </c>
      <c r="HB79" s="506" t="s">
        <v>287</v>
      </c>
      <c r="HC79" s="375">
        <v>7841</v>
      </c>
      <c r="HD79" s="375">
        <v>666</v>
      </c>
      <c r="HE79" s="364" t="s">
        <v>287</v>
      </c>
      <c r="HF79" s="364" t="s">
        <v>287</v>
      </c>
      <c r="HG79" s="364" t="s">
        <v>287</v>
      </c>
      <c r="HH79" s="506" t="s">
        <v>287</v>
      </c>
      <c r="HI79" s="249">
        <v>5479</v>
      </c>
      <c r="HJ79" s="249">
        <v>462</v>
      </c>
      <c r="HK79" s="375" t="s">
        <v>287</v>
      </c>
      <c r="HL79" s="375" t="s">
        <v>287</v>
      </c>
      <c r="HM79" s="375" t="s">
        <v>287</v>
      </c>
      <c r="HN79" s="508" t="s">
        <v>287</v>
      </c>
      <c r="HO79" s="376">
        <f>SUM(HO6:HO48)</f>
        <v>8065</v>
      </c>
      <c r="HP79" s="376">
        <f>SUM(HP6:HP48)</f>
        <v>584</v>
      </c>
      <c r="HQ79" s="366" t="s">
        <v>287</v>
      </c>
      <c r="HR79" s="376" t="s">
        <v>287</v>
      </c>
      <c r="HS79" s="376" t="s">
        <v>287</v>
      </c>
      <c r="HT79" s="512" t="s">
        <v>287</v>
      </c>
      <c r="HU79" s="249">
        <v>6911</v>
      </c>
      <c r="HV79" s="249">
        <v>1099</v>
      </c>
      <c r="HW79" s="364" t="s">
        <v>287</v>
      </c>
      <c r="HX79" s="364" t="s">
        <v>287</v>
      </c>
      <c r="HY79" s="364" t="s">
        <v>287</v>
      </c>
      <c r="HZ79" s="375" t="s">
        <v>287</v>
      </c>
      <c r="IA79" s="249">
        <v>6888</v>
      </c>
      <c r="IB79" s="249">
        <v>1096</v>
      </c>
      <c r="IC79" s="364" t="s">
        <v>287</v>
      </c>
      <c r="ID79" s="364" t="s">
        <v>287</v>
      </c>
      <c r="IE79" s="364" t="s">
        <v>287</v>
      </c>
      <c r="IF79" s="375" t="s">
        <v>287</v>
      </c>
      <c r="IG79" s="249">
        <v>6812</v>
      </c>
      <c r="IH79" s="249">
        <v>1062</v>
      </c>
      <c r="II79" s="375" t="s">
        <v>287</v>
      </c>
      <c r="IJ79" s="375" t="s">
        <v>287</v>
      </c>
      <c r="IK79" s="375" t="s">
        <v>287</v>
      </c>
      <c r="IL79" s="375" t="s">
        <v>287</v>
      </c>
      <c r="IM79" s="249">
        <v>6666</v>
      </c>
      <c r="IN79" s="249">
        <v>979</v>
      </c>
      <c r="IO79" s="375" t="s">
        <v>287</v>
      </c>
      <c r="IP79" s="375" t="s">
        <v>287</v>
      </c>
      <c r="IQ79" s="375" t="s">
        <v>287</v>
      </c>
      <c r="IR79" s="375" t="s">
        <v>287</v>
      </c>
      <c r="IS79" s="249">
        <v>7146</v>
      </c>
      <c r="IT79" s="249">
        <v>1146</v>
      </c>
      <c r="IU79" s="375" t="s">
        <v>287</v>
      </c>
      <c r="IV79" s="375" t="s">
        <v>287</v>
      </c>
      <c r="IW79" s="375" t="s">
        <v>287</v>
      </c>
      <c r="IX79" s="508" t="s">
        <v>287</v>
      </c>
      <c r="IY79" s="376">
        <v>7307</v>
      </c>
      <c r="IZ79" s="376">
        <v>1165</v>
      </c>
      <c r="JA79" s="376" t="s">
        <v>287</v>
      </c>
      <c r="JB79" s="376" t="s">
        <v>287</v>
      </c>
      <c r="JC79" s="376" t="s">
        <v>287</v>
      </c>
      <c r="JD79" s="512" t="s">
        <v>287</v>
      </c>
      <c r="JE79" s="249">
        <v>9112</v>
      </c>
      <c r="JF79" s="249">
        <v>4808</v>
      </c>
      <c r="JG79" s="375" t="s">
        <v>287</v>
      </c>
      <c r="JH79" s="375" t="s">
        <v>287</v>
      </c>
      <c r="JI79" s="375" t="s">
        <v>287</v>
      </c>
      <c r="JJ79" s="249">
        <v>9112</v>
      </c>
      <c r="JK79" s="375" t="s">
        <v>287</v>
      </c>
      <c r="JL79" s="375" t="s">
        <v>287</v>
      </c>
      <c r="JM79" s="375" t="s">
        <v>287</v>
      </c>
      <c r="JN79" s="375" t="s">
        <v>287</v>
      </c>
      <c r="JO79" s="249">
        <v>9254</v>
      </c>
      <c r="JP79" s="249">
        <v>5465</v>
      </c>
      <c r="JQ79" s="375" t="s">
        <v>287</v>
      </c>
      <c r="JR79" s="375" t="s">
        <v>287</v>
      </c>
      <c r="JS79" s="375" t="s">
        <v>287</v>
      </c>
      <c r="JT79" s="249">
        <v>9254</v>
      </c>
      <c r="JU79" s="375" t="s">
        <v>287</v>
      </c>
      <c r="JV79" s="375" t="s">
        <v>287</v>
      </c>
      <c r="JW79" s="375" t="s">
        <v>287</v>
      </c>
      <c r="JX79" s="375" t="s">
        <v>287</v>
      </c>
      <c r="JY79" s="519">
        <v>9476</v>
      </c>
      <c r="JZ79" s="555">
        <v>6051</v>
      </c>
      <c r="KA79" s="375" t="s">
        <v>287</v>
      </c>
      <c r="KB79" s="375" t="s">
        <v>287</v>
      </c>
      <c r="KC79" s="375" t="s">
        <v>287</v>
      </c>
      <c r="KD79" s="375" t="s">
        <v>287</v>
      </c>
      <c r="KE79" s="375" t="s">
        <v>287</v>
      </c>
      <c r="KF79" s="375" t="s">
        <v>287</v>
      </c>
      <c r="KG79" s="445" t="s">
        <v>287</v>
      </c>
      <c r="KH79" s="364" t="s">
        <v>287</v>
      </c>
      <c r="KI79" s="364" t="s">
        <v>287</v>
      </c>
      <c r="KJ79" s="364" t="s">
        <v>287</v>
      </c>
      <c r="KK79" s="364" t="s">
        <v>287</v>
      </c>
      <c r="KL79" s="364" t="s">
        <v>287</v>
      </c>
      <c r="KM79" s="364" t="s">
        <v>287</v>
      </c>
      <c r="KN79" s="364" t="s">
        <v>287</v>
      </c>
      <c r="KO79" s="364" t="s">
        <v>287</v>
      </c>
      <c r="KP79" s="364" t="s">
        <v>287</v>
      </c>
      <c r="KQ79" s="364" t="s">
        <v>287</v>
      </c>
      <c r="KR79" s="364" t="s">
        <v>287</v>
      </c>
      <c r="KS79" s="364" t="s">
        <v>287</v>
      </c>
      <c r="KT79" s="364" t="s">
        <v>287</v>
      </c>
      <c r="KU79" s="364" t="s">
        <v>287</v>
      </c>
      <c r="KV79" s="364" t="s">
        <v>287</v>
      </c>
      <c r="KW79" s="365" t="s">
        <v>287</v>
      </c>
      <c r="KX79" s="536"/>
      <c r="KY79" s="536"/>
      <c r="KZ79" s="366"/>
      <c r="LA79" s="366"/>
      <c r="LB79" s="366"/>
      <c r="LC79" s="536"/>
      <c r="LD79" s="536"/>
      <c r="LE79" s="366"/>
      <c r="LF79" s="366"/>
      <c r="LG79" s="366"/>
      <c r="LH79" s="536"/>
      <c r="LI79" s="536"/>
      <c r="LJ79" s="366"/>
      <c r="LK79" s="366"/>
      <c r="LL79" s="366"/>
      <c r="LM79" s="536"/>
      <c r="LN79" s="536"/>
      <c r="LO79" s="366"/>
      <c r="LP79" s="366"/>
      <c r="LQ79" s="365"/>
      <c r="LR79" s="243">
        <v>2363</v>
      </c>
      <c r="LS79" s="243">
        <v>2265</v>
      </c>
      <c r="LT79" s="243">
        <v>2269</v>
      </c>
      <c r="LU79" s="243">
        <v>2313</v>
      </c>
      <c r="LV79" s="243">
        <v>2279</v>
      </c>
      <c r="LW79" s="243">
        <v>2336</v>
      </c>
      <c r="LX79" s="243">
        <v>2213</v>
      </c>
      <c r="LY79" s="243">
        <v>2225</v>
      </c>
      <c r="LZ79" s="243">
        <v>2201</v>
      </c>
      <c r="MA79" s="243">
        <v>2233</v>
      </c>
      <c r="MB79" s="243">
        <v>2264</v>
      </c>
      <c r="MC79" s="243">
        <v>2204</v>
      </c>
      <c r="MD79" s="243">
        <v>2266</v>
      </c>
      <c r="ME79" s="243">
        <v>2498</v>
      </c>
      <c r="MF79" s="243">
        <v>2331</v>
      </c>
      <c r="MG79" s="243">
        <v>2283</v>
      </c>
      <c r="MH79" s="243">
        <v>2222</v>
      </c>
      <c r="MI79" s="243">
        <v>2288</v>
      </c>
      <c r="MJ79" s="243">
        <v>2326</v>
      </c>
      <c r="MK79" s="243">
        <v>2214</v>
      </c>
      <c r="ML79" s="243">
        <v>2351</v>
      </c>
      <c r="MM79" s="243">
        <v>2265</v>
      </c>
      <c r="MN79" s="244">
        <v>2347</v>
      </c>
      <c r="MO79" s="249">
        <v>8826</v>
      </c>
      <c r="MP79" s="375" t="s">
        <v>287</v>
      </c>
      <c r="MQ79" s="375" t="s">
        <v>287</v>
      </c>
      <c r="MR79" s="375" t="s">
        <v>287</v>
      </c>
      <c r="MS79" s="249">
        <v>8393</v>
      </c>
      <c r="MT79" s="249">
        <v>74</v>
      </c>
      <c r="MU79" s="249">
        <v>8384</v>
      </c>
      <c r="MV79" s="249">
        <v>9062</v>
      </c>
      <c r="MW79" s="375" t="s">
        <v>287</v>
      </c>
      <c r="MX79" s="375" t="s">
        <v>287</v>
      </c>
      <c r="MY79" s="375" t="s">
        <v>287</v>
      </c>
      <c r="MZ79" s="375" t="s">
        <v>287</v>
      </c>
      <c r="NA79" s="375" t="s">
        <v>287</v>
      </c>
      <c r="NB79" s="249">
        <v>8778</v>
      </c>
      <c r="NC79" s="249">
        <v>8461</v>
      </c>
      <c r="ND79" s="249">
        <v>8673</v>
      </c>
      <c r="NE79" s="249">
        <v>8497</v>
      </c>
      <c r="NF79" s="249">
        <v>8476</v>
      </c>
      <c r="NG79" s="249">
        <v>9784</v>
      </c>
      <c r="NH79" s="375" t="s">
        <v>287</v>
      </c>
      <c r="NI79" s="375" t="s">
        <v>287</v>
      </c>
      <c r="NJ79" s="375" t="s">
        <v>287</v>
      </c>
      <c r="NK79" s="375" t="s">
        <v>287</v>
      </c>
      <c r="NL79" s="375" t="s">
        <v>287</v>
      </c>
      <c r="NM79" s="375" t="s">
        <v>287</v>
      </c>
      <c r="NN79" s="375" t="s">
        <v>287</v>
      </c>
      <c r="NO79" s="375" t="s">
        <v>287</v>
      </c>
      <c r="NP79" s="375" t="s">
        <v>287</v>
      </c>
      <c r="NQ79" s="375" t="s">
        <v>287</v>
      </c>
      <c r="NR79" s="249">
        <v>9409</v>
      </c>
      <c r="NS79" s="249">
        <v>8991</v>
      </c>
      <c r="NT79" s="249">
        <v>9408</v>
      </c>
      <c r="NU79" s="249">
        <v>9386</v>
      </c>
      <c r="NV79" s="249">
        <v>9336</v>
      </c>
      <c r="NW79" s="249">
        <v>8577</v>
      </c>
      <c r="NX79" s="249">
        <v>9218</v>
      </c>
      <c r="NY79" s="249">
        <v>8991</v>
      </c>
      <c r="NZ79" s="249">
        <v>9370</v>
      </c>
      <c r="OA79" s="244">
        <v>8970</v>
      </c>
    </row>
    <row r="80" spans="1:391" s="249" customFormat="1" ht="12.75" x14ac:dyDescent="0.2">
      <c r="A80" s="243" t="s">
        <v>86</v>
      </c>
      <c r="B80" s="244"/>
      <c r="C80" s="243" t="s">
        <v>474</v>
      </c>
      <c r="D80" s="243" t="s">
        <v>474</v>
      </c>
      <c r="E80" s="243" t="s">
        <v>474</v>
      </c>
      <c r="F80" s="243" t="s">
        <v>474</v>
      </c>
      <c r="G80" s="243" t="s">
        <v>474</v>
      </c>
      <c r="H80" s="243" t="s">
        <v>474</v>
      </c>
      <c r="I80" s="243" t="s">
        <v>474</v>
      </c>
      <c r="J80" s="243" t="s">
        <v>474</v>
      </c>
      <c r="K80" s="243" t="s">
        <v>474</v>
      </c>
      <c r="L80" s="243" t="s">
        <v>474</v>
      </c>
      <c r="M80" s="243" t="s">
        <v>474</v>
      </c>
      <c r="N80" s="243" t="s">
        <v>474</v>
      </c>
      <c r="O80" s="376" t="s">
        <v>474</v>
      </c>
      <c r="P80" s="376" t="s">
        <v>474</v>
      </c>
      <c r="Q80" s="376" t="s">
        <v>474</v>
      </c>
      <c r="R80" s="376" t="s">
        <v>474</v>
      </c>
      <c r="S80" s="376" t="s">
        <v>474</v>
      </c>
      <c r="T80" s="245">
        <v>770795</v>
      </c>
      <c r="U80" s="246">
        <v>777395</v>
      </c>
      <c r="V80" s="246">
        <v>784280</v>
      </c>
      <c r="W80" s="246">
        <v>790975</v>
      </c>
      <c r="X80" s="246">
        <v>796045</v>
      </c>
      <c r="Y80" s="246">
        <v>803155</v>
      </c>
      <c r="Z80" s="246">
        <v>808925</v>
      </c>
      <c r="AA80" s="246">
        <v>815110</v>
      </c>
      <c r="AB80" s="246">
        <v>821355</v>
      </c>
      <c r="AC80" s="247">
        <v>828400</v>
      </c>
      <c r="AD80" s="245">
        <v>40740</v>
      </c>
      <c r="AE80" s="246">
        <v>41310</v>
      </c>
      <c r="AF80" s="246">
        <v>42595</v>
      </c>
      <c r="AG80" s="246">
        <v>43655</v>
      </c>
      <c r="AH80" s="246">
        <v>44435</v>
      </c>
      <c r="AI80" s="246">
        <v>45665</v>
      </c>
      <c r="AJ80" s="246">
        <v>46670</v>
      </c>
      <c r="AK80" s="246">
        <v>47675</v>
      </c>
      <c r="AL80" s="246">
        <v>47845</v>
      </c>
      <c r="AM80" s="247">
        <v>47981</v>
      </c>
      <c r="AN80" s="248">
        <v>46486</v>
      </c>
      <c r="AO80" s="249">
        <v>38843</v>
      </c>
      <c r="AP80" s="249">
        <v>2069</v>
      </c>
      <c r="AQ80" s="249">
        <v>2203</v>
      </c>
      <c r="AR80" s="249">
        <v>2550</v>
      </c>
      <c r="AS80" s="249">
        <v>601</v>
      </c>
      <c r="AT80" s="249">
        <v>220</v>
      </c>
      <c r="AU80" s="243">
        <v>7643</v>
      </c>
      <c r="AV80" s="461" t="s">
        <v>474</v>
      </c>
      <c r="AW80" s="462" t="s">
        <v>474</v>
      </c>
      <c r="AX80" s="462" t="s">
        <v>474</v>
      </c>
      <c r="AY80" s="462" t="s">
        <v>474</v>
      </c>
      <c r="AZ80" s="462" t="s">
        <v>474</v>
      </c>
      <c r="BA80" s="462" t="s">
        <v>474</v>
      </c>
      <c r="BB80" s="463" t="s">
        <v>474</v>
      </c>
      <c r="BC80" s="251">
        <v>117072</v>
      </c>
      <c r="BD80" s="252">
        <v>113395</v>
      </c>
      <c r="BE80" s="252">
        <v>3677</v>
      </c>
      <c r="BF80" s="252">
        <v>3091</v>
      </c>
      <c r="BG80" s="252">
        <v>586</v>
      </c>
      <c r="BH80" s="250">
        <v>0.84422160810120517</v>
      </c>
      <c r="BI80" s="250">
        <v>0.1557783918987948</v>
      </c>
      <c r="BJ80" s="245">
        <v>89522</v>
      </c>
      <c r="BK80" s="253">
        <v>0.61460125283779399</v>
      </c>
      <c r="BL80" s="253">
        <v>0.16982069659614926</v>
      </c>
      <c r="BM80" s="254">
        <v>0.21557805056605681</v>
      </c>
      <c r="BN80" s="245">
        <v>233754</v>
      </c>
      <c r="BO80" s="246">
        <v>14471</v>
      </c>
      <c r="BP80" s="246">
        <v>14675</v>
      </c>
      <c r="BQ80" s="246">
        <v>7032</v>
      </c>
      <c r="BR80" s="246">
        <v>163825</v>
      </c>
      <c r="BS80" s="246">
        <v>92663</v>
      </c>
      <c r="BT80" s="376" t="s">
        <v>287</v>
      </c>
      <c r="BU80" s="245">
        <v>55058</v>
      </c>
      <c r="BV80" s="246">
        <v>53</v>
      </c>
      <c r="BW80" s="246">
        <v>12250</v>
      </c>
      <c r="BX80" s="246">
        <v>18695</v>
      </c>
      <c r="BY80" s="246">
        <v>7042</v>
      </c>
      <c r="BZ80" s="255">
        <v>93098</v>
      </c>
      <c r="CA80" s="246">
        <v>36414</v>
      </c>
      <c r="CB80" s="246">
        <v>30468</v>
      </c>
      <c r="CC80" s="246">
        <v>5856</v>
      </c>
      <c r="CD80" s="246">
        <v>5946</v>
      </c>
      <c r="CE80" s="364" t="s">
        <v>287</v>
      </c>
      <c r="CF80" s="365" t="s">
        <v>287</v>
      </c>
      <c r="CG80" s="246">
        <v>5395</v>
      </c>
      <c r="CH80" s="246">
        <v>4895</v>
      </c>
      <c r="CI80" s="246">
        <v>4255</v>
      </c>
      <c r="CJ80" s="246">
        <v>4135</v>
      </c>
      <c r="CK80" s="247">
        <v>3900</v>
      </c>
      <c r="CL80" s="245">
        <v>18637</v>
      </c>
      <c r="CM80" s="246">
        <v>6279</v>
      </c>
      <c r="CN80" s="364" t="s">
        <v>287</v>
      </c>
      <c r="CO80" s="255">
        <v>1695</v>
      </c>
      <c r="CP80" s="246">
        <v>8694</v>
      </c>
      <c r="CQ80" s="246">
        <v>8819</v>
      </c>
      <c r="CR80" s="246">
        <v>8998</v>
      </c>
      <c r="CS80" s="246">
        <v>8886</v>
      </c>
      <c r="CT80" s="246">
        <v>8511</v>
      </c>
      <c r="CU80" s="256" t="s">
        <v>474</v>
      </c>
      <c r="CV80" s="246">
        <v>447</v>
      </c>
      <c r="CW80" s="246">
        <v>396</v>
      </c>
      <c r="CX80" s="246">
        <v>369</v>
      </c>
      <c r="CY80" s="246">
        <v>339</v>
      </c>
      <c r="CZ80" s="246">
        <v>322</v>
      </c>
      <c r="DA80" s="256" t="s">
        <v>474</v>
      </c>
      <c r="DB80" s="248">
        <v>666</v>
      </c>
      <c r="DC80" s="248">
        <v>560</v>
      </c>
      <c r="DD80" s="375" t="s">
        <v>287</v>
      </c>
      <c r="DE80" s="375" t="s">
        <v>287</v>
      </c>
      <c r="DF80" s="376" t="s">
        <v>287</v>
      </c>
      <c r="DG80" s="248">
        <v>853</v>
      </c>
      <c r="DH80" s="376" t="s">
        <v>287</v>
      </c>
      <c r="DI80" s="474" t="s">
        <v>287</v>
      </c>
      <c r="DJ80" s="475" t="s">
        <v>287</v>
      </c>
      <c r="DK80" s="249">
        <v>12972</v>
      </c>
      <c r="DL80" s="376" t="s">
        <v>287</v>
      </c>
      <c r="DM80" s="15">
        <v>7205</v>
      </c>
      <c r="DN80" s="3">
        <v>7205</v>
      </c>
      <c r="DO80" s="3">
        <v>7270</v>
      </c>
      <c r="DP80" s="3">
        <v>6780</v>
      </c>
      <c r="DQ80" s="11">
        <v>6200</v>
      </c>
      <c r="DR80" s="469">
        <v>6110</v>
      </c>
      <c r="DS80" s="364" t="s">
        <v>287</v>
      </c>
      <c r="DT80" s="364" t="s">
        <v>287</v>
      </c>
      <c r="DU80" s="364" t="s">
        <v>287</v>
      </c>
      <c r="DV80" s="375">
        <v>6910</v>
      </c>
      <c r="DW80" s="364" t="s">
        <v>287</v>
      </c>
      <c r="DX80" s="364" t="s">
        <v>287</v>
      </c>
      <c r="DY80" s="364" t="s">
        <v>287</v>
      </c>
      <c r="DZ80" s="375">
        <v>6945</v>
      </c>
      <c r="EA80" s="364" t="s">
        <v>287</v>
      </c>
      <c r="EB80" s="364" t="s">
        <v>287</v>
      </c>
      <c r="EC80" s="364" t="s">
        <v>287</v>
      </c>
      <c r="ED80" s="375">
        <v>7050</v>
      </c>
      <c r="EE80" s="364" t="s">
        <v>287</v>
      </c>
      <c r="EF80" s="364" t="s">
        <v>287</v>
      </c>
      <c r="EG80" s="364" t="s">
        <v>287</v>
      </c>
      <c r="EH80" s="375">
        <v>6695</v>
      </c>
      <c r="EI80" s="366" t="s">
        <v>287</v>
      </c>
      <c r="EJ80" s="366" t="s">
        <v>287</v>
      </c>
      <c r="EK80" s="366" t="s">
        <v>287</v>
      </c>
      <c r="EL80" s="478">
        <v>6530</v>
      </c>
      <c r="EM80" s="366" t="s">
        <v>287</v>
      </c>
      <c r="EN80" s="366" t="s">
        <v>287</v>
      </c>
      <c r="EO80" s="366" t="s">
        <v>287</v>
      </c>
      <c r="EP80" s="479">
        <v>18455</v>
      </c>
      <c r="EQ80" s="366" t="s">
        <v>287</v>
      </c>
      <c r="ER80" s="478">
        <v>19930</v>
      </c>
      <c r="ES80" s="366" t="s">
        <v>287</v>
      </c>
      <c r="ET80" s="478">
        <v>19295</v>
      </c>
      <c r="EU80" s="366" t="s">
        <v>287</v>
      </c>
      <c r="EV80" s="478">
        <v>19065</v>
      </c>
      <c r="EW80" s="366" t="s">
        <v>287</v>
      </c>
      <c r="EX80" s="478">
        <v>17690</v>
      </c>
      <c r="EY80" s="366" t="s">
        <v>287</v>
      </c>
      <c r="EZ80" s="478">
        <v>17240</v>
      </c>
      <c r="FA80" s="445" t="s">
        <v>287</v>
      </c>
      <c r="FB80" s="249">
        <v>8655</v>
      </c>
      <c r="FC80" s="249">
        <v>345</v>
      </c>
      <c r="FD80" s="249">
        <v>8310</v>
      </c>
      <c r="FE80" s="364" t="s">
        <v>287</v>
      </c>
      <c r="FF80" s="249">
        <v>3498</v>
      </c>
      <c r="FG80" s="249">
        <v>4605</v>
      </c>
      <c r="FH80" s="364" t="s">
        <v>287</v>
      </c>
      <c r="FI80" s="364" t="s">
        <v>287</v>
      </c>
      <c r="FJ80" s="364" t="s">
        <v>287</v>
      </c>
      <c r="FK80" s="364" t="s">
        <v>287</v>
      </c>
      <c r="FL80" s="364" t="s">
        <v>287</v>
      </c>
      <c r="FM80" s="499" t="s">
        <v>287</v>
      </c>
      <c r="FN80" s="536">
        <v>7801</v>
      </c>
      <c r="FO80" s="536">
        <v>3156</v>
      </c>
      <c r="FP80" s="536">
        <v>1238</v>
      </c>
      <c r="FQ80" s="536">
        <v>4394</v>
      </c>
      <c r="FR80" s="366" t="s">
        <v>287</v>
      </c>
      <c r="FS80" s="366" t="s">
        <v>287</v>
      </c>
      <c r="FT80" s="366" t="s">
        <v>287</v>
      </c>
      <c r="FU80" s="366" t="s">
        <v>287</v>
      </c>
      <c r="FV80" s="366" t="s">
        <v>287</v>
      </c>
      <c r="FW80" s="365" t="s">
        <v>287</v>
      </c>
      <c r="FX80" s="536">
        <v>8573</v>
      </c>
      <c r="FY80" s="536">
        <v>707</v>
      </c>
      <c r="FZ80" s="536">
        <v>7866</v>
      </c>
      <c r="GA80" s="536" t="s">
        <v>287</v>
      </c>
      <c r="GB80" s="536">
        <v>3184</v>
      </c>
      <c r="GC80" s="536">
        <v>1248</v>
      </c>
      <c r="GD80" s="536">
        <v>4432</v>
      </c>
      <c r="GE80" s="366" t="s">
        <v>287</v>
      </c>
      <c r="GF80" s="366" t="s">
        <v>287</v>
      </c>
      <c r="GG80" s="366" t="s">
        <v>287</v>
      </c>
      <c r="GH80" s="366" t="s">
        <v>287</v>
      </c>
      <c r="GI80" s="366" t="s">
        <v>287</v>
      </c>
      <c r="GJ80" s="365" t="s">
        <v>287</v>
      </c>
      <c r="GK80" s="375">
        <v>6842</v>
      </c>
      <c r="GL80" s="375">
        <v>534</v>
      </c>
      <c r="GM80" s="364" t="s">
        <v>287</v>
      </c>
      <c r="GN80" s="364" t="s">
        <v>287</v>
      </c>
      <c r="GO80" s="364" t="s">
        <v>287</v>
      </c>
      <c r="GP80" s="507" t="s">
        <v>287</v>
      </c>
      <c r="GQ80" s="375">
        <v>7515</v>
      </c>
      <c r="GR80" s="375">
        <v>599</v>
      </c>
      <c r="GS80" s="364" t="s">
        <v>287</v>
      </c>
      <c r="GT80" s="364" t="s">
        <v>287</v>
      </c>
      <c r="GU80" s="364" t="s">
        <v>287</v>
      </c>
      <c r="GV80" s="506" t="s">
        <v>287</v>
      </c>
      <c r="GW80" s="375">
        <v>6743</v>
      </c>
      <c r="GX80" s="375">
        <v>525</v>
      </c>
      <c r="GY80" s="375" t="s">
        <v>287</v>
      </c>
      <c r="GZ80" s="375" t="s">
        <v>287</v>
      </c>
      <c r="HA80" s="375" t="s">
        <v>287</v>
      </c>
      <c r="HB80" s="506" t="s">
        <v>287</v>
      </c>
      <c r="HC80" s="375">
        <v>7841</v>
      </c>
      <c r="HD80" s="375">
        <v>666</v>
      </c>
      <c r="HE80" s="364" t="s">
        <v>287</v>
      </c>
      <c r="HF80" s="364" t="s">
        <v>287</v>
      </c>
      <c r="HG80" s="364" t="s">
        <v>287</v>
      </c>
      <c r="HH80" s="506" t="s">
        <v>287</v>
      </c>
      <c r="HI80" s="249">
        <v>5479</v>
      </c>
      <c r="HJ80" s="249">
        <v>462</v>
      </c>
      <c r="HK80" s="375" t="s">
        <v>287</v>
      </c>
      <c r="HL80" s="375" t="s">
        <v>287</v>
      </c>
      <c r="HM80" s="375" t="s">
        <v>287</v>
      </c>
      <c r="HN80" s="508" t="s">
        <v>287</v>
      </c>
      <c r="HO80" s="376">
        <f>SUM(HO49:HO60)</f>
        <v>8065</v>
      </c>
      <c r="HP80" s="376">
        <f>SUM(HP49:HP60)</f>
        <v>584</v>
      </c>
      <c r="HQ80" s="366" t="s">
        <v>287</v>
      </c>
      <c r="HR80" s="376" t="s">
        <v>287</v>
      </c>
      <c r="HS80" s="376" t="s">
        <v>287</v>
      </c>
      <c r="HT80" s="512" t="s">
        <v>287</v>
      </c>
      <c r="HU80" s="249">
        <v>6911</v>
      </c>
      <c r="HV80" s="249">
        <v>1099</v>
      </c>
      <c r="HW80" s="364" t="s">
        <v>287</v>
      </c>
      <c r="HX80" s="364" t="s">
        <v>287</v>
      </c>
      <c r="HY80" s="364" t="s">
        <v>287</v>
      </c>
      <c r="HZ80" s="375" t="s">
        <v>287</v>
      </c>
      <c r="IA80" s="249">
        <v>6888</v>
      </c>
      <c r="IB80" s="249">
        <v>1096</v>
      </c>
      <c r="IC80" s="364" t="s">
        <v>287</v>
      </c>
      <c r="ID80" s="364" t="s">
        <v>287</v>
      </c>
      <c r="IE80" s="364" t="s">
        <v>287</v>
      </c>
      <c r="IF80" s="375" t="s">
        <v>287</v>
      </c>
      <c r="IG80" s="249">
        <v>6812</v>
      </c>
      <c r="IH80" s="249">
        <v>1062</v>
      </c>
      <c r="II80" s="375" t="s">
        <v>287</v>
      </c>
      <c r="IJ80" s="375" t="s">
        <v>287</v>
      </c>
      <c r="IK80" s="375" t="s">
        <v>287</v>
      </c>
      <c r="IL80" s="375" t="s">
        <v>287</v>
      </c>
      <c r="IM80" s="249">
        <v>6666</v>
      </c>
      <c r="IN80" s="249">
        <v>979</v>
      </c>
      <c r="IO80" s="375" t="s">
        <v>287</v>
      </c>
      <c r="IP80" s="375" t="s">
        <v>287</v>
      </c>
      <c r="IQ80" s="375" t="s">
        <v>287</v>
      </c>
      <c r="IR80" s="375" t="s">
        <v>287</v>
      </c>
      <c r="IS80" s="249">
        <v>7146</v>
      </c>
      <c r="IT80" s="249">
        <v>1146</v>
      </c>
      <c r="IU80" s="375" t="s">
        <v>287</v>
      </c>
      <c r="IV80" s="375" t="s">
        <v>287</v>
      </c>
      <c r="IW80" s="375" t="s">
        <v>287</v>
      </c>
      <c r="IX80" s="508" t="s">
        <v>287</v>
      </c>
      <c r="IY80" s="376">
        <v>7307</v>
      </c>
      <c r="IZ80" s="376">
        <v>1165</v>
      </c>
      <c r="JA80" s="376" t="s">
        <v>287</v>
      </c>
      <c r="JB80" s="376" t="s">
        <v>287</v>
      </c>
      <c r="JC80" s="376" t="s">
        <v>287</v>
      </c>
      <c r="JD80" s="512" t="s">
        <v>287</v>
      </c>
      <c r="JE80" s="249">
        <v>9112</v>
      </c>
      <c r="JF80" s="249">
        <v>4808</v>
      </c>
      <c r="JG80" s="375" t="s">
        <v>287</v>
      </c>
      <c r="JH80" s="375" t="s">
        <v>287</v>
      </c>
      <c r="JI80" s="375" t="s">
        <v>287</v>
      </c>
      <c r="JJ80" s="249">
        <v>9112</v>
      </c>
      <c r="JK80" s="375" t="s">
        <v>287</v>
      </c>
      <c r="JL80" s="375" t="s">
        <v>287</v>
      </c>
      <c r="JM80" s="375" t="s">
        <v>287</v>
      </c>
      <c r="JN80" s="375" t="s">
        <v>287</v>
      </c>
      <c r="JO80" s="249">
        <v>9254</v>
      </c>
      <c r="JP80" s="249">
        <v>5465</v>
      </c>
      <c r="JQ80" s="375" t="s">
        <v>287</v>
      </c>
      <c r="JR80" s="375" t="s">
        <v>287</v>
      </c>
      <c r="JS80" s="375" t="s">
        <v>287</v>
      </c>
      <c r="JT80" s="249">
        <v>9254</v>
      </c>
      <c r="JU80" s="375" t="s">
        <v>287</v>
      </c>
      <c r="JV80" s="375" t="s">
        <v>287</v>
      </c>
      <c r="JW80" s="375" t="s">
        <v>287</v>
      </c>
      <c r="JX80" s="375" t="s">
        <v>287</v>
      </c>
      <c r="JY80" s="519">
        <v>9476</v>
      </c>
      <c r="JZ80" s="555">
        <v>6051</v>
      </c>
      <c r="KA80" s="375" t="s">
        <v>287</v>
      </c>
      <c r="KB80" s="375" t="s">
        <v>287</v>
      </c>
      <c r="KC80" s="375" t="s">
        <v>287</v>
      </c>
      <c r="KD80" s="375" t="s">
        <v>287</v>
      </c>
      <c r="KE80" s="375" t="s">
        <v>287</v>
      </c>
      <c r="KF80" s="375" t="s">
        <v>287</v>
      </c>
      <c r="KG80" s="445" t="s">
        <v>287</v>
      </c>
      <c r="KH80" s="364" t="s">
        <v>287</v>
      </c>
      <c r="KI80" s="364" t="s">
        <v>287</v>
      </c>
      <c r="KJ80" s="364" t="s">
        <v>287</v>
      </c>
      <c r="KK80" s="364" t="s">
        <v>287</v>
      </c>
      <c r="KL80" s="364" t="s">
        <v>287</v>
      </c>
      <c r="KM80" s="364" t="s">
        <v>287</v>
      </c>
      <c r="KN80" s="364" t="s">
        <v>287</v>
      </c>
      <c r="KO80" s="364" t="s">
        <v>287</v>
      </c>
      <c r="KP80" s="364" t="s">
        <v>287</v>
      </c>
      <c r="KQ80" s="364" t="s">
        <v>287</v>
      </c>
      <c r="KR80" s="364" t="s">
        <v>287</v>
      </c>
      <c r="KS80" s="364" t="s">
        <v>287</v>
      </c>
      <c r="KT80" s="364" t="s">
        <v>287</v>
      </c>
      <c r="KU80" s="364" t="s">
        <v>287</v>
      </c>
      <c r="KV80" s="364" t="s">
        <v>287</v>
      </c>
      <c r="KW80" s="365" t="s">
        <v>287</v>
      </c>
      <c r="KX80" s="536"/>
      <c r="KY80" s="536"/>
      <c r="KZ80" s="366"/>
      <c r="LA80" s="366"/>
      <c r="LB80" s="366"/>
      <c r="LC80" s="536"/>
      <c r="LD80" s="536"/>
      <c r="LE80" s="366"/>
      <c r="LF80" s="366"/>
      <c r="LG80" s="366"/>
      <c r="LH80" s="536"/>
      <c r="LI80" s="536"/>
      <c r="LJ80" s="366"/>
      <c r="LK80" s="366"/>
      <c r="LL80" s="366"/>
      <c r="LM80" s="536"/>
      <c r="LN80" s="536"/>
      <c r="LO80" s="366"/>
      <c r="LP80" s="366"/>
      <c r="LQ80" s="365"/>
      <c r="LR80" s="243">
        <v>2363</v>
      </c>
      <c r="LS80" s="243">
        <v>2265</v>
      </c>
      <c r="LT80" s="243">
        <v>2269</v>
      </c>
      <c r="LU80" s="243">
        <v>2313</v>
      </c>
      <c r="LV80" s="243">
        <v>2279</v>
      </c>
      <c r="LW80" s="243">
        <v>2336</v>
      </c>
      <c r="LX80" s="243">
        <v>2213</v>
      </c>
      <c r="LY80" s="243">
        <v>2225</v>
      </c>
      <c r="LZ80" s="243">
        <v>2201</v>
      </c>
      <c r="MA80" s="243">
        <v>2233</v>
      </c>
      <c r="MB80" s="243">
        <v>2264</v>
      </c>
      <c r="MC80" s="243">
        <v>2204</v>
      </c>
      <c r="MD80" s="243">
        <v>2266</v>
      </c>
      <c r="ME80" s="243">
        <v>2498</v>
      </c>
      <c r="MF80" s="243">
        <v>2331</v>
      </c>
      <c r="MG80" s="243">
        <v>2283</v>
      </c>
      <c r="MH80" s="243">
        <v>2222</v>
      </c>
      <c r="MI80" s="243">
        <v>2288</v>
      </c>
      <c r="MJ80" s="243">
        <v>2326</v>
      </c>
      <c r="MK80" s="243">
        <v>2214</v>
      </c>
      <c r="ML80" s="243">
        <v>2351</v>
      </c>
      <c r="MM80" s="243">
        <v>2265</v>
      </c>
      <c r="MN80" s="244">
        <v>2347</v>
      </c>
      <c r="MO80" s="249">
        <v>8826</v>
      </c>
      <c r="MP80" s="375" t="s">
        <v>287</v>
      </c>
      <c r="MQ80" s="375" t="s">
        <v>287</v>
      </c>
      <c r="MR80" s="375" t="s">
        <v>287</v>
      </c>
      <c r="MS80" s="249">
        <v>8393</v>
      </c>
      <c r="MT80" s="249">
        <v>74</v>
      </c>
      <c r="MU80" s="249">
        <v>8384</v>
      </c>
      <c r="MV80" s="249">
        <v>9062</v>
      </c>
      <c r="MW80" s="375" t="s">
        <v>287</v>
      </c>
      <c r="MX80" s="375" t="s">
        <v>287</v>
      </c>
      <c r="MY80" s="375" t="s">
        <v>287</v>
      </c>
      <c r="MZ80" s="375" t="s">
        <v>287</v>
      </c>
      <c r="NA80" s="375" t="s">
        <v>287</v>
      </c>
      <c r="NB80" s="249">
        <v>8778</v>
      </c>
      <c r="NC80" s="249">
        <v>8461</v>
      </c>
      <c r="ND80" s="249">
        <v>8673</v>
      </c>
      <c r="NE80" s="249">
        <v>8497</v>
      </c>
      <c r="NF80" s="249">
        <v>8476</v>
      </c>
      <c r="NG80" s="249">
        <v>9784</v>
      </c>
      <c r="NH80" s="375" t="s">
        <v>287</v>
      </c>
      <c r="NI80" s="375" t="s">
        <v>287</v>
      </c>
      <c r="NJ80" s="375" t="s">
        <v>287</v>
      </c>
      <c r="NK80" s="375" t="s">
        <v>287</v>
      </c>
      <c r="NL80" s="375" t="s">
        <v>287</v>
      </c>
      <c r="NM80" s="375" t="s">
        <v>287</v>
      </c>
      <c r="NN80" s="375" t="s">
        <v>287</v>
      </c>
      <c r="NO80" s="375" t="s">
        <v>287</v>
      </c>
      <c r="NP80" s="375" t="s">
        <v>287</v>
      </c>
      <c r="NQ80" s="375" t="s">
        <v>287</v>
      </c>
      <c r="NR80" s="249">
        <v>9409</v>
      </c>
      <c r="NS80" s="249">
        <v>8991</v>
      </c>
      <c r="NT80" s="249">
        <v>9408</v>
      </c>
      <c r="NU80" s="249">
        <v>9386</v>
      </c>
      <c r="NV80" s="249">
        <v>9336</v>
      </c>
      <c r="NW80" s="249">
        <v>8577</v>
      </c>
      <c r="NX80" s="249">
        <v>9218</v>
      </c>
      <c r="NY80" s="249">
        <v>8991</v>
      </c>
      <c r="NZ80" s="249">
        <v>9370</v>
      </c>
      <c r="OA80" s="244">
        <v>8970</v>
      </c>
    </row>
    <row r="81" spans="1:391" s="249" customFormat="1" ht="12.75" x14ac:dyDescent="0.2">
      <c r="A81" s="243" t="s">
        <v>87</v>
      </c>
      <c r="B81" s="244"/>
      <c r="C81" s="243" t="s">
        <v>474</v>
      </c>
      <c r="D81" s="243" t="s">
        <v>474</v>
      </c>
      <c r="E81" s="243" t="s">
        <v>474</v>
      </c>
      <c r="F81" s="243" t="s">
        <v>474</v>
      </c>
      <c r="G81" s="243" t="s">
        <v>474</v>
      </c>
      <c r="H81" s="243" t="s">
        <v>474</v>
      </c>
      <c r="I81" s="243" t="s">
        <v>474</v>
      </c>
      <c r="J81" s="243" t="s">
        <v>474</v>
      </c>
      <c r="K81" s="243" t="s">
        <v>474</v>
      </c>
      <c r="L81" s="243" t="s">
        <v>474</v>
      </c>
      <c r="M81" s="243" t="s">
        <v>474</v>
      </c>
      <c r="N81" s="243" t="s">
        <v>474</v>
      </c>
      <c r="O81" s="376" t="s">
        <v>474</v>
      </c>
      <c r="P81" s="376" t="s">
        <v>474</v>
      </c>
      <c r="Q81" s="376" t="s">
        <v>474</v>
      </c>
      <c r="R81" s="376" t="s">
        <v>474</v>
      </c>
      <c r="S81" s="376" t="s">
        <v>474</v>
      </c>
      <c r="T81" s="245">
        <v>770800</v>
      </c>
      <c r="U81" s="246">
        <v>777400</v>
      </c>
      <c r="V81" s="246">
        <v>784300</v>
      </c>
      <c r="W81" s="246">
        <v>791000</v>
      </c>
      <c r="X81" s="246">
        <v>796000</v>
      </c>
      <c r="Y81" s="246">
        <v>803200</v>
      </c>
      <c r="Z81" s="246">
        <v>808900</v>
      </c>
      <c r="AA81" s="246">
        <v>815200</v>
      </c>
      <c r="AB81" s="246">
        <v>821400</v>
      </c>
      <c r="AC81" s="247">
        <v>828400</v>
      </c>
      <c r="AD81" s="245">
        <v>40800</v>
      </c>
      <c r="AE81" s="246">
        <v>41300</v>
      </c>
      <c r="AF81" s="246">
        <v>42700</v>
      </c>
      <c r="AG81" s="246">
        <v>43700</v>
      </c>
      <c r="AH81" s="246">
        <v>44400</v>
      </c>
      <c r="AI81" s="246">
        <v>45500</v>
      </c>
      <c r="AJ81" s="246">
        <v>46500</v>
      </c>
      <c r="AK81" s="246">
        <v>47600</v>
      </c>
      <c r="AL81" s="246">
        <v>48000</v>
      </c>
      <c r="AM81" s="247">
        <v>47981</v>
      </c>
      <c r="AN81" s="248">
        <v>46486</v>
      </c>
      <c r="AO81" s="249">
        <v>38843</v>
      </c>
      <c r="AP81" s="249">
        <v>2069</v>
      </c>
      <c r="AQ81" s="249">
        <v>2203</v>
      </c>
      <c r="AR81" s="249">
        <v>2550</v>
      </c>
      <c r="AS81" s="249">
        <v>601</v>
      </c>
      <c r="AT81" s="249">
        <v>220</v>
      </c>
      <c r="AU81" s="243">
        <v>7643</v>
      </c>
      <c r="AV81" s="461" t="s">
        <v>474</v>
      </c>
      <c r="AW81" s="462" t="s">
        <v>474</v>
      </c>
      <c r="AX81" s="462" t="s">
        <v>474</v>
      </c>
      <c r="AY81" s="462" t="s">
        <v>474</v>
      </c>
      <c r="AZ81" s="462" t="s">
        <v>474</v>
      </c>
      <c r="BA81" s="462" t="s">
        <v>474</v>
      </c>
      <c r="BB81" s="463" t="s">
        <v>474</v>
      </c>
      <c r="BC81" s="251">
        <v>117072</v>
      </c>
      <c r="BD81" s="252">
        <v>113395</v>
      </c>
      <c r="BE81" s="252">
        <v>3677</v>
      </c>
      <c r="BF81" s="252">
        <v>3091</v>
      </c>
      <c r="BG81" s="252">
        <v>586</v>
      </c>
      <c r="BH81" s="250">
        <v>0.84765263627834564</v>
      </c>
      <c r="BI81" s="250">
        <v>0.15234736372165422</v>
      </c>
      <c r="BJ81" s="245">
        <v>89522</v>
      </c>
      <c r="BK81" s="253">
        <v>0.61831279435714492</v>
      </c>
      <c r="BL81" s="253">
        <v>0.17394355200860348</v>
      </c>
      <c r="BM81" s="254">
        <v>0.20774365363425154</v>
      </c>
      <c r="BN81" s="245">
        <v>233754</v>
      </c>
      <c r="BO81" s="246">
        <v>14471</v>
      </c>
      <c r="BP81" s="246">
        <v>14675</v>
      </c>
      <c r="BQ81" s="246">
        <v>7032</v>
      </c>
      <c r="BR81" s="246">
        <v>163825</v>
      </c>
      <c r="BS81" s="246">
        <v>92663</v>
      </c>
      <c r="BT81" s="376" t="s">
        <v>287</v>
      </c>
      <c r="BU81" s="245">
        <v>55058</v>
      </c>
      <c r="BV81" s="246">
        <v>53</v>
      </c>
      <c r="BW81" s="246">
        <v>12250</v>
      </c>
      <c r="BX81" s="246">
        <v>18695</v>
      </c>
      <c r="BY81" s="246">
        <v>7042</v>
      </c>
      <c r="BZ81" s="255">
        <v>93098</v>
      </c>
      <c r="CA81" s="246">
        <v>36414</v>
      </c>
      <c r="CB81" s="246">
        <v>30468</v>
      </c>
      <c r="CC81" s="246">
        <v>5856</v>
      </c>
      <c r="CD81" s="246">
        <v>5946</v>
      </c>
      <c r="CE81" s="364" t="s">
        <v>287</v>
      </c>
      <c r="CF81" s="365" t="s">
        <v>287</v>
      </c>
      <c r="CG81" s="246">
        <v>5395</v>
      </c>
      <c r="CH81" s="246">
        <v>4895</v>
      </c>
      <c r="CI81" s="246">
        <v>4255</v>
      </c>
      <c r="CJ81" s="246">
        <v>4135</v>
      </c>
      <c r="CK81" s="247">
        <v>3900</v>
      </c>
      <c r="CL81" s="245">
        <v>18637</v>
      </c>
      <c r="CM81" s="246">
        <v>6279</v>
      </c>
      <c r="CN81" s="364" t="s">
        <v>287</v>
      </c>
      <c r="CO81" s="255">
        <v>1695</v>
      </c>
      <c r="CP81" s="246">
        <v>8927</v>
      </c>
      <c r="CQ81" s="246">
        <v>9024</v>
      </c>
      <c r="CR81" s="246">
        <v>9198</v>
      </c>
      <c r="CS81" s="246">
        <v>9207</v>
      </c>
      <c r="CT81" s="246">
        <v>8835</v>
      </c>
      <c r="CU81" s="257">
        <v>8719</v>
      </c>
      <c r="CV81" s="246">
        <v>456</v>
      </c>
      <c r="CW81" s="246">
        <v>399</v>
      </c>
      <c r="CX81" s="246">
        <v>367</v>
      </c>
      <c r="CY81" s="246">
        <v>345</v>
      </c>
      <c r="CZ81" s="246">
        <v>331</v>
      </c>
      <c r="DA81" s="256" t="s">
        <v>474</v>
      </c>
      <c r="DB81" s="469" t="s">
        <v>474</v>
      </c>
      <c r="DC81" s="248">
        <v>560</v>
      </c>
      <c r="DD81" s="375" t="s">
        <v>287</v>
      </c>
      <c r="DE81" s="375" t="s">
        <v>287</v>
      </c>
      <c r="DF81" s="376" t="s">
        <v>287</v>
      </c>
      <c r="DG81" s="248">
        <v>853</v>
      </c>
      <c r="DH81" s="376" t="s">
        <v>287</v>
      </c>
      <c r="DI81" s="474" t="s">
        <v>287</v>
      </c>
      <c r="DJ81" s="475" t="s">
        <v>287</v>
      </c>
      <c r="DK81" s="249">
        <v>12972</v>
      </c>
      <c r="DL81" s="376" t="s">
        <v>287</v>
      </c>
      <c r="DM81" s="15">
        <v>7205</v>
      </c>
      <c r="DN81" s="3">
        <v>7205</v>
      </c>
      <c r="DO81" s="3">
        <v>7270</v>
      </c>
      <c r="DP81" s="3">
        <v>6780</v>
      </c>
      <c r="DQ81" s="11">
        <v>6200</v>
      </c>
      <c r="DR81" s="469">
        <v>6110</v>
      </c>
      <c r="DS81" s="364" t="s">
        <v>287</v>
      </c>
      <c r="DT81" s="364" t="s">
        <v>287</v>
      </c>
      <c r="DU81" s="364" t="s">
        <v>287</v>
      </c>
      <c r="DV81" s="375">
        <v>6910</v>
      </c>
      <c r="DW81" s="364" t="s">
        <v>287</v>
      </c>
      <c r="DX81" s="364" t="s">
        <v>287</v>
      </c>
      <c r="DY81" s="364" t="s">
        <v>287</v>
      </c>
      <c r="DZ81" s="375">
        <v>6945</v>
      </c>
      <c r="EA81" s="364" t="s">
        <v>287</v>
      </c>
      <c r="EB81" s="364" t="s">
        <v>287</v>
      </c>
      <c r="EC81" s="364" t="s">
        <v>287</v>
      </c>
      <c r="ED81" s="375">
        <v>7050</v>
      </c>
      <c r="EE81" s="364" t="s">
        <v>287</v>
      </c>
      <c r="EF81" s="364" t="s">
        <v>287</v>
      </c>
      <c r="EG81" s="364" t="s">
        <v>287</v>
      </c>
      <c r="EH81" s="375">
        <v>6695</v>
      </c>
      <c r="EI81" s="366" t="s">
        <v>287</v>
      </c>
      <c r="EJ81" s="366" t="s">
        <v>287</v>
      </c>
      <c r="EK81" s="366" t="s">
        <v>287</v>
      </c>
      <c r="EL81" s="478">
        <v>6530</v>
      </c>
      <c r="EM81" s="366" t="s">
        <v>287</v>
      </c>
      <c r="EN81" s="366" t="s">
        <v>287</v>
      </c>
      <c r="EO81" s="366" t="s">
        <v>287</v>
      </c>
      <c r="EP81" s="479">
        <v>18455</v>
      </c>
      <c r="EQ81" s="366" t="s">
        <v>287</v>
      </c>
      <c r="ER81" s="478">
        <v>19930</v>
      </c>
      <c r="ES81" s="366" t="s">
        <v>287</v>
      </c>
      <c r="ET81" s="478">
        <v>19295</v>
      </c>
      <c r="EU81" s="366" t="s">
        <v>287</v>
      </c>
      <c r="EV81" s="478">
        <v>19065</v>
      </c>
      <c r="EW81" s="366" t="s">
        <v>287</v>
      </c>
      <c r="EX81" s="478">
        <v>17690</v>
      </c>
      <c r="EY81" s="366" t="s">
        <v>287</v>
      </c>
      <c r="EZ81" s="478">
        <v>17240</v>
      </c>
      <c r="FA81" s="445" t="s">
        <v>287</v>
      </c>
      <c r="FB81" s="249">
        <v>8655</v>
      </c>
      <c r="FC81" s="249">
        <v>345</v>
      </c>
      <c r="FD81" s="249">
        <v>8293</v>
      </c>
      <c r="FE81" s="364" t="s">
        <v>287</v>
      </c>
      <c r="FF81" s="249">
        <v>3498</v>
      </c>
      <c r="FG81" s="249">
        <v>4605</v>
      </c>
      <c r="FH81" s="364" t="s">
        <v>287</v>
      </c>
      <c r="FI81" s="364" t="s">
        <v>287</v>
      </c>
      <c r="FJ81" s="364" t="s">
        <v>287</v>
      </c>
      <c r="FK81" s="364" t="s">
        <v>287</v>
      </c>
      <c r="FL81" s="364" t="s">
        <v>287</v>
      </c>
      <c r="FM81" s="499" t="s">
        <v>287</v>
      </c>
      <c r="FN81" s="536">
        <v>7801</v>
      </c>
      <c r="FO81" s="536">
        <v>3156</v>
      </c>
      <c r="FP81" s="536">
        <v>1238</v>
      </c>
      <c r="FQ81" s="536">
        <v>4394</v>
      </c>
      <c r="FR81" s="366" t="s">
        <v>287</v>
      </c>
      <c r="FS81" s="366" t="s">
        <v>287</v>
      </c>
      <c r="FT81" s="366" t="s">
        <v>287</v>
      </c>
      <c r="FU81" s="366" t="s">
        <v>287</v>
      </c>
      <c r="FV81" s="366" t="s">
        <v>287</v>
      </c>
      <c r="FW81" s="365" t="s">
        <v>287</v>
      </c>
      <c r="FX81" s="536"/>
      <c r="FY81" s="530"/>
      <c r="FZ81" s="530"/>
      <c r="GA81" s="366" t="s">
        <v>287</v>
      </c>
      <c r="GB81" s="530"/>
      <c r="GC81" s="530"/>
      <c r="GD81" s="530"/>
      <c r="GE81" s="366" t="s">
        <v>287</v>
      </c>
      <c r="GF81" s="366" t="s">
        <v>287</v>
      </c>
      <c r="GG81" s="366" t="s">
        <v>287</v>
      </c>
      <c r="GH81" s="366" t="s">
        <v>287</v>
      </c>
      <c r="GI81" s="366" t="s">
        <v>287</v>
      </c>
      <c r="GJ81" s="365" t="s">
        <v>287</v>
      </c>
      <c r="GK81" s="375">
        <v>6935</v>
      </c>
      <c r="GL81" s="484">
        <v>539.27</v>
      </c>
      <c r="GM81" s="364" t="s">
        <v>287</v>
      </c>
      <c r="GN81" s="364" t="s">
        <v>287</v>
      </c>
      <c r="GO81" s="364" t="s">
        <v>287</v>
      </c>
      <c r="GP81" s="507" t="s">
        <v>287</v>
      </c>
      <c r="GQ81" s="375">
        <v>7601</v>
      </c>
      <c r="GR81" s="484">
        <v>620.03000000000009</v>
      </c>
      <c r="GS81" s="364" t="s">
        <v>287</v>
      </c>
      <c r="GT81" s="364" t="s">
        <v>287</v>
      </c>
      <c r="GU81" s="364" t="s">
        <v>287</v>
      </c>
      <c r="GV81" s="507" t="s">
        <v>287</v>
      </c>
      <c r="GW81" s="375">
        <v>6858</v>
      </c>
      <c r="GX81" s="484">
        <v>539.65</v>
      </c>
      <c r="GY81" s="364" t="s">
        <v>287</v>
      </c>
      <c r="GZ81" s="364" t="s">
        <v>287</v>
      </c>
      <c r="HA81" s="364" t="s">
        <v>287</v>
      </c>
      <c r="HB81" s="507" t="s">
        <v>287</v>
      </c>
      <c r="HC81" s="375">
        <v>7939</v>
      </c>
      <c r="HD81" s="484">
        <v>678.39200000000005</v>
      </c>
      <c r="HE81" s="364" t="s">
        <v>287</v>
      </c>
      <c r="HF81" s="364" t="s">
        <v>287</v>
      </c>
      <c r="HG81" s="364" t="s">
        <v>287</v>
      </c>
      <c r="HH81" s="507" t="s">
        <v>287</v>
      </c>
      <c r="HI81" s="249">
        <v>5584</v>
      </c>
      <c r="HJ81" s="480">
        <v>474.99825699999997</v>
      </c>
      <c r="HK81" s="376" t="s">
        <v>287</v>
      </c>
      <c r="HL81" s="376" t="s">
        <v>287</v>
      </c>
      <c r="HM81" s="376" t="s">
        <v>287</v>
      </c>
      <c r="HN81" s="508" t="s">
        <v>287</v>
      </c>
      <c r="HO81" s="376">
        <f>SUM(HO61:HO67)</f>
        <v>8184</v>
      </c>
      <c r="HP81" s="376">
        <f>SUM(HP61:HP67)</f>
        <v>593.99999999999966</v>
      </c>
      <c r="HQ81" s="366" t="s">
        <v>287</v>
      </c>
      <c r="HR81" s="376" t="s">
        <v>287</v>
      </c>
      <c r="HS81" s="376" t="s">
        <v>287</v>
      </c>
      <c r="HT81" s="512" t="s">
        <v>287</v>
      </c>
      <c r="HU81" s="249">
        <v>7034</v>
      </c>
      <c r="HV81" s="480">
        <v>1106.2159999999999</v>
      </c>
      <c r="HW81" s="364" t="s">
        <v>287</v>
      </c>
      <c r="HX81" s="364" t="s">
        <v>287</v>
      </c>
      <c r="HY81" s="364" t="s">
        <v>287</v>
      </c>
      <c r="HZ81" s="485" t="s">
        <v>287</v>
      </c>
      <c r="IA81" s="243">
        <v>7004</v>
      </c>
      <c r="IB81" s="480">
        <v>1112.1129999999998</v>
      </c>
      <c r="IC81" s="364" t="s">
        <v>287</v>
      </c>
      <c r="ID81" s="364" t="s">
        <v>287</v>
      </c>
      <c r="IE81" s="364" t="s">
        <v>287</v>
      </c>
      <c r="IF81" s="485" t="s">
        <v>287</v>
      </c>
      <c r="IG81" s="243">
        <v>6928</v>
      </c>
      <c r="IH81" s="480">
        <v>1078.3809999999999</v>
      </c>
      <c r="II81" s="375" t="s">
        <v>287</v>
      </c>
      <c r="IJ81" s="375" t="s">
        <v>287</v>
      </c>
      <c r="IK81" s="375" t="s">
        <v>287</v>
      </c>
      <c r="IL81" s="375" t="s">
        <v>287</v>
      </c>
      <c r="IM81" s="243">
        <v>6804</v>
      </c>
      <c r="IN81" s="480">
        <v>997.16</v>
      </c>
      <c r="IO81" s="375" t="s">
        <v>287</v>
      </c>
      <c r="IP81" s="375" t="s">
        <v>287</v>
      </c>
      <c r="IQ81" s="375" t="s">
        <v>287</v>
      </c>
      <c r="IR81" s="375" t="s">
        <v>287</v>
      </c>
      <c r="IS81" s="243">
        <v>7269</v>
      </c>
      <c r="IT81" s="480">
        <v>1162.9990749999999</v>
      </c>
      <c r="IU81" s="375" t="s">
        <v>287</v>
      </c>
      <c r="IV81" s="375" t="s">
        <v>287</v>
      </c>
      <c r="IW81" s="375" t="s">
        <v>287</v>
      </c>
      <c r="IX81" s="508" t="s">
        <v>287</v>
      </c>
      <c r="IY81" s="376">
        <v>7429</v>
      </c>
      <c r="IZ81" s="376">
        <v>2184.0000000000005</v>
      </c>
      <c r="JA81" s="376" t="s">
        <v>287</v>
      </c>
      <c r="JB81" s="376" t="s">
        <v>287</v>
      </c>
      <c r="JC81" s="376" t="s">
        <v>287</v>
      </c>
      <c r="JD81" s="512" t="s">
        <v>287</v>
      </c>
      <c r="JE81" s="249">
        <v>9112</v>
      </c>
      <c r="JF81" s="249">
        <v>4808</v>
      </c>
      <c r="JG81" s="375" t="s">
        <v>287</v>
      </c>
      <c r="JH81" s="375" t="s">
        <v>287</v>
      </c>
      <c r="JI81" s="375" t="s">
        <v>287</v>
      </c>
      <c r="JJ81" s="249">
        <v>9112</v>
      </c>
      <c r="JK81" s="375" t="s">
        <v>287</v>
      </c>
      <c r="JL81" s="375" t="s">
        <v>287</v>
      </c>
      <c r="JM81" s="375" t="s">
        <v>287</v>
      </c>
      <c r="JN81" s="375" t="s">
        <v>287</v>
      </c>
      <c r="JO81" s="249">
        <v>9254</v>
      </c>
      <c r="JP81" s="249">
        <v>5465</v>
      </c>
      <c r="JQ81" s="375" t="s">
        <v>287</v>
      </c>
      <c r="JR81" s="375" t="s">
        <v>287</v>
      </c>
      <c r="JS81" s="375" t="s">
        <v>287</v>
      </c>
      <c r="JT81" s="249">
        <v>9254</v>
      </c>
      <c r="JU81" s="375" t="s">
        <v>287</v>
      </c>
      <c r="JV81" s="375" t="s">
        <v>287</v>
      </c>
      <c r="JW81" s="375" t="s">
        <v>287</v>
      </c>
      <c r="JX81" s="375" t="s">
        <v>287</v>
      </c>
      <c r="JY81" s="556">
        <v>9476</v>
      </c>
      <c r="JZ81" s="556">
        <v>6039</v>
      </c>
      <c r="KA81" s="375" t="s">
        <v>287</v>
      </c>
      <c r="KB81" s="375" t="s">
        <v>287</v>
      </c>
      <c r="KC81" s="375" t="s">
        <v>287</v>
      </c>
      <c r="KD81" s="375" t="s">
        <v>287</v>
      </c>
      <c r="KE81" s="375" t="s">
        <v>287</v>
      </c>
      <c r="KF81" s="375" t="s">
        <v>287</v>
      </c>
      <c r="KG81" s="445" t="s">
        <v>287</v>
      </c>
      <c r="KH81" s="364" t="s">
        <v>287</v>
      </c>
      <c r="KI81" s="364" t="s">
        <v>287</v>
      </c>
      <c r="KJ81" s="364" t="s">
        <v>287</v>
      </c>
      <c r="KK81" s="364" t="s">
        <v>287</v>
      </c>
      <c r="KL81" s="364" t="s">
        <v>287</v>
      </c>
      <c r="KM81" s="364" t="s">
        <v>287</v>
      </c>
      <c r="KN81" s="364" t="s">
        <v>287</v>
      </c>
      <c r="KO81" s="364" t="s">
        <v>287</v>
      </c>
      <c r="KP81" s="364" t="s">
        <v>287</v>
      </c>
      <c r="KQ81" s="364" t="s">
        <v>287</v>
      </c>
      <c r="KR81" s="364" t="s">
        <v>287</v>
      </c>
      <c r="KS81" s="364" t="s">
        <v>287</v>
      </c>
      <c r="KT81" s="364" t="s">
        <v>287</v>
      </c>
      <c r="KU81" s="364" t="s">
        <v>287</v>
      </c>
      <c r="KV81" s="364" t="s">
        <v>287</v>
      </c>
      <c r="KW81" s="365" t="s">
        <v>287</v>
      </c>
      <c r="KX81" s="536"/>
      <c r="KY81" s="536"/>
      <c r="KZ81" s="366"/>
      <c r="LA81" s="366"/>
      <c r="LB81" s="366"/>
      <c r="LC81" s="536"/>
      <c r="LD81" s="536"/>
      <c r="LE81" s="366"/>
      <c r="LF81" s="366"/>
      <c r="LG81" s="366"/>
      <c r="LH81" s="536"/>
      <c r="LI81" s="536"/>
      <c r="LJ81" s="366"/>
      <c r="LK81" s="366"/>
      <c r="LL81" s="366"/>
      <c r="LM81" s="536"/>
      <c r="LN81" s="536"/>
      <c r="LO81" s="366"/>
      <c r="LP81" s="366"/>
      <c r="LQ81" s="365"/>
      <c r="LR81" s="375" t="s">
        <v>287</v>
      </c>
      <c r="LS81" s="375" t="s">
        <v>287</v>
      </c>
      <c r="LT81" s="375" t="s">
        <v>287</v>
      </c>
      <c r="LU81" s="375" t="s">
        <v>287</v>
      </c>
      <c r="LV81" s="375" t="s">
        <v>287</v>
      </c>
      <c r="LW81" s="375" t="s">
        <v>287</v>
      </c>
      <c r="LX81" s="375" t="s">
        <v>287</v>
      </c>
      <c r="LY81" s="375" t="s">
        <v>287</v>
      </c>
      <c r="LZ81" s="375" t="s">
        <v>287</v>
      </c>
      <c r="MA81" s="375" t="s">
        <v>287</v>
      </c>
      <c r="MB81" s="375" t="s">
        <v>287</v>
      </c>
      <c r="MC81" s="375" t="s">
        <v>287</v>
      </c>
      <c r="MD81" s="375" t="s">
        <v>287</v>
      </c>
      <c r="ME81" s="375" t="s">
        <v>287</v>
      </c>
      <c r="MF81" s="375" t="s">
        <v>287</v>
      </c>
      <c r="MG81" s="375" t="s">
        <v>287</v>
      </c>
      <c r="MH81" s="375" t="s">
        <v>287</v>
      </c>
      <c r="MI81" s="375" t="s">
        <v>287</v>
      </c>
      <c r="MJ81" s="375" t="s">
        <v>287</v>
      </c>
      <c r="MK81" s="375" t="s">
        <v>287</v>
      </c>
      <c r="ML81" s="375" t="s">
        <v>287</v>
      </c>
      <c r="MM81" s="375" t="s">
        <v>287</v>
      </c>
      <c r="MN81" s="445" t="s">
        <v>287</v>
      </c>
      <c r="MO81" s="249">
        <v>8826</v>
      </c>
      <c r="MP81" s="375" t="s">
        <v>287</v>
      </c>
      <c r="MQ81" s="375" t="s">
        <v>287</v>
      </c>
      <c r="MR81" s="375" t="s">
        <v>287</v>
      </c>
      <c r="MS81" s="249">
        <v>8393</v>
      </c>
      <c r="MT81" s="249">
        <v>74</v>
      </c>
      <c r="MU81" s="249">
        <v>8384</v>
      </c>
      <c r="MV81" s="249">
        <v>9062</v>
      </c>
      <c r="MW81" s="375" t="s">
        <v>287</v>
      </c>
      <c r="MX81" s="375" t="s">
        <v>287</v>
      </c>
      <c r="MY81" s="375" t="s">
        <v>287</v>
      </c>
      <c r="MZ81" s="375" t="s">
        <v>287</v>
      </c>
      <c r="NA81" s="375" t="s">
        <v>287</v>
      </c>
      <c r="NB81" s="249">
        <v>8778</v>
      </c>
      <c r="NC81" s="249">
        <v>8461</v>
      </c>
      <c r="ND81" s="249">
        <v>8673</v>
      </c>
      <c r="NE81" s="249">
        <v>8497</v>
      </c>
      <c r="NF81" s="249">
        <v>8476</v>
      </c>
      <c r="NG81" s="249">
        <v>9784</v>
      </c>
      <c r="NH81" s="375" t="s">
        <v>287</v>
      </c>
      <c r="NI81" s="375" t="s">
        <v>287</v>
      </c>
      <c r="NJ81" s="375" t="s">
        <v>287</v>
      </c>
      <c r="NK81" s="375" t="s">
        <v>287</v>
      </c>
      <c r="NL81" s="375" t="s">
        <v>287</v>
      </c>
      <c r="NM81" s="375" t="s">
        <v>287</v>
      </c>
      <c r="NN81" s="375" t="s">
        <v>287</v>
      </c>
      <c r="NO81" s="375" t="s">
        <v>287</v>
      </c>
      <c r="NP81" s="375" t="s">
        <v>287</v>
      </c>
      <c r="NQ81" s="375" t="s">
        <v>287</v>
      </c>
      <c r="NR81" s="249">
        <v>9409</v>
      </c>
      <c r="NS81" s="249">
        <v>8991</v>
      </c>
      <c r="NT81" s="249">
        <v>9408</v>
      </c>
      <c r="NU81" s="249">
        <v>9386</v>
      </c>
      <c r="NV81" s="249">
        <v>9336</v>
      </c>
      <c r="NW81" s="249">
        <v>8577</v>
      </c>
      <c r="NX81" s="249">
        <v>9218</v>
      </c>
      <c r="NY81" s="249">
        <v>8991</v>
      </c>
      <c r="NZ81" s="249">
        <v>9370</v>
      </c>
      <c r="OA81" s="244">
        <v>8970</v>
      </c>
    </row>
    <row r="82" spans="1:391" s="243" customFormat="1" ht="12.75" x14ac:dyDescent="0.2">
      <c r="A82" s="243" t="s">
        <v>88</v>
      </c>
      <c r="C82" s="243" t="s">
        <v>474</v>
      </c>
      <c r="D82" s="243" t="s">
        <v>474</v>
      </c>
      <c r="E82" s="243" t="s">
        <v>474</v>
      </c>
      <c r="F82" s="243" t="s">
        <v>474</v>
      </c>
      <c r="G82" s="243" t="s">
        <v>474</v>
      </c>
      <c r="H82" s="243" t="s">
        <v>474</v>
      </c>
      <c r="I82" s="243" t="s">
        <v>474</v>
      </c>
      <c r="J82" s="243" t="s">
        <v>474</v>
      </c>
      <c r="K82" s="243" t="s">
        <v>474</v>
      </c>
      <c r="L82" s="243" t="s">
        <v>474</v>
      </c>
      <c r="M82" s="243" t="s">
        <v>474</v>
      </c>
      <c r="N82" s="243" t="s">
        <v>474</v>
      </c>
      <c r="O82" s="376" t="s">
        <v>474</v>
      </c>
      <c r="P82" s="376" t="s">
        <v>474</v>
      </c>
      <c r="Q82" s="376" t="s">
        <v>474</v>
      </c>
      <c r="R82" s="376" t="s">
        <v>474</v>
      </c>
      <c r="S82" s="376" t="s">
        <v>474</v>
      </c>
      <c r="T82" s="245">
        <v>770800</v>
      </c>
      <c r="U82" s="247">
        <v>777400</v>
      </c>
      <c r="V82" s="247">
        <v>784300</v>
      </c>
      <c r="W82" s="247">
        <v>791000</v>
      </c>
      <c r="X82" s="247">
        <v>796050</v>
      </c>
      <c r="Y82" s="247">
        <v>803200</v>
      </c>
      <c r="Z82" s="247">
        <v>808950</v>
      </c>
      <c r="AA82" s="247">
        <v>815150</v>
      </c>
      <c r="AB82" s="247">
        <v>821300</v>
      </c>
      <c r="AC82" s="247">
        <v>828400</v>
      </c>
      <c r="AD82" s="245">
        <v>40750</v>
      </c>
      <c r="AE82" s="247">
        <v>41300</v>
      </c>
      <c r="AF82" s="247">
        <v>42600</v>
      </c>
      <c r="AG82" s="247">
        <v>43650</v>
      </c>
      <c r="AH82" s="247">
        <v>44450</v>
      </c>
      <c r="AI82" s="247">
        <v>45700</v>
      </c>
      <c r="AJ82" s="247">
        <v>46700</v>
      </c>
      <c r="AK82" s="247">
        <v>47650</v>
      </c>
      <c r="AL82" s="247">
        <v>47850</v>
      </c>
      <c r="AM82" s="255">
        <v>47981</v>
      </c>
      <c r="AN82" s="248">
        <v>46486</v>
      </c>
      <c r="AO82" s="243">
        <v>38843</v>
      </c>
      <c r="AP82" s="243">
        <v>2069</v>
      </c>
      <c r="AQ82" s="243">
        <v>2203</v>
      </c>
      <c r="AR82" s="243">
        <v>2550</v>
      </c>
      <c r="AS82" s="243">
        <v>601</v>
      </c>
      <c r="AT82" s="243">
        <v>220</v>
      </c>
      <c r="AU82" s="243">
        <v>7643</v>
      </c>
      <c r="AV82" s="461" t="s">
        <v>474</v>
      </c>
      <c r="AW82" s="463" t="s">
        <v>474</v>
      </c>
      <c r="AX82" s="463" t="s">
        <v>474</v>
      </c>
      <c r="AY82" s="463" t="s">
        <v>474</v>
      </c>
      <c r="AZ82" s="463" t="s">
        <v>474</v>
      </c>
      <c r="BA82" s="463" t="s">
        <v>474</v>
      </c>
      <c r="BB82" s="463" t="s">
        <v>474</v>
      </c>
      <c r="BC82" s="251">
        <v>117072</v>
      </c>
      <c r="BD82" s="252">
        <v>113395</v>
      </c>
      <c r="BE82" s="252">
        <v>3677</v>
      </c>
      <c r="BF82" s="252">
        <v>3091</v>
      </c>
      <c r="BG82" s="252">
        <v>586</v>
      </c>
      <c r="BH82" s="250">
        <v>0.84550671947357159</v>
      </c>
      <c r="BI82" s="250">
        <v>0.15449328052642841</v>
      </c>
      <c r="BJ82" s="245">
        <v>89522</v>
      </c>
      <c r="BK82" s="254">
        <v>0.60514582526710348</v>
      </c>
      <c r="BL82" s="254">
        <v>0.19911301796181591</v>
      </c>
      <c r="BM82" s="254">
        <v>0.19574115677108059</v>
      </c>
      <c r="BN82" s="245">
        <v>233754</v>
      </c>
      <c r="BO82" s="247">
        <v>14471</v>
      </c>
      <c r="BP82" s="247">
        <v>14675</v>
      </c>
      <c r="BQ82" s="247">
        <v>7032</v>
      </c>
      <c r="BR82" s="247">
        <v>163825</v>
      </c>
      <c r="BS82" s="247">
        <v>92663</v>
      </c>
      <c r="BT82" s="376" t="s">
        <v>287</v>
      </c>
      <c r="BU82" s="245">
        <v>55058</v>
      </c>
      <c r="BV82" s="247">
        <v>53</v>
      </c>
      <c r="BW82" s="247">
        <v>12250</v>
      </c>
      <c r="BX82" s="247">
        <v>18695</v>
      </c>
      <c r="BY82" s="247">
        <v>7042</v>
      </c>
      <c r="BZ82" s="255">
        <v>93098</v>
      </c>
      <c r="CA82" s="247">
        <v>36414</v>
      </c>
      <c r="CB82" s="247">
        <v>30468</v>
      </c>
      <c r="CC82" s="247">
        <v>5856</v>
      </c>
      <c r="CD82" s="247">
        <v>5946</v>
      </c>
      <c r="CE82" s="366" t="s">
        <v>287</v>
      </c>
      <c r="CF82" s="365" t="s">
        <v>287</v>
      </c>
      <c r="CG82" s="247">
        <v>5395</v>
      </c>
      <c r="CH82" s="247">
        <v>4895</v>
      </c>
      <c r="CI82" s="247">
        <v>4255</v>
      </c>
      <c r="CJ82" s="247">
        <v>4135</v>
      </c>
      <c r="CK82" s="247">
        <v>3900</v>
      </c>
      <c r="CL82" s="245">
        <v>18637</v>
      </c>
      <c r="CM82" s="247">
        <v>6279</v>
      </c>
      <c r="CN82" s="364" t="s">
        <v>287</v>
      </c>
      <c r="CO82" s="255">
        <v>1695</v>
      </c>
      <c r="CP82" s="247">
        <v>8694</v>
      </c>
      <c r="CQ82" s="247">
        <v>8819</v>
      </c>
      <c r="CR82" s="247">
        <v>8998</v>
      </c>
      <c r="CS82" s="247">
        <v>8886</v>
      </c>
      <c r="CT82" s="247">
        <v>8511</v>
      </c>
      <c r="CU82" s="256" t="s">
        <v>474</v>
      </c>
      <c r="CV82" s="247">
        <v>447</v>
      </c>
      <c r="CW82" s="247">
        <v>396</v>
      </c>
      <c r="CX82" s="247">
        <v>369</v>
      </c>
      <c r="CY82" s="247">
        <v>339</v>
      </c>
      <c r="CZ82" s="247">
        <v>322</v>
      </c>
      <c r="DA82" s="256" t="s">
        <v>474</v>
      </c>
      <c r="DB82" s="469" t="s">
        <v>474</v>
      </c>
      <c r="DC82" s="248">
        <v>560</v>
      </c>
      <c r="DD82" s="376" t="s">
        <v>287</v>
      </c>
      <c r="DE82" s="376" t="s">
        <v>287</v>
      </c>
      <c r="DF82" s="376" t="s">
        <v>287</v>
      </c>
      <c r="DG82" s="248">
        <v>853</v>
      </c>
      <c r="DH82" s="376" t="s">
        <v>287</v>
      </c>
      <c r="DI82" s="474" t="s">
        <v>287</v>
      </c>
      <c r="DJ82" s="475" t="s">
        <v>287</v>
      </c>
      <c r="DK82" s="243">
        <v>12972</v>
      </c>
      <c r="DL82" s="376" t="s">
        <v>287</v>
      </c>
      <c r="DM82" s="15">
        <v>7205</v>
      </c>
      <c r="DN82" s="11">
        <v>7205</v>
      </c>
      <c r="DO82" s="11">
        <v>7270</v>
      </c>
      <c r="DP82" s="11">
        <v>6780</v>
      </c>
      <c r="DQ82" s="11">
        <v>6200</v>
      </c>
      <c r="DR82" s="469">
        <v>6110</v>
      </c>
      <c r="DS82" s="364" t="s">
        <v>287</v>
      </c>
      <c r="DT82" s="364" t="s">
        <v>287</v>
      </c>
      <c r="DU82" s="364" t="s">
        <v>287</v>
      </c>
      <c r="DV82" s="376">
        <v>6910</v>
      </c>
      <c r="DW82" s="364" t="s">
        <v>287</v>
      </c>
      <c r="DX82" s="364" t="s">
        <v>287</v>
      </c>
      <c r="DY82" s="364" t="s">
        <v>287</v>
      </c>
      <c r="DZ82" s="376">
        <v>6945</v>
      </c>
      <c r="EA82" s="364" t="s">
        <v>287</v>
      </c>
      <c r="EB82" s="364" t="s">
        <v>287</v>
      </c>
      <c r="EC82" s="364" t="s">
        <v>287</v>
      </c>
      <c r="ED82" s="376">
        <v>7050</v>
      </c>
      <c r="EE82" s="364" t="s">
        <v>287</v>
      </c>
      <c r="EF82" s="364" t="s">
        <v>287</v>
      </c>
      <c r="EG82" s="364" t="s">
        <v>287</v>
      </c>
      <c r="EH82" s="376">
        <v>6695</v>
      </c>
      <c r="EI82" s="366" t="s">
        <v>287</v>
      </c>
      <c r="EJ82" s="366" t="s">
        <v>287</v>
      </c>
      <c r="EK82" s="366" t="s">
        <v>287</v>
      </c>
      <c r="EL82" s="478">
        <v>6530</v>
      </c>
      <c r="EM82" s="366" t="s">
        <v>287</v>
      </c>
      <c r="EN82" s="366" t="s">
        <v>287</v>
      </c>
      <c r="EO82" s="366" t="s">
        <v>287</v>
      </c>
      <c r="EP82" s="479">
        <v>18455</v>
      </c>
      <c r="EQ82" s="366" t="s">
        <v>287</v>
      </c>
      <c r="ER82" s="478">
        <v>19930</v>
      </c>
      <c r="ES82" s="366" t="s">
        <v>287</v>
      </c>
      <c r="ET82" s="478">
        <v>19295</v>
      </c>
      <c r="EU82" s="366" t="s">
        <v>287</v>
      </c>
      <c r="EV82" s="478">
        <v>19065</v>
      </c>
      <c r="EW82" s="366" t="s">
        <v>287</v>
      </c>
      <c r="EX82" s="478">
        <v>17690</v>
      </c>
      <c r="EY82" s="366" t="s">
        <v>287</v>
      </c>
      <c r="EZ82" s="478">
        <v>17240</v>
      </c>
      <c r="FA82" s="445" t="s">
        <v>287</v>
      </c>
      <c r="FB82" s="376" t="s">
        <v>287</v>
      </c>
      <c r="FC82" s="376" t="s">
        <v>287</v>
      </c>
      <c r="FD82" s="376" t="s">
        <v>287</v>
      </c>
      <c r="FE82" s="376" t="s">
        <v>287</v>
      </c>
      <c r="FF82" s="376" t="s">
        <v>287</v>
      </c>
      <c r="FG82" s="376" t="s">
        <v>287</v>
      </c>
      <c r="FH82" s="376" t="s">
        <v>287</v>
      </c>
      <c r="FI82" s="376" t="s">
        <v>287</v>
      </c>
      <c r="FJ82" s="376" t="s">
        <v>287</v>
      </c>
      <c r="FK82" s="376" t="s">
        <v>287</v>
      </c>
      <c r="FL82" s="376" t="s">
        <v>287</v>
      </c>
      <c r="FM82" s="500" t="s">
        <v>287</v>
      </c>
      <c r="FN82" s="537">
        <v>7801</v>
      </c>
      <c r="FO82" s="537">
        <v>3156</v>
      </c>
      <c r="FP82" s="537">
        <v>1238</v>
      </c>
      <c r="FQ82" s="537">
        <v>4394</v>
      </c>
      <c r="FR82" s="366" t="s">
        <v>287</v>
      </c>
      <c r="FS82" s="366" t="s">
        <v>287</v>
      </c>
      <c r="FT82" s="376" t="s">
        <v>287</v>
      </c>
      <c r="FU82" s="376" t="s">
        <v>287</v>
      </c>
      <c r="FV82" s="376" t="s">
        <v>287</v>
      </c>
      <c r="FW82" s="445" t="s">
        <v>287</v>
      </c>
      <c r="FX82" s="537"/>
      <c r="FY82" s="531"/>
      <c r="FZ82" s="531"/>
      <c r="GA82" s="376" t="s">
        <v>287</v>
      </c>
      <c r="GB82" s="531"/>
      <c r="GC82" s="531"/>
      <c r="GD82" s="531"/>
      <c r="GE82" s="376" t="s">
        <v>287</v>
      </c>
      <c r="GF82" s="376" t="s">
        <v>287</v>
      </c>
      <c r="GG82" s="376" t="s">
        <v>287</v>
      </c>
      <c r="GH82" s="376" t="s">
        <v>287</v>
      </c>
      <c r="GI82" s="376" t="s">
        <v>287</v>
      </c>
      <c r="GJ82" s="445" t="s">
        <v>287</v>
      </c>
      <c r="GK82" s="376" t="s">
        <v>287</v>
      </c>
      <c r="GL82" s="376" t="s">
        <v>287</v>
      </c>
      <c r="GM82" s="366" t="s">
        <v>287</v>
      </c>
      <c r="GN82" s="366" t="s">
        <v>287</v>
      </c>
      <c r="GO82" s="366" t="s">
        <v>287</v>
      </c>
      <c r="GP82" s="517" t="s">
        <v>287</v>
      </c>
      <c r="GQ82" s="376" t="s">
        <v>287</v>
      </c>
      <c r="GR82" s="376" t="s">
        <v>287</v>
      </c>
      <c r="GS82" s="366" t="s">
        <v>287</v>
      </c>
      <c r="GT82" s="366" t="s">
        <v>287</v>
      </c>
      <c r="GU82" s="366" t="s">
        <v>287</v>
      </c>
      <c r="GV82" s="508" t="s">
        <v>287</v>
      </c>
      <c r="GW82" s="376" t="s">
        <v>287</v>
      </c>
      <c r="GX82" s="376" t="s">
        <v>287</v>
      </c>
      <c r="GY82" s="366" t="s">
        <v>287</v>
      </c>
      <c r="GZ82" s="366" t="s">
        <v>287</v>
      </c>
      <c r="HA82" s="366" t="s">
        <v>287</v>
      </c>
      <c r="HB82" s="508" t="s">
        <v>287</v>
      </c>
      <c r="HC82" s="376" t="s">
        <v>287</v>
      </c>
      <c r="HD82" s="376" t="s">
        <v>287</v>
      </c>
      <c r="HE82" s="366" t="s">
        <v>287</v>
      </c>
      <c r="HF82" s="366" t="s">
        <v>287</v>
      </c>
      <c r="HG82" s="366" t="s">
        <v>287</v>
      </c>
      <c r="HH82" s="508" t="s">
        <v>287</v>
      </c>
      <c r="HI82" s="376" t="s">
        <v>287</v>
      </c>
      <c r="HJ82" s="376" t="s">
        <v>287</v>
      </c>
      <c r="HK82" s="376" t="s">
        <v>287</v>
      </c>
      <c r="HL82" s="376" t="s">
        <v>287</v>
      </c>
      <c r="HM82" s="376" t="s">
        <v>287</v>
      </c>
      <c r="HN82" s="508" t="s">
        <v>287</v>
      </c>
      <c r="HO82" s="376">
        <f>SUM(HO68:HO70)</f>
        <v>8065</v>
      </c>
      <c r="HP82" s="376">
        <f>SUM(HP68:HP70)</f>
        <v>584</v>
      </c>
      <c r="HQ82" s="366" t="s">
        <v>287</v>
      </c>
      <c r="HR82" s="376" t="s">
        <v>287</v>
      </c>
      <c r="HS82" s="376" t="s">
        <v>287</v>
      </c>
      <c r="HT82" s="512" t="s">
        <v>287</v>
      </c>
      <c r="HU82" s="376" t="s">
        <v>287</v>
      </c>
      <c r="HV82" s="375" t="s">
        <v>287</v>
      </c>
      <c r="HW82" s="375" t="s">
        <v>287</v>
      </c>
      <c r="HX82" s="375" t="s">
        <v>287</v>
      </c>
      <c r="HY82" s="375" t="s">
        <v>287</v>
      </c>
      <c r="HZ82" s="375" t="s">
        <v>287</v>
      </c>
      <c r="IA82" s="375" t="s">
        <v>287</v>
      </c>
      <c r="IB82" s="375" t="s">
        <v>287</v>
      </c>
      <c r="IC82" s="375" t="s">
        <v>287</v>
      </c>
      <c r="ID82" s="375" t="s">
        <v>287</v>
      </c>
      <c r="IE82" s="375" t="s">
        <v>287</v>
      </c>
      <c r="IF82" s="375" t="s">
        <v>287</v>
      </c>
      <c r="IG82" s="375" t="s">
        <v>287</v>
      </c>
      <c r="IH82" s="375" t="s">
        <v>287</v>
      </c>
      <c r="II82" s="375" t="s">
        <v>287</v>
      </c>
      <c r="IJ82" s="375" t="s">
        <v>287</v>
      </c>
      <c r="IK82" s="375" t="s">
        <v>287</v>
      </c>
      <c r="IL82" s="375" t="s">
        <v>287</v>
      </c>
      <c r="IM82" s="375" t="s">
        <v>287</v>
      </c>
      <c r="IN82" s="375" t="s">
        <v>287</v>
      </c>
      <c r="IO82" s="375" t="s">
        <v>287</v>
      </c>
      <c r="IP82" s="375" t="s">
        <v>287</v>
      </c>
      <c r="IQ82" s="375" t="s">
        <v>287</v>
      </c>
      <c r="IR82" s="375" t="s">
        <v>287</v>
      </c>
      <c r="IS82" s="375" t="s">
        <v>287</v>
      </c>
      <c r="IT82" s="375" t="s">
        <v>287</v>
      </c>
      <c r="IU82" s="375" t="s">
        <v>287</v>
      </c>
      <c r="IV82" s="375" t="s">
        <v>287</v>
      </c>
      <c r="IW82" s="375" t="s">
        <v>287</v>
      </c>
      <c r="IX82" s="508" t="s">
        <v>287</v>
      </c>
      <c r="IY82" s="376">
        <v>7307</v>
      </c>
      <c r="IZ82" s="376">
        <v>1165</v>
      </c>
      <c r="JA82" s="376" t="s">
        <v>287</v>
      </c>
      <c r="JB82" s="376" t="s">
        <v>287</v>
      </c>
      <c r="JC82" s="376" t="s">
        <v>287</v>
      </c>
      <c r="JD82" s="512" t="s">
        <v>287</v>
      </c>
      <c r="JE82" s="243">
        <v>9112</v>
      </c>
      <c r="JF82" s="243">
        <v>4808</v>
      </c>
      <c r="JG82" s="376" t="s">
        <v>287</v>
      </c>
      <c r="JH82" s="376" t="s">
        <v>287</v>
      </c>
      <c r="JI82" s="376" t="s">
        <v>287</v>
      </c>
      <c r="JJ82" s="243">
        <v>9112</v>
      </c>
      <c r="JK82" s="376" t="s">
        <v>287</v>
      </c>
      <c r="JL82" s="376" t="s">
        <v>287</v>
      </c>
      <c r="JM82" s="376" t="s">
        <v>287</v>
      </c>
      <c r="JN82" s="376" t="s">
        <v>287</v>
      </c>
      <c r="JO82" s="243">
        <v>9254</v>
      </c>
      <c r="JP82" s="243">
        <v>5465</v>
      </c>
      <c r="JQ82" s="376" t="s">
        <v>287</v>
      </c>
      <c r="JR82" s="376" t="s">
        <v>287</v>
      </c>
      <c r="JS82" s="376" t="s">
        <v>287</v>
      </c>
      <c r="JT82" s="243">
        <v>9254</v>
      </c>
      <c r="JU82" s="376" t="s">
        <v>287</v>
      </c>
      <c r="JV82" s="376" t="s">
        <v>287</v>
      </c>
      <c r="JW82" s="376" t="s">
        <v>287</v>
      </c>
      <c r="JX82" s="376" t="s">
        <v>287</v>
      </c>
      <c r="JY82" s="555">
        <v>9476</v>
      </c>
      <c r="JZ82" s="555">
        <v>6039</v>
      </c>
      <c r="KA82" s="376" t="s">
        <v>287</v>
      </c>
      <c r="KB82" s="376" t="s">
        <v>287</v>
      </c>
      <c r="KC82" s="376" t="s">
        <v>287</v>
      </c>
      <c r="KD82" s="376" t="s">
        <v>287</v>
      </c>
      <c r="KE82" s="376" t="s">
        <v>287</v>
      </c>
      <c r="KF82" s="376" t="s">
        <v>287</v>
      </c>
      <c r="KG82" s="445" t="s">
        <v>287</v>
      </c>
      <c r="KH82" s="366" t="s">
        <v>287</v>
      </c>
      <c r="KI82" s="366" t="s">
        <v>287</v>
      </c>
      <c r="KJ82" s="366" t="s">
        <v>287</v>
      </c>
      <c r="KK82" s="366" t="s">
        <v>287</v>
      </c>
      <c r="KL82" s="366" t="s">
        <v>287</v>
      </c>
      <c r="KM82" s="366" t="s">
        <v>287</v>
      </c>
      <c r="KN82" s="366" t="s">
        <v>287</v>
      </c>
      <c r="KO82" s="366" t="s">
        <v>287</v>
      </c>
      <c r="KP82" s="366" t="s">
        <v>287</v>
      </c>
      <c r="KQ82" s="366" t="s">
        <v>287</v>
      </c>
      <c r="KR82" s="366" t="s">
        <v>287</v>
      </c>
      <c r="KS82" s="366" t="s">
        <v>287</v>
      </c>
      <c r="KT82" s="366" t="s">
        <v>287</v>
      </c>
      <c r="KU82" s="366" t="s">
        <v>287</v>
      </c>
      <c r="KV82" s="366" t="s">
        <v>287</v>
      </c>
      <c r="KW82" s="365" t="s">
        <v>287</v>
      </c>
      <c r="KX82" s="536"/>
      <c r="KY82" s="536"/>
      <c r="KZ82" s="366"/>
      <c r="LA82" s="366"/>
      <c r="LB82" s="366"/>
      <c r="LC82" s="536"/>
      <c r="LD82" s="536"/>
      <c r="LE82" s="366"/>
      <c r="LF82" s="366"/>
      <c r="LG82" s="366"/>
      <c r="LH82" s="536"/>
      <c r="LI82" s="536"/>
      <c r="LJ82" s="366"/>
      <c r="LK82" s="366"/>
      <c r="LL82" s="366"/>
      <c r="LM82" s="536"/>
      <c r="LN82" s="536"/>
      <c r="LO82" s="366"/>
      <c r="LP82" s="366"/>
      <c r="LQ82" s="365"/>
      <c r="LR82" s="376" t="s">
        <v>287</v>
      </c>
      <c r="LS82" s="376" t="s">
        <v>287</v>
      </c>
      <c r="LT82" s="376" t="s">
        <v>287</v>
      </c>
      <c r="LU82" s="376" t="s">
        <v>287</v>
      </c>
      <c r="LV82" s="376" t="s">
        <v>287</v>
      </c>
      <c r="LW82" s="376" t="s">
        <v>287</v>
      </c>
      <c r="LX82" s="376" t="s">
        <v>287</v>
      </c>
      <c r="LY82" s="376" t="s">
        <v>287</v>
      </c>
      <c r="LZ82" s="376" t="s">
        <v>287</v>
      </c>
      <c r="MA82" s="376" t="s">
        <v>287</v>
      </c>
      <c r="MB82" s="376" t="s">
        <v>287</v>
      </c>
      <c r="MC82" s="376" t="s">
        <v>287</v>
      </c>
      <c r="MD82" s="376" t="s">
        <v>287</v>
      </c>
      <c r="ME82" s="376" t="s">
        <v>287</v>
      </c>
      <c r="MF82" s="376" t="s">
        <v>287</v>
      </c>
      <c r="MG82" s="376" t="s">
        <v>287</v>
      </c>
      <c r="MH82" s="376" t="s">
        <v>287</v>
      </c>
      <c r="MI82" s="376" t="s">
        <v>287</v>
      </c>
      <c r="MJ82" s="376" t="s">
        <v>287</v>
      </c>
      <c r="MK82" s="376" t="s">
        <v>287</v>
      </c>
      <c r="ML82" s="376" t="s">
        <v>287</v>
      </c>
      <c r="MM82" s="376" t="s">
        <v>287</v>
      </c>
      <c r="MN82" s="445" t="s">
        <v>287</v>
      </c>
      <c r="MO82" s="243">
        <v>8826</v>
      </c>
      <c r="MP82" s="376" t="s">
        <v>287</v>
      </c>
      <c r="MQ82" s="376" t="s">
        <v>287</v>
      </c>
      <c r="MR82" s="376" t="s">
        <v>287</v>
      </c>
      <c r="MS82" s="243">
        <v>8393</v>
      </c>
      <c r="MT82" s="243">
        <v>74</v>
      </c>
      <c r="MU82" s="243">
        <v>8384</v>
      </c>
      <c r="MV82" s="243">
        <v>9062</v>
      </c>
      <c r="MW82" s="376" t="s">
        <v>287</v>
      </c>
      <c r="MX82" s="376" t="s">
        <v>287</v>
      </c>
      <c r="MY82" s="376" t="s">
        <v>287</v>
      </c>
      <c r="MZ82" s="376" t="s">
        <v>287</v>
      </c>
      <c r="NA82" s="376" t="s">
        <v>287</v>
      </c>
      <c r="NB82" s="243">
        <v>8778</v>
      </c>
      <c r="NC82" s="243">
        <v>8461</v>
      </c>
      <c r="ND82" s="243">
        <v>8673</v>
      </c>
      <c r="NE82" s="243">
        <v>8497</v>
      </c>
      <c r="NF82" s="243">
        <v>8476</v>
      </c>
      <c r="NG82" s="243">
        <v>9784</v>
      </c>
      <c r="NH82" s="376" t="s">
        <v>287</v>
      </c>
      <c r="NI82" s="376" t="s">
        <v>287</v>
      </c>
      <c r="NJ82" s="376" t="s">
        <v>287</v>
      </c>
      <c r="NK82" s="376" t="s">
        <v>287</v>
      </c>
      <c r="NL82" s="376" t="s">
        <v>287</v>
      </c>
      <c r="NM82" s="376" t="s">
        <v>287</v>
      </c>
      <c r="NN82" s="376" t="s">
        <v>287</v>
      </c>
      <c r="NO82" s="376" t="s">
        <v>287</v>
      </c>
      <c r="NP82" s="376" t="s">
        <v>287</v>
      </c>
      <c r="NQ82" s="376" t="s">
        <v>287</v>
      </c>
      <c r="NR82" s="243">
        <v>9409</v>
      </c>
      <c r="NS82" s="243">
        <v>8991</v>
      </c>
      <c r="NT82" s="243">
        <v>9408</v>
      </c>
      <c r="NU82" s="243">
        <v>9386</v>
      </c>
      <c r="NV82" s="243">
        <v>9336</v>
      </c>
      <c r="NW82" s="243">
        <v>8577</v>
      </c>
      <c r="NX82" s="243">
        <v>9218</v>
      </c>
      <c r="NY82" s="243">
        <v>8991</v>
      </c>
      <c r="NZ82" s="243">
        <v>9370</v>
      </c>
      <c r="OA82" s="244">
        <v>8970</v>
      </c>
    </row>
    <row r="83" spans="1:391" s="258" customFormat="1" ht="12.75" x14ac:dyDescent="0.2">
      <c r="A83" s="258" t="s">
        <v>400</v>
      </c>
      <c r="B83" s="259"/>
      <c r="C83" s="258" t="s">
        <v>474</v>
      </c>
      <c r="D83" s="258" t="s">
        <v>474</v>
      </c>
      <c r="E83" s="258" t="s">
        <v>474</v>
      </c>
      <c r="F83" s="258" t="s">
        <v>474</v>
      </c>
      <c r="G83" s="258" t="s">
        <v>474</v>
      </c>
      <c r="H83" s="258" t="s">
        <v>474</v>
      </c>
      <c r="I83" s="258" t="s">
        <v>474</v>
      </c>
      <c r="J83" s="258" t="s">
        <v>474</v>
      </c>
      <c r="K83" s="258" t="s">
        <v>474</v>
      </c>
      <c r="L83" s="258" t="s">
        <v>474</v>
      </c>
      <c r="M83" s="258" t="s">
        <v>474</v>
      </c>
      <c r="N83" s="258" t="s">
        <v>474</v>
      </c>
      <c r="O83" s="377" t="s">
        <v>474</v>
      </c>
      <c r="P83" s="377" t="s">
        <v>474</v>
      </c>
      <c r="Q83" s="377" t="s">
        <v>474</v>
      </c>
      <c r="R83" s="377" t="s">
        <v>474</v>
      </c>
      <c r="S83" s="377" t="s">
        <v>474</v>
      </c>
      <c r="T83" s="260">
        <v>770800</v>
      </c>
      <c r="U83" s="261">
        <v>777400</v>
      </c>
      <c r="V83" s="261">
        <v>784250</v>
      </c>
      <c r="W83" s="261">
        <v>791000</v>
      </c>
      <c r="X83" s="261">
        <v>796050</v>
      </c>
      <c r="Y83" s="261">
        <v>803150</v>
      </c>
      <c r="Z83" s="261">
        <v>808950</v>
      </c>
      <c r="AA83" s="261">
        <v>815100</v>
      </c>
      <c r="AB83" s="261">
        <v>821350</v>
      </c>
      <c r="AC83" s="261">
        <v>828400</v>
      </c>
      <c r="AD83" s="262">
        <v>40750</v>
      </c>
      <c r="AE83" s="263">
        <v>41250</v>
      </c>
      <c r="AF83" s="263">
        <v>42650</v>
      </c>
      <c r="AG83" s="263">
        <v>43650</v>
      </c>
      <c r="AH83" s="263">
        <v>44500</v>
      </c>
      <c r="AI83" s="263">
        <v>45650</v>
      </c>
      <c r="AJ83" s="263">
        <v>46700</v>
      </c>
      <c r="AK83" s="263">
        <v>47650</v>
      </c>
      <c r="AL83" s="263">
        <v>47850</v>
      </c>
      <c r="AM83" s="264">
        <v>47981</v>
      </c>
      <c r="AN83" s="265">
        <v>46486</v>
      </c>
      <c r="AO83" s="258">
        <v>38843</v>
      </c>
      <c r="AP83" s="258">
        <v>2069</v>
      </c>
      <c r="AQ83" s="258">
        <v>2203</v>
      </c>
      <c r="AR83" s="258">
        <v>2550</v>
      </c>
      <c r="AS83" s="258">
        <v>601</v>
      </c>
      <c r="AT83" s="258">
        <v>220</v>
      </c>
      <c r="AU83" s="258">
        <v>7643</v>
      </c>
      <c r="AV83" s="464" t="s">
        <v>474</v>
      </c>
      <c r="AW83" s="465" t="s">
        <v>474</v>
      </c>
      <c r="AX83" s="465" t="s">
        <v>474</v>
      </c>
      <c r="AY83" s="465" t="s">
        <v>474</v>
      </c>
      <c r="AZ83" s="465" t="s">
        <v>474</v>
      </c>
      <c r="BA83" s="465" t="s">
        <v>474</v>
      </c>
      <c r="BB83" s="465" t="s">
        <v>474</v>
      </c>
      <c r="BC83" s="464" t="s">
        <v>474</v>
      </c>
      <c r="BD83" s="465" t="s">
        <v>474</v>
      </c>
      <c r="BE83" s="465" t="s">
        <v>474</v>
      </c>
      <c r="BF83" s="465" t="s">
        <v>474</v>
      </c>
      <c r="BG83" s="465" t="s">
        <v>474</v>
      </c>
      <c r="BH83" s="465" t="s">
        <v>474</v>
      </c>
      <c r="BI83" s="465" t="s">
        <v>474</v>
      </c>
      <c r="BJ83" s="266">
        <v>89522</v>
      </c>
      <c r="BK83" s="267">
        <v>0.62379999999999991</v>
      </c>
      <c r="BL83" s="268">
        <v>0.1792</v>
      </c>
      <c r="BM83" s="268">
        <v>0.19700000000000001</v>
      </c>
      <c r="BN83" s="464" t="s">
        <v>474</v>
      </c>
      <c r="BO83" s="465" t="s">
        <v>474</v>
      </c>
      <c r="BP83" s="465" t="s">
        <v>474</v>
      </c>
      <c r="BQ83" s="465" t="s">
        <v>474</v>
      </c>
      <c r="BR83" s="465" t="s">
        <v>474</v>
      </c>
      <c r="BS83" s="465" t="s">
        <v>474</v>
      </c>
      <c r="BT83" s="465" t="s">
        <v>474</v>
      </c>
      <c r="BU83" s="466">
        <v>55058</v>
      </c>
      <c r="BV83" s="269">
        <v>53</v>
      </c>
      <c r="BW83" s="269">
        <v>12250</v>
      </c>
      <c r="BX83" s="269">
        <v>18695</v>
      </c>
      <c r="BY83" s="269">
        <v>7042</v>
      </c>
      <c r="BZ83" s="270">
        <v>93098</v>
      </c>
      <c r="CA83" s="269">
        <v>36414</v>
      </c>
      <c r="CB83" s="269">
        <v>30468</v>
      </c>
      <c r="CC83" s="269">
        <v>5856</v>
      </c>
      <c r="CD83" s="269">
        <v>5946</v>
      </c>
      <c r="CE83" s="367" t="s">
        <v>287</v>
      </c>
      <c r="CF83" s="368" t="s">
        <v>287</v>
      </c>
      <c r="CG83" s="263">
        <v>5395</v>
      </c>
      <c r="CH83" s="263">
        <v>4895</v>
      </c>
      <c r="CI83" s="263">
        <v>4255</v>
      </c>
      <c r="CJ83" s="263">
        <v>4135</v>
      </c>
      <c r="CK83" s="263">
        <v>3900</v>
      </c>
      <c r="CL83" s="262">
        <v>18637</v>
      </c>
      <c r="CM83" s="263">
        <v>6279</v>
      </c>
      <c r="CN83" s="367" t="s">
        <v>287</v>
      </c>
      <c r="CO83" s="264">
        <v>1695</v>
      </c>
      <c r="CP83" s="269" t="s">
        <v>474</v>
      </c>
      <c r="CQ83" s="269" t="s">
        <v>474</v>
      </c>
      <c r="CR83" s="269" t="s">
        <v>474</v>
      </c>
      <c r="CS83" s="269" t="s">
        <v>474</v>
      </c>
      <c r="CT83" s="269" t="s">
        <v>474</v>
      </c>
      <c r="CU83" s="270" t="s">
        <v>474</v>
      </c>
      <c r="CV83" s="269" t="s">
        <v>474</v>
      </c>
      <c r="CW83" s="269" t="s">
        <v>474</v>
      </c>
      <c r="CX83" s="269" t="s">
        <v>474</v>
      </c>
      <c r="CY83" s="269" t="s">
        <v>474</v>
      </c>
      <c r="CZ83" s="269" t="s">
        <v>474</v>
      </c>
      <c r="DA83" s="271" t="s">
        <v>474</v>
      </c>
      <c r="DB83" s="381" t="s">
        <v>474</v>
      </c>
      <c r="DC83" s="381" t="s">
        <v>287</v>
      </c>
      <c r="DD83" s="377" t="s">
        <v>287</v>
      </c>
      <c r="DE83" s="377" t="s">
        <v>287</v>
      </c>
      <c r="DF83" s="377" t="s">
        <v>287</v>
      </c>
      <c r="DG83" s="265">
        <v>853</v>
      </c>
      <c r="DH83" s="377" t="s">
        <v>287</v>
      </c>
      <c r="DI83" s="476" t="s">
        <v>287</v>
      </c>
      <c r="DJ83" s="477" t="s">
        <v>287</v>
      </c>
      <c r="DK83" s="258">
        <v>12972</v>
      </c>
      <c r="DL83" s="377" t="s">
        <v>287</v>
      </c>
      <c r="DM83" s="16">
        <v>7205</v>
      </c>
      <c r="DN83" s="4">
        <v>7205</v>
      </c>
      <c r="DO83" s="4">
        <v>7270</v>
      </c>
      <c r="DP83" s="4">
        <v>6780</v>
      </c>
      <c r="DQ83" s="4">
        <v>6200</v>
      </c>
      <c r="DR83" s="381" t="s">
        <v>287</v>
      </c>
      <c r="DS83" s="367" t="s">
        <v>287</v>
      </c>
      <c r="DT83" s="367" t="s">
        <v>287</v>
      </c>
      <c r="DU83" s="367" t="s">
        <v>287</v>
      </c>
      <c r="DV83" s="377" t="s">
        <v>287</v>
      </c>
      <c r="DW83" s="367" t="s">
        <v>287</v>
      </c>
      <c r="DX83" s="367" t="s">
        <v>287</v>
      </c>
      <c r="DY83" s="367" t="s">
        <v>287</v>
      </c>
      <c r="DZ83" s="377" t="s">
        <v>287</v>
      </c>
      <c r="EA83" s="367" t="s">
        <v>287</v>
      </c>
      <c r="EB83" s="367" t="s">
        <v>287</v>
      </c>
      <c r="EC83" s="367" t="s">
        <v>287</v>
      </c>
      <c r="ED83" s="377" t="s">
        <v>287</v>
      </c>
      <c r="EE83" s="367" t="s">
        <v>287</v>
      </c>
      <c r="EF83" s="367" t="s">
        <v>287</v>
      </c>
      <c r="EG83" s="367" t="s">
        <v>287</v>
      </c>
      <c r="EH83" s="377" t="s">
        <v>287</v>
      </c>
      <c r="EI83" s="367" t="s">
        <v>287</v>
      </c>
      <c r="EJ83" s="367" t="s">
        <v>287</v>
      </c>
      <c r="EK83" s="367" t="s">
        <v>287</v>
      </c>
      <c r="EL83" s="261" t="s">
        <v>287</v>
      </c>
      <c r="EM83" s="367" t="s">
        <v>287</v>
      </c>
      <c r="EN83" s="261" t="s">
        <v>287</v>
      </c>
      <c r="EO83" s="368" t="s">
        <v>287</v>
      </c>
      <c r="EP83" s="261" t="s">
        <v>287</v>
      </c>
      <c r="EQ83" s="367" t="s">
        <v>287</v>
      </c>
      <c r="ER83" s="261" t="s">
        <v>287</v>
      </c>
      <c r="ES83" s="367" t="s">
        <v>287</v>
      </c>
      <c r="ET83" s="261" t="s">
        <v>287</v>
      </c>
      <c r="EU83" s="367" t="s">
        <v>287</v>
      </c>
      <c r="EV83" s="261" t="s">
        <v>287</v>
      </c>
      <c r="EW83" s="367" t="s">
        <v>287</v>
      </c>
      <c r="EX83" s="261" t="s">
        <v>287</v>
      </c>
      <c r="EY83" s="261" t="s">
        <v>287</v>
      </c>
      <c r="EZ83" s="261" t="s">
        <v>287</v>
      </c>
      <c r="FA83" s="368" t="s">
        <v>287</v>
      </c>
      <c r="FB83" s="377" t="s">
        <v>287</v>
      </c>
      <c r="FC83" s="377" t="s">
        <v>287</v>
      </c>
      <c r="FD83" s="377" t="s">
        <v>287</v>
      </c>
      <c r="FE83" s="377" t="s">
        <v>287</v>
      </c>
      <c r="FF83" s="377" t="s">
        <v>287</v>
      </c>
      <c r="FG83" s="377" t="s">
        <v>287</v>
      </c>
      <c r="FH83" s="377" t="s">
        <v>287</v>
      </c>
      <c r="FI83" s="377" t="s">
        <v>287</v>
      </c>
      <c r="FJ83" s="377" t="s">
        <v>287</v>
      </c>
      <c r="FK83" s="377" t="s">
        <v>287</v>
      </c>
      <c r="FL83" s="377" t="s">
        <v>287</v>
      </c>
      <c r="FM83" s="538" t="s">
        <v>287</v>
      </c>
      <c r="FN83" s="377" t="s">
        <v>287</v>
      </c>
      <c r="FO83" s="377" t="s">
        <v>287</v>
      </c>
      <c r="FP83" s="377" t="s">
        <v>287</v>
      </c>
      <c r="FQ83" s="377" t="s">
        <v>287</v>
      </c>
      <c r="FR83" s="377" t="s">
        <v>287</v>
      </c>
      <c r="FS83" s="377" t="s">
        <v>287</v>
      </c>
      <c r="FT83" s="377" t="s">
        <v>287</v>
      </c>
      <c r="FU83" s="377" t="s">
        <v>287</v>
      </c>
      <c r="FV83" s="377" t="s">
        <v>287</v>
      </c>
      <c r="FW83" s="481" t="s">
        <v>287</v>
      </c>
      <c r="FX83" s="539" t="s">
        <v>287</v>
      </c>
      <c r="FY83" s="540" t="s">
        <v>287</v>
      </c>
      <c r="FZ83" s="540" t="s">
        <v>287</v>
      </c>
      <c r="GA83" s="377" t="s">
        <v>287</v>
      </c>
      <c r="GB83" s="540" t="s">
        <v>287</v>
      </c>
      <c r="GC83" s="540" t="s">
        <v>287</v>
      </c>
      <c r="GD83" s="540" t="s">
        <v>287</v>
      </c>
      <c r="GE83" s="377" t="s">
        <v>287</v>
      </c>
      <c r="GF83" s="377" t="s">
        <v>287</v>
      </c>
      <c r="GG83" s="377" t="s">
        <v>287</v>
      </c>
      <c r="GH83" s="377" t="s">
        <v>287</v>
      </c>
      <c r="GI83" s="377" t="s">
        <v>287</v>
      </c>
      <c r="GJ83" s="481" t="s">
        <v>287</v>
      </c>
      <c r="GK83" s="377" t="s">
        <v>287</v>
      </c>
      <c r="GL83" s="377" t="s">
        <v>287</v>
      </c>
      <c r="GM83" s="367" t="s">
        <v>287</v>
      </c>
      <c r="GN83" s="367" t="s">
        <v>287</v>
      </c>
      <c r="GO83" s="367" t="s">
        <v>287</v>
      </c>
      <c r="GP83" s="518" t="s">
        <v>287</v>
      </c>
      <c r="GQ83" s="377" t="s">
        <v>287</v>
      </c>
      <c r="GR83" s="377" t="s">
        <v>287</v>
      </c>
      <c r="GS83" s="367" t="s">
        <v>287</v>
      </c>
      <c r="GT83" s="367" t="s">
        <v>287</v>
      </c>
      <c r="GU83" s="367" t="s">
        <v>287</v>
      </c>
      <c r="GV83" s="509" t="s">
        <v>287</v>
      </c>
      <c r="GW83" s="377" t="s">
        <v>287</v>
      </c>
      <c r="GX83" s="377" t="s">
        <v>287</v>
      </c>
      <c r="GY83" s="367" t="s">
        <v>287</v>
      </c>
      <c r="GZ83" s="367" t="s">
        <v>287</v>
      </c>
      <c r="HA83" s="367" t="s">
        <v>287</v>
      </c>
      <c r="HB83" s="509" t="s">
        <v>287</v>
      </c>
      <c r="HC83" s="377" t="s">
        <v>287</v>
      </c>
      <c r="HD83" s="377" t="s">
        <v>287</v>
      </c>
      <c r="HE83" s="367" t="s">
        <v>287</v>
      </c>
      <c r="HF83" s="367" t="s">
        <v>287</v>
      </c>
      <c r="HG83" s="367" t="s">
        <v>287</v>
      </c>
      <c r="HH83" s="509" t="s">
        <v>287</v>
      </c>
      <c r="HI83" s="377" t="s">
        <v>287</v>
      </c>
      <c r="HJ83" s="377" t="s">
        <v>287</v>
      </c>
      <c r="HK83" s="377" t="s">
        <v>287</v>
      </c>
      <c r="HL83" s="377" t="s">
        <v>287</v>
      </c>
      <c r="HM83" s="377" t="s">
        <v>287</v>
      </c>
      <c r="HN83" s="509" t="s">
        <v>287</v>
      </c>
      <c r="HO83" s="377">
        <f>SUM(HO71:HO75)</f>
        <v>8065</v>
      </c>
      <c r="HP83" s="377">
        <f>SUM(HP71:HP75)</f>
        <v>584</v>
      </c>
      <c r="HQ83" s="367" t="s">
        <v>287</v>
      </c>
      <c r="HR83" s="377" t="s">
        <v>287</v>
      </c>
      <c r="HS83" s="377" t="s">
        <v>287</v>
      </c>
      <c r="HT83" s="513" t="s">
        <v>287</v>
      </c>
      <c r="HU83" s="377" t="s">
        <v>287</v>
      </c>
      <c r="HV83" s="377" t="s">
        <v>287</v>
      </c>
      <c r="HW83" s="377" t="s">
        <v>287</v>
      </c>
      <c r="HX83" s="377" t="s">
        <v>287</v>
      </c>
      <c r="HY83" s="377" t="s">
        <v>287</v>
      </c>
      <c r="HZ83" s="377" t="s">
        <v>287</v>
      </c>
      <c r="IA83" s="377" t="s">
        <v>287</v>
      </c>
      <c r="IB83" s="377" t="s">
        <v>287</v>
      </c>
      <c r="IC83" s="377" t="s">
        <v>287</v>
      </c>
      <c r="ID83" s="377" t="s">
        <v>287</v>
      </c>
      <c r="IE83" s="377" t="s">
        <v>287</v>
      </c>
      <c r="IF83" s="377" t="s">
        <v>287</v>
      </c>
      <c r="IG83" s="377" t="s">
        <v>287</v>
      </c>
      <c r="IH83" s="377" t="s">
        <v>287</v>
      </c>
      <c r="II83" s="377" t="s">
        <v>287</v>
      </c>
      <c r="IJ83" s="377" t="s">
        <v>287</v>
      </c>
      <c r="IK83" s="377" t="s">
        <v>287</v>
      </c>
      <c r="IL83" s="377" t="s">
        <v>287</v>
      </c>
      <c r="IM83" s="377" t="s">
        <v>287</v>
      </c>
      <c r="IN83" s="377" t="s">
        <v>287</v>
      </c>
      <c r="IO83" s="377" t="s">
        <v>287</v>
      </c>
      <c r="IP83" s="377" t="s">
        <v>287</v>
      </c>
      <c r="IQ83" s="377" t="s">
        <v>287</v>
      </c>
      <c r="IR83" s="377" t="s">
        <v>287</v>
      </c>
      <c r="IS83" s="377" t="s">
        <v>287</v>
      </c>
      <c r="IT83" s="377" t="s">
        <v>287</v>
      </c>
      <c r="IU83" s="377" t="s">
        <v>287</v>
      </c>
      <c r="IV83" s="377" t="s">
        <v>287</v>
      </c>
      <c r="IW83" s="377" t="s">
        <v>287</v>
      </c>
      <c r="IX83" s="509" t="s">
        <v>287</v>
      </c>
      <c r="IY83" s="377">
        <v>7307</v>
      </c>
      <c r="IZ83" s="377">
        <v>1165</v>
      </c>
      <c r="JA83" s="377" t="s">
        <v>287</v>
      </c>
      <c r="JB83" s="377" t="s">
        <v>287</v>
      </c>
      <c r="JC83" s="377" t="s">
        <v>287</v>
      </c>
      <c r="JD83" s="513" t="s">
        <v>287</v>
      </c>
      <c r="JE83" s="258">
        <v>9112</v>
      </c>
      <c r="JF83" s="258">
        <v>4808</v>
      </c>
      <c r="JG83" s="377" t="s">
        <v>287</v>
      </c>
      <c r="JH83" s="377" t="s">
        <v>287</v>
      </c>
      <c r="JI83" s="377" t="s">
        <v>287</v>
      </c>
      <c r="JJ83" s="258">
        <v>9112</v>
      </c>
      <c r="JK83" s="377" t="s">
        <v>287</v>
      </c>
      <c r="JL83" s="377" t="s">
        <v>287</v>
      </c>
      <c r="JM83" s="377" t="s">
        <v>287</v>
      </c>
      <c r="JN83" s="377" t="s">
        <v>287</v>
      </c>
      <c r="JO83" s="258">
        <v>9254</v>
      </c>
      <c r="JP83" s="258">
        <v>5465</v>
      </c>
      <c r="JQ83" s="377" t="s">
        <v>287</v>
      </c>
      <c r="JR83" s="377" t="s">
        <v>287</v>
      </c>
      <c r="JS83" s="377" t="s">
        <v>287</v>
      </c>
      <c r="JT83" s="258">
        <v>9254</v>
      </c>
      <c r="JU83" s="377" t="s">
        <v>287</v>
      </c>
      <c r="JV83" s="377" t="s">
        <v>287</v>
      </c>
      <c r="JW83" s="377" t="s">
        <v>287</v>
      </c>
      <c r="JX83" s="377" t="s">
        <v>287</v>
      </c>
      <c r="JY83" s="557">
        <v>9476</v>
      </c>
      <c r="JZ83" s="557">
        <v>6039</v>
      </c>
      <c r="KA83" s="377" t="s">
        <v>287</v>
      </c>
      <c r="KB83" s="377" t="s">
        <v>287</v>
      </c>
      <c r="KC83" s="377" t="s">
        <v>287</v>
      </c>
      <c r="KD83" s="377" t="s">
        <v>287</v>
      </c>
      <c r="KE83" s="377" t="s">
        <v>287</v>
      </c>
      <c r="KF83" s="377" t="s">
        <v>287</v>
      </c>
      <c r="KG83" s="481" t="s">
        <v>287</v>
      </c>
      <c r="KH83" s="367" t="s">
        <v>287</v>
      </c>
      <c r="KI83" s="367" t="s">
        <v>287</v>
      </c>
      <c r="KJ83" s="367" t="s">
        <v>287</v>
      </c>
      <c r="KK83" s="367" t="s">
        <v>287</v>
      </c>
      <c r="KL83" s="367" t="s">
        <v>287</v>
      </c>
      <c r="KM83" s="367" t="s">
        <v>287</v>
      </c>
      <c r="KN83" s="367" t="s">
        <v>287</v>
      </c>
      <c r="KO83" s="367" t="s">
        <v>287</v>
      </c>
      <c r="KP83" s="367" t="s">
        <v>287</v>
      </c>
      <c r="KQ83" s="367" t="s">
        <v>287</v>
      </c>
      <c r="KR83" s="367" t="s">
        <v>287</v>
      </c>
      <c r="KS83" s="367" t="s">
        <v>287</v>
      </c>
      <c r="KT83" s="367" t="s">
        <v>287</v>
      </c>
      <c r="KU83" s="367" t="s">
        <v>287</v>
      </c>
      <c r="KV83" s="367" t="s">
        <v>287</v>
      </c>
      <c r="KW83" s="368" t="s">
        <v>287</v>
      </c>
      <c r="KX83" s="568"/>
      <c r="KY83" s="568"/>
      <c r="KZ83" s="367"/>
      <c r="LA83" s="367"/>
      <c r="LB83" s="367"/>
      <c r="LC83" s="568"/>
      <c r="LD83" s="568"/>
      <c r="LE83" s="367"/>
      <c r="LF83" s="367"/>
      <c r="LG83" s="367"/>
      <c r="LH83" s="568"/>
      <c r="LI83" s="568"/>
      <c r="LJ83" s="367"/>
      <c r="LK83" s="367"/>
      <c r="LL83" s="367"/>
      <c r="LM83" s="568"/>
      <c r="LN83" s="568"/>
      <c r="LO83" s="367"/>
      <c r="LP83" s="367"/>
      <c r="LQ83" s="368"/>
      <c r="LR83" s="377" t="s">
        <v>287</v>
      </c>
      <c r="LS83" s="377" t="s">
        <v>287</v>
      </c>
      <c r="LT83" s="377" t="s">
        <v>287</v>
      </c>
      <c r="LU83" s="377" t="s">
        <v>287</v>
      </c>
      <c r="LV83" s="377" t="s">
        <v>287</v>
      </c>
      <c r="LW83" s="377" t="s">
        <v>287</v>
      </c>
      <c r="LX83" s="377" t="s">
        <v>287</v>
      </c>
      <c r="LY83" s="377" t="s">
        <v>287</v>
      </c>
      <c r="LZ83" s="377" t="s">
        <v>287</v>
      </c>
      <c r="MA83" s="377" t="s">
        <v>287</v>
      </c>
      <c r="MB83" s="377" t="s">
        <v>287</v>
      </c>
      <c r="MC83" s="377" t="s">
        <v>287</v>
      </c>
      <c r="MD83" s="377" t="s">
        <v>287</v>
      </c>
      <c r="ME83" s="377" t="s">
        <v>287</v>
      </c>
      <c r="MF83" s="377" t="s">
        <v>287</v>
      </c>
      <c r="MG83" s="377" t="s">
        <v>287</v>
      </c>
      <c r="MH83" s="377" t="s">
        <v>287</v>
      </c>
      <c r="MI83" s="377" t="s">
        <v>287</v>
      </c>
      <c r="MJ83" s="377" t="s">
        <v>287</v>
      </c>
      <c r="MK83" s="377" t="s">
        <v>287</v>
      </c>
      <c r="ML83" s="377" t="s">
        <v>287</v>
      </c>
      <c r="MM83" s="377" t="s">
        <v>287</v>
      </c>
      <c r="MN83" s="481" t="s">
        <v>287</v>
      </c>
      <c r="MO83" s="377" t="s">
        <v>287</v>
      </c>
      <c r="MP83" s="377" t="s">
        <v>287</v>
      </c>
      <c r="MQ83" s="377" t="s">
        <v>287</v>
      </c>
      <c r="MR83" s="377" t="s">
        <v>287</v>
      </c>
      <c r="MS83" s="377" t="s">
        <v>287</v>
      </c>
      <c r="MT83" s="377" t="s">
        <v>287</v>
      </c>
      <c r="MU83" s="377" t="s">
        <v>287</v>
      </c>
      <c r="MV83" s="377" t="s">
        <v>287</v>
      </c>
      <c r="MW83" s="377" t="s">
        <v>287</v>
      </c>
      <c r="MX83" s="377" t="s">
        <v>287</v>
      </c>
      <c r="MY83" s="377" t="s">
        <v>287</v>
      </c>
      <c r="MZ83" s="377" t="s">
        <v>287</v>
      </c>
      <c r="NA83" s="377" t="s">
        <v>287</v>
      </c>
      <c r="NB83" s="377" t="s">
        <v>287</v>
      </c>
      <c r="NC83" s="377" t="s">
        <v>287</v>
      </c>
      <c r="ND83" s="377" t="s">
        <v>287</v>
      </c>
      <c r="NE83" s="377" t="s">
        <v>287</v>
      </c>
      <c r="NF83" s="377" t="s">
        <v>287</v>
      </c>
      <c r="NG83" s="377" t="s">
        <v>287</v>
      </c>
      <c r="NH83" s="377" t="s">
        <v>287</v>
      </c>
      <c r="NI83" s="377" t="s">
        <v>287</v>
      </c>
      <c r="NJ83" s="377" t="s">
        <v>287</v>
      </c>
      <c r="NK83" s="377" t="s">
        <v>287</v>
      </c>
      <c r="NL83" s="377" t="s">
        <v>287</v>
      </c>
      <c r="NM83" s="377" t="s">
        <v>287</v>
      </c>
      <c r="NN83" s="377" t="s">
        <v>287</v>
      </c>
      <c r="NO83" s="377" t="s">
        <v>287</v>
      </c>
      <c r="NP83" s="377" t="s">
        <v>287</v>
      </c>
      <c r="NQ83" s="377" t="s">
        <v>287</v>
      </c>
      <c r="NR83" s="377" t="s">
        <v>287</v>
      </c>
      <c r="NS83" s="377" t="s">
        <v>287</v>
      </c>
      <c r="NT83" s="377" t="s">
        <v>287</v>
      </c>
      <c r="NU83" s="377" t="s">
        <v>287</v>
      </c>
      <c r="NV83" s="377" t="s">
        <v>287</v>
      </c>
      <c r="NW83" s="377" t="s">
        <v>287</v>
      </c>
      <c r="NX83" s="377" t="s">
        <v>287</v>
      </c>
      <c r="NY83" s="377" t="s">
        <v>287</v>
      </c>
      <c r="NZ83" s="377" t="s">
        <v>287</v>
      </c>
      <c r="OA83" s="481" t="s">
        <v>287</v>
      </c>
    </row>
    <row r="84" spans="1:391" s="370" customFormat="1" x14ac:dyDescent="0.25">
      <c r="A84" s="68"/>
      <c r="B84" s="10"/>
      <c r="C84" s="68"/>
      <c r="D84" s="68"/>
      <c r="E84" s="68"/>
      <c r="F84" s="68"/>
      <c r="G84" s="68"/>
      <c r="H84" s="68"/>
      <c r="I84" s="68"/>
      <c r="J84" s="68"/>
      <c r="K84" s="68"/>
      <c r="L84" s="68"/>
      <c r="M84" s="68"/>
      <c r="N84" s="68"/>
      <c r="O84" s="68"/>
      <c r="P84" s="68"/>
      <c r="Q84" s="68"/>
      <c r="R84" s="68"/>
      <c r="S84" s="68"/>
      <c r="T84" s="70"/>
      <c r="AC84" s="68"/>
      <c r="AD84" s="70"/>
      <c r="AM84" s="68"/>
      <c r="AN84" s="70"/>
      <c r="AU84" s="68"/>
      <c r="AV84" s="70"/>
      <c r="BB84" s="68"/>
      <c r="BC84" s="70"/>
      <c r="BD84" s="68"/>
      <c r="BE84" s="68"/>
      <c r="BF84" s="68"/>
      <c r="BG84" s="68"/>
      <c r="BH84" s="68"/>
      <c r="BI84" s="68"/>
      <c r="BJ84" s="70"/>
      <c r="BM84" s="68"/>
      <c r="BN84" s="70"/>
      <c r="BT84" s="68"/>
      <c r="BU84" s="70"/>
      <c r="BZ84" s="10"/>
      <c r="CF84" s="10"/>
      <c r="CI84" s="389"/>
      <c r="CJ84" s="389"/>
      <c r="CK84" s="68"/>
      <c r="CL84" s="70"/>
      <c r="CO84" s="10"/>
      <c r="CU84" s="10"/>
      <c r="DA84" s="10"/>
      <c r="DB84" s="70"/>
      <c r="DC84" s="70"/>
      <c r="DF84" s="68"/>
      <c r="DG84" s="70"/>
      <c r="DH84" s="68"/>
      <c r="DI84" s="386"/>
      <c r="DJ84" s="425"/>
      <c r="DL84" s="68"/>
      <c r="DM84" s="70"/>
      <c r="DQ84" s="68"/>
      <c r="DR84" s="70"/>
      <c r="DS84" s="338"/>
      <c r="DT84" s="338"/>
      <c r="DU84" s="338"/>
      <c r="DW84" s="338"/>
      <c r="DX84" s="338"/>
      <c r="DY84" s="338"/>
      <c r="EA84" s="338"/>
      <c r="EB84" s="338"/>
      <c r="EC84" s="338"/>
      <c r="EE84" s="338"/>
      <c r="EF84" s="338"/>
      <c r="EG84" s="338"/>
      <c r="EI84" s="336"/>
      <c r="EJ84" s="336"/>
      <c r="EK84" s="336"/>
      <c r="EL84" s="336"/>
      <c r="EM84" s="336"/>
      <c r="EN84" s="336"/>
      <c r="EO84" s="337"/>
      <c r="EP84" s="342"/>
      <c r="EQ84" s="336"/>
      <c r="ER84" s="342"/>
      <c r="ES84" s="336"/>
      <c r="ET84" s="342"/>
      <c r="EU84" s="336"/>
      <c r="EV84" s="342"/>
      <c r="EW84" s="336"/>
      <c r="EX84" s="342"/>
      <c r="EY84" s="342"/>
      <c r="EZ84" s="342"/>
      <c r="FA84" s="337"/>
      <c r="FE84" s="338"/>
      <c r="FH84" s="338"/>
      <c r="FI84" s="338"/>
      <c r="FJ84" s="338"/>
      <c r="FK84" s="338"/>
      <c r="FL84" s="338"/>
      <c r="FM84" s="337"/>
      <c r="FN84" s="336"/>
      <c r="FO84" s="336"/>
      <c r="FP84" s="336"/>
      <c r="FQ84" s="336"/>
      <c r="FR84" s="336"/>
      <c r="FS84" s="336"/>
      <c r="FT84" s="336"/>
      <c r="FU84" s="336"/>
      <c r="FV84" s="336"/>
      <c r="FW84" s="337"/>
      <c r="FX84" s="532"/>
      <c r="FY84" s="341"/>
      <c r="FZ84" s="341"/>
      <c r="GA84" s="336"/>
      <c r="GB84" s="341"/>
      <c r="GC84" s="341"/>
      <c r="GD84" s="341"/>
      <c r="GE84" s="336"/>
      <c r="GF84" s="336"/>
      <c r="GG84" s="336"/>
      <c r="GH84" s="336"/>
      <c r="GI84" s="336"/>
      <c r="GJ84" s="337"/>
      <c r="GM84" s="338"/>
      <c r="GN84" s="338"/>
      <c r="GO84" s="338"/>
      <c r="GP84" s="369"/>
      <c r="GS84" s="338"/>
      <c r="GT84" s="338"/>
      <c r="GU84" s="338"/>
      <c r="GY84" s="338"/>
      <c r="GZ84" s="338"/>
      <c r="HA84" s="338"/>
      <c r="HE84" s="338"/>
      <c r="HF84" s="338"/>
      <c r="HG84" s="338"/>
      <c r="HN84" s="68"/>
      <c r="HO84" s="68"/>
      <c r="HP84" s="68"/>
      <c r="HQ84" s="336"/>
      <c r="HR84" s="68"/>
      <c r="HS84" s="68"/>
      <c r="HT84" s="10"/>
      <c r="HW84" s="338"/>
      <c r="HX84" s="338"/>
      <c r="HY84" s="338"/>
      <c r="IC84" s="338"/>
      <c r="ID84" s="338"/>
      <c r="IE84" s="338"/>
      <c r="II84" s="338"/>
      <c r="IJ84" s="338"/>
      <c r="IK84" s="338"/>
      <c r="IO84" s="338"/>
      <c r="IP84" s="338"/>
      <c r="IQ84" s="338"/>
      <c r="IX84" s="582" t="s">
        <v>795</v>
      </c>
      <c r="IY84" s="582"/>
      <c r="IZ84" s="582"/>
      <c r="JA84" s="582"/>
      <c r="JB84" s="582"/>
      <c r="JC84" s="582"/>
      <c r="JD84" s="502"/>
      <c r="JE84" s="73">
        <v>200</v>
      </c>
      <c r="JF84" s="73">
        <v>109</v>
      </c>
      <c r="JG84" s="338"/>
      <c r="JH84" s="338"/>
      <c r="JI84" s="338"/>
      <c r="JK84" s="498"/>
      <c r="JL84" s="498"/>
      <c r="JM84" s="498"/>
      <c r="JN84" s="498"/>
      <c r="JO84" s="498"/>
      <c r="JP84" s="498"/>
      <c r="JQ84" s="498"/>
      <c r="JR84" s="498"/>
      <c r="JS84" s="498"/>
      <c r="JT84" s="498"/>
      <c r="JU84" s="498"/>
      <c r="JW84" s="358"/>
      <c r="JX84" s="336"/>
      <c r="JY84" s="341"/>
      <c r="JZ84" s="336"/>
      <c r="KA84" s="336"/>
      <c r="KB84" s="336"/>
      <c r="KC84" s="336"/>
      <c r="KD84" s="336"/>
      <c r="KE84" s="336"/>
      <c r="KF84" s="336"/>
      <c r="KG84" s="337"/>
      <c r="KH84" s="338"/>
      <c r="KI84" s="338"/>
      <c r="KJ84" s="338"/>
      <c r="KK84" s="338"/>
      <c r="KL84" s="338"/>
      <c r="KM84" s="338"/>
      <c r="KN84" s="338"/>
      <c r="KO84" s="338"/>
      <c r="KP84" s="338"/>
      <c r="KQ84" s="338"/>
      <c r="KR84" s="338"/>
      <c r="KS84" s="338"/>
      <c r="KT84" s="338"/>
      <c r="KU84" s="338"/>
      <c r="KV84" s="338"/>
      <c r="KW84" s="337"/>
      <c r="KX84" s="336"/>
      <c r="KY84" s="336"/>
      <c r="KZ84" s="336"/>
      <c r="LA84" s="336"/>
      <c r="LB84" s="336"/>
      <c r="LC84" s="336"/>
      <c r="LD84" s="336"/>
      <c r="LE84" s="336"/>
      <c r="LF84" s="336"/>
      <c r="LG84" s="336"/>
      <c r="LH84" s="336"/>
      <c r="LI84" s="336"/>
      <c r="LJ84" s="336"/>
      <c r="LK84" s="336"/>
      <c r="LL84" s="336"/>
      <c r="LM84" s="336"/>
      <c r="LN84" s="336"/>
      <c r="LO84" s="336"/>
      <c r="LP84" s="336"/>
      <c r="LQ84" s="337"/>
      <c r="MN84" s="10"/>
      <c r="OA84" s="10"/>
    </row>
    <row r="85" spans="1:391" s="370" customFormat="1" x14ac:dyDescent="0.25">
      <c r="A85" s="68"/>
      <c r="B85" s="10"/>
      <c r="C85" s="68"/>
      <c r="D85" s="68"/>
      <c r="E85" s="68"/>
      <c r="F85" s="68"/>
      <c r="G85" s="68"/>
      <c r="H85" s="68"/>
      <c r="I85" s="68"/>
      <c r="J85" s="68"/>
      <c r="K85" s="68"/>
      <c r="L85" s="68"/>
      <c r="M85" s="68"/>
      <c r="N85" s="68"/>
      <c r="O85" s="68"/>
      <c r="P85" s="68"/>
      <c r="Q85" s="68"/>
      <c r="R85" s="68"/>
      <c r="S85" s="68"/>
      <c r="T85" s="70"/>
      <c r="AC85" s="68"/>
      <c r="AD85" s="70"/>
      <c r="AM85" s="68"/>
      <c r="AN85" s="70"/>
      <c r="AU85" s="68"/>
      <c r="AV85" s="70"/>
      <c r="BB85" s="68"/>
      <c r="BC85" s="70"/>
      <c r="BD85" s="68"/>
      <c r="BE85" s="68"/>
      <c r="BF85" s="68"/>
      <c r="BG85" s="68"/>
      <c r="BH85" s="68"/>
      <c r="BI85" s="68"/>
      <c r="BJ85" s="70"/>
      <c r="BM85" s="68"/>
      <c r="BN85" s="70"/>
      <c r="BT85" s="68"/>
      <c r="BU85" s="70"/>
      <c r="BZ85" s="10"/>
      <c r="CF85" s="10"/>
      <c r="CI85" s="389"/>
      <c r="CJ85" s="389"/>
      <c r="CK85" s="68"/>
      <c r="CL85" s="70"/>
      <c r="CO85" s="10"/>
      <c r="CU85" s="10"/>
      <c r="DA85" s="10"/>
      <c r="DB85" s="70"/>
      <c r="DC85" s="70"/>
      <c r="DF85" s="68"/>
      <c r="DG85" s="70"/>
      <c r="DH85" s="68"/>
      <c r="DI85" s="386"/>
      <c r="DJ85" s="425"/>
      <c r="DL85" s="68"/>
      <c r="DM85" s="70"/>
      <c r="DQ85" s="68"/>
      <c r="DR85" s="70"/>
      <c r="DS85" s="338"/>
      <c r="DT85" s="338"/>
      <c r="DU85" s="338"/>
      <c r="DW85" s="338"/>
      <c r="DX85" s="338"/>
      <c r="DY85" s="338"/>
      <c r="EA85" s="338"/>
      <c r="EB85" s="338"/>
      <c r="EC85" s="338"/>
      <c r="EE85" s="338"/>
      <c r="EF85" s="338"/>
      <c r="EG85" s="338"/>
      <c r="EI85" s="336"/>
      <c r="EJ85" s="336"/>
      <c r="EK85" s="336"/>
      <c r="EL85" s="336"/>
      <c r="EM85" s="336"/>
      <c r="EN85" s="336"/>
      <c r="EO85" s="337"/>
      <c r="EP85" s="342"/>
      <c r="EQ85" s="336"/>
      <c r="ER85" s="342"/>
      <c r="ES85" s="336"/>
      <c r="ET85" s="342"/>
      <c r="EU85" s="336"/>
      <c r="EV85" s="342"/>
      <c r="EW85" s="336"/>
      <c r="EX85" s="342"/>
      <c r="EY85" s="342"/>
      <c r="EZ85" s="342"/>
      <c r="FA85" s="337"/>
      <c r="FE85" s="338"/>
      <c r="FH85" s="338"/>
      <c r="FI85" s="338"/>
      <c r="FJ85" s="338"/>
      <c r="FK85" s="338"/>
      <c r="FL85" s="338"/>
      <c r="FM85" s="337"/>
      <c r="FN85" s="336"/>
      <c r="FO85" s="336"/>
      <c r="FP85" s="336"/>
      <c r="FQ85" s="336"/>
      <c r="FR85" s="336"/>
      <c r="FS85" s="336"/>
      <c r="FT85" s="336"/>
      <c r="FU85" s="336"/>
      <c r="FV85" s="336"/>
      <c r="FW85" s="337"/>
      <c r="FX85" s="532"/>
      <c r="FY85" s="341"/>
      <c r="FZ85" s="341"/>
      <c r="GA85" s="336"/>
      <c r="GB85" s="341"/>
      <c r="GC85" s="341"/>
      <c r="GD85" s="341"/>
      <c r="GE85" s="336"/>
      <c r="GF85" s="336"/>
      <c r="GG85" s="336"/>
      <c r="GH85" s="336"/>
      <c r="GI85" s="336"/>
      <c r="GJ85" s="337"/>
      <c r="GM85" s="338"/>
      <c r="GN85" s="338"/>
      <c r="GO85" s="338"/>
      <c r="GP85" s="369"/>
      <c r="GS85" s="338"/>
      <c r="GT85" s="338"/>
      <c r="GU85" s="338"/>
      <c r="GY85" s="338"/>
      <c r="GZ85" s="338"/>
      <c r="HA85" s="338"/>
      <c r="HE85" s="338"/>
      <c r="HF85" s="338"/>
      <c r="HG85" s="338"/>
      <c r="HN85" s="68"/>
      <c r="HO85" s="68"/>
      <c r="HP85" s="68"/>
      <c r="HQ85" s="336"/>
      <c r="HR85" s="577"/>
      <c r="HS85" s="577"/>
      <c r="HT85" s="10"/>
      <c r="HW85" s="338"/>
      <c r="HX85" s="338"/>
      <c r="HY85" s="338"/>
      <c r="IC85" s="338"/>
      <c r="ID85" s="338"/>
      <c r="IE85" s="338"/>
      <c r="II85" s="338"/>
      <c r="IJ85" s="338"/>
      <c r="IK85" s="338"/>
      <c r="IO85" s="338"/>
      <c r="IP85" s="338"/>
      <c r="IQ85" s="338"/>
      <c r="IX85" s="582" t="s">
        <v>796</v>
      </c>
      <c r="IY85" s="582"/>
      <c r="IZ85" s="582"/>
      <c r="JA85" s="584"/>
      <c r="JB85" s="584"/>
      <c r="JC85" s="584"/>
      <c r="JD85" s="502"/>
      <c r="JY85" s="341"/>
      <c r="JZ85" s="336"/>
      <c r="KA85" s="336"/>
      <c r="KB85" s="336"/>
      <c r="KC85" s="336"/>
      <c r="KD85" s="336"/>
      <c r="KE85" s="336"/>
      <c r="KF85" s="336"/>
      <c r="KG85" s="337"/>
      <c r="KH85" s="338"/>
      <c r="KI85" s="338"/>
      <c r="KJ85" s="338"/>
      <c r="KK85" s="338"/>
      <c r="KL85" s="338"/>
      <c r="KM85" s="338"/>
      <c r="KN85" s="338"/>
      <c r="KO85" s="338"/>
      <c r="KP85" s="338"/>
      <c r="KQ85" s="338"/>
      <c r="KR85" s="338"/>
      <c r="KS85" s="338"/>
      <c r="KT85" s="338"/>
      <c r="KU85" s="338"/>
      <c r="KV85" s="338"/>
      <c r="KW85" s="337"/>
      <c r="KX85" s="336"/>
      <c r="KY85" s="336"/>
      <c r="KZ85" s="336"/>
      <c r="LA85" s="336"/>
      <c r="LB85" s="336"/>
      <c r="LC85" s="336"/>
      <c r="LD85" s="336"/>
      <c r="LE85" s="336"/>
      <c r="LF85" s="336"/>
      <c r="LG85" s="336"/>
      <c r="LH85" s="336"/>
      <c r="LI85" s="336"/>
      <c r="LJ85" s="336"/>
      <c r="LK85" s="336"/>
      <c r="LL85" s="336"/>
      <c r="LM85" s="336"/>
      <c r="LN85" s="336"/>
      <c r="LO85" s="336"/>
      <c r="LP85" s="336"/>
      <c r="LQ85" s="337"/>
      <c r="MN85" s="10"/>
      <c r="OA85" s="10"/>
    </row>
    <row r="86" spans="1:391" s="370" customFormat="1" x14ac:dyDescent="0.25">
      <c r="A86" s="68"/>
      <c r="B86" s="10"/>
      <c r="C86" s="68"/>
      <c r="D86" s="68"/>
      <c r="E86" s="68"/>
      <c r="F86" s="68"/>
      <c r="G86" s="68"/>
      <c r="H86" s="68"/>
      <c r="I86" s="68"/>
      <c r="J86" s="68"/>
      <c r="K86" s="68"/>
      <c r="L86" s="68"/>
      <c r="M86" s="68"/>
      <c r="N86" s="68"/>
      <c r="O86" s="68"/>
      <c r="P86" s="68"/>
      <c r="Q86" s="68"/>
      <c r="R86" s="68"/>
      <c r="S86" s="68"/>
      <c r="T86" s="70"/>
      <c r="AC86" s="68"/>
      <c r="AD86" s="70"/>
      <c r="AM86" s="68"/>
      <c r="AN86" s="70"/>
      <c r="AU86" s="68"/>
      <c r="AV86" s="70"/>
      <c r="BB86" s="68"/>
      <c r="BC86" s="70"/>
      <c r="BD86" s="68"/>
      <c r="BE86" s="68"/>
      <c r="BF86" s="68"/>
      <c r="BG86" s="68"/>
      <c r="BH86" s="68"/>
      <c r="BI86" s="68"/>
      <c r="BJ86" s="70"/>
      <c r="BM86" s="68"/>
      <c r="BN86" s="70"/>
      <c r="BT86" s="68"/>
      <c r="BU86" s="70"/>
      <c r="BZ86" s="10"/>
      <c r="CF86" s="10"/>
      <c r="CI86" s="389"/>
      <c r="CJ86" s="389"/>
      <c r="CK86" s="68"/>
      <c r="CL86" s="70"/>
      <c r="CO86" s="10"/>
      <c r="CU86" s="10"/>
      <c r="DA86" s="10"/>
      <c r="DB86" s="70"/>
      <c r="DC86" s="70"/>
      <c r="DF86" s="68"/>
      <c r="DG86" s="70"/>
      <c r="DH86" s="68"/>
      <c r="DI86" s="386"/>
      <c r="DJ86" s="425"/>
      <c r="DL86" s="68"/>
      <c r="DM86" s="70"/>
      <c r="DQ86" s="68"/>
      <c r="DR86" s="70"/>
      <c r="DS86" s="338"/>
      <c r="DT86" s="338"/>
      <c r="DU86" s="338"/>
      <c r="DW86" s="338"/>
      <c r="DX86" s="338"/>
      <c r="DY86" s="338"/>
      <c r="EA86" s="338"/>
      <c r="EB86" s="338"/>
      <c r="EC86" s="338"/>
      <c r="EE86" s="338"/>
      <c r="EF86" s="338"/>
      <c r="EG86" s="338"/>
      <c r="EI86" s="336"/>
      <c r="EJ86" s="336"/>
      <c r="EK86" s="336"/>
      <c r="EL86" s="336"/>
      <c r="EM86" s="336"/>
      <c r="EN86" s="336"/>
      <c r="EO86" s="337"/>
      <c r="EP86" s="342"/>
      <c r="EQ86" s="336"/>
      <c r="ER86" s="342"/>
      <c r="ES86" s="336"/>
      <c r="ET86" s="342"/>
      <c r="EU86" s="336"/>
      <c r="EV86" s="342"/>
      <c r="EW86" s="336"/>
      <c r="EX86" s="342"/>
      <c r="EY86" s="342"/>
      <c r="EZ86" s="342"/>
      <c r="FA86" s="337"/>
      <c r="FE86" s="338"/>
      <c r="FH86" s="338"/>
      <c r="FI86" s="338"/>
      <c r="FJ86" s="338"/>
      <c r="FK86" s="338"/>
      <c r="FL86" s="338"/>
      <c r="FM86" s="337"/>
      <c r="FN86" s="336"/>
      <c r="FO86" s="336"/>
      <c r="FP86" s="336"/>
      <c r="FQ86" s="336"/>
      <c r="FR86" s="336"/>
      <c r="FS86" s="336"/>
      <c r="FT86" s="336"/>
      <c r="FU86" s="336"/>
      <c r="FV86" s="336"/>
      <c r="FW86" s="337"/>
      <c r="FX86" s="532"/>
      <c r="FY86" s="341"/>
      <c r="FZ86" s="341"/>
      <c r="GA86" s="336"/>
      <c r="GB86" s="341"/>
      <c r="GC86" s="341"/>
      <c r="GD86" s="341"/>
      <c r="GE86" s="336"/>
      <c r="GF86" s="336"/>
      <c r="GG86" s="336"/>
      <c r="GH86" s="336"/>
      <c r="GI86" s="336"/>
      <c r="GJ86" s="337"/>
      <c r="GM86" s="338"/>
      <c r="GN86" s="338"/>
      <c r="GO86" s="338"/>
      <c r="GP86" s="369"/>
      <c r="GS86" s="338"/>
      <c r="GT86" s="338"/>
      <c r="GU86" s="338"/>
      <c r="GY86" s="338"/>
      <c r="GZ86" s="338"/>
      <c r="HA86" s="338"/>
      <c r="HE86" s="338"/>
      <c r="HF86" s="338"/>
      <c r="HG86" s="338"/>
      <c r="HN86" s="68"/>
      <c r="HO86" s="68"/>
      <c r="HP86" s="68"/>
      <c r="HQ86" s="336"/>
      <c r="HR86" s="577"/>
      <c r="HS86" s="577"/>
      <c r="HT86" s="10"/>
      <c r="HW86" s="338"/>
      <c r="HX86" s="338"/>
      <c r="HY86" s="338"/>
      <c r="IC86" s="338"/>
      <c r="ID86" s="338"/>
      <c r="IE86" s="338"/>
      <c r="II86" s="338"/>
      <c r="IJ86" s="338"/>
      <c r="IK86" s="338"/>
      <c r="IO86" s="338"/>
      <c r="IP86" s="338"/>
      <c r="IQ86" s="338"/>
      <c r="IX86" s="582"/>
      <c r="JA86" s="584"/>
      <c r="JB86" s="584"/>
      <c r="JC86" s="584"/>
      <c r="JD86" s="502"/>
      <c r="JE86" s="73">
        <f>SUM(JE84:JE85)</f>
        <v>200</v>
      </c>
      <c r="JF86" s="73">
        <f>SUM(JF84:JF85)</f>
        <v>109</v>
      </c>
      <c r="JG86" s="338"/>
      <c r="JH86" s="338"/>
      <c r="JI86" s="338"/>
      <c r="JM86" s="387"/>
      <c r="JN86" s="338"/>
      <c r="JO86" s="358"/>
      <c r="JQ86" s="338"/>
      <c r="JS86" s="338"/>
      <c r="JW86" s="388"/>
      <c r="JX86" s="336"/>
      <c r="JY86" s="336"/>
      <c r="JZ86" s="336"/>
      <c r="KA86" s="336"/>
      <c r="KB86" s="336"/>
      <c r="KC86" s="336"/>
      <c r="KD86" s="336"/>
      <c r="KE86" s="336"/>
      <c r="KF86" s="336"/>
      <c r="KG86" s="337"/>
      <c r="KH86" s="338"/>
      <c r="KI86" s="338"/>
      <c r="KJ86" s="338"/>
      <c r="KK86" s="338"/>
      <c r="KL86" s="338"/>
      <c r="KM86" s="338"/>
      <c r="KN86" s="338"/>
      <c r="KO86" s="338"/>
      <c r="KP86" s="338"/>
      <c r="KQ86" s="338"/>
      <c r="KR86" s="338"/>
      <c r="KS86" s="338"/>
      <c r="KT86" s="338"/>
      <c r="KU86" s="338"/>
      <c r="KV86" s="338"/>
      <c r="KW86" s="337"/>
      <c r="KX86" s="336"/>
      <c r="KY86" s="336"/>
      <c r="KZ86" s="336"/>
      <c r="LA86" s="336"/>
      <c r="LB86" s="336"/>
      <c r="LC86" s="336"/>
      <c r="LD86" s="336"/>
      <c r="LE86" s="336"/>
      <c r="LF86" s="336"/>
      <c r="LG86" s="336"/>
      <c r="LH86" s="336"/>
      <c r="LI86" s="336"/>
      <c r="LJ86" s="336"/>
      <c r="LK86" s="336"/>
      <c r="LL86" s="336"/>
      <c r="LM86" s="336"/>
      <c r="LN86" s="336"/>
      <c r="LO86" s="336"/>
      <c r="LP86" s="336"/>
      <c r="LQ86" s="337"/>
      <c r="MN86" s="10"/>
      <c r="OA86" s="10"/>
    </row>
    <row r="87" spans="1:391" s="370" customFormat="1" x14ac:dyDescent="0.25">
      <c r="A87" s="68"/>
      <c r="B87" s="10"/>
      <c r="C87" s="68"/>
      <c r="D87" s="68"/>
      <c r="E87" s="68"/>
      <c r="F87" s="68"/>
      <c r="G87" s="68"/>
      <c r="H87" s="68"/>
      <c r="I87" s="68"/>
      <c r="J87" s="68"/>
      <c r="K87" s="68"/>
      <c r="L87" s="68"/>
      <c r="M87" s="68"/>
      <c r="N87" s="68"/>
      <c r="O87" s="68"/>
      <c r="P87" s="68"/>
      <c r="Q87" s="68"/>
      <c r="R87" s="68"/>
      <c r="S87" s="68"/>
      <c r="T87" s="70"/>
      <c r="AC87" s="68"/>
      <c r="AD87" s="70"/>
      <c r="AM87" s="68"/>
      <c r="AN87" s="70"/>
      <c r="AU87" s="68"/>
      <c r="AV87" s="70"/>
      <c r="BB87" s="68"/>
      <c r="BC87" s="70"/>
      <c r="BD87" s="68"/>
      <c r="BE87" s="68"/>
      <c r="BF87" s="68"/>
      <c r="BG87" s="68"/>
      <c r="BH87" s="68"/>
      <c r="BI87" s="68"/>
      <c r="BJ87" s="70"/>
      <c r="BM87" s="68"/>
      <c r="BN87" s="70"/>
      <c r="BT87" s="68"/>
      <c r="BU87" s="70"/>
      <c r="BZ87" s="10"/>
      <c r="CF87" s="10"/>
      <c r="CI87" s="389"/>
      <c r="CJ87" s="389"/>
      <c r="CK87" s="68"/>
      <c r="CL87" s="70"/>
      <c r="CO87" s="10"/>
      <c r="CU87" s="10"/>
      <c r="DA87" s="10"/>
      <c r="DB87" s="70"/>
      <c r="DC87" s="70"/>
      <c r="DF87" s="68"/>
      <c r="DG87" s="70"/>
      <c r="DH87" s="68"/>
      <c r="DI87" s="386"/>
      <c r="DJ87" s="425"/>
      <c r="DL87" s="68"/>
      <c r="DM87" s="70"/>
      <c r="DQ87" s="68"/>
      <c r="DR87" s="70"/>
      <c r="DS87" s="338"/>
      <c r="DT87" s="338"/>
      <c r="DU87" s="338"/>
      <c r="DW87" s="338"/>
      <c r="DX87" s="338"/>
      <c r="DY87" s="338"/>
      <c r="EA87" s="338"/>
      <c r="EB87" s="338"/>
      <c r="EC87" s="338"/>
      <c r="EE87" s="338"/>
      <c r="EF87" s="338"/>
      <c r="EG87" s="338"/>
      <c r="EI87" s="336"/>
      <c r="EJ87" s="336"/>
      <c r="EK87" s="336"/>
      <c r="EL87" s="336"/>
      <c r="EM87" s="336"/>
      <c r="EN87" s="336"/>
      <c r="EO87" s="337"/>
      <c r="EP87" s="342"/>
      <c r="EQ87" s="336"/>
      <c r="ER87" s="342"/>
      <c r="ES87" s="336"/>
      <c r="ET87" s="342"/>
      <c r="EU87" s="336"/>
      <c r="EV87" s="342"/>
      <c r="EW87" s="336"/>
      <c r="EX87" s="342"/>
      <c r="EY87" s="342"/>
      <c r="EZ87" s="342"/>
      <c r="FA87" s="337"/>
      <c r="FE87" s="338"/>
      <c r="FH87" s="338"/>
      <c r="FI87" s="338"/>
      <c r="FJ87" s="338"/>
      <c r="FK87" s="338"/>
      <c r="FL87" s="338"/>
      <c r="FM87" s="337"/>
      <c r="FN87" s="336"/>
      <c r="FO87" s="336"/>
      <c r="FP87" s="336"/>
      <c r="FQ87" s="336"/>
      <c r="FR87" s="336"/>
      <c r="FS87" s="336"/>
      <c r="FT87" s="336"/>
      <c r="FU87" s="336"/>
      <c r="FV87" s="336"/>
      <c r="FW87" s="337"/>
      <c r="FX87" s="532"/>
      <c r="FY87" s="341"/>
      <c r="FZ87" s="341"/>
      <c r="GA87" s="336"/>
      <c r="GB87" s="341"/>
      <c r="GC87" s="341"/>
      <c r="GD87" s="341"/>
      <c r="GE87" s="336"/>
      <c r="GF87" s="336"/>
      <c r="GG87" s="336"/>
      <c r="GH87" s="336"/>
      <c r="GI87" s="336"/>
      <c r="GJ87" s="337"/>
      <c r="GM87" s="338"/>
      <c r="GN87" s="338"/>
      <c r="GO87" s="338"/>
      <c r="GP87" s="369"/>
      <c r="GS87" s="338"/>
      <c r="GT87" s="338"/>
      <c r="GU87" s="338"/>
      <c r="GY87" s="338"/>
      <c r="GZ87" s="338"/>
      <c r="HA87" s="338"/>
      <c r="HE87" s="338"/>
      <c r="HF87" s="338"/>
      <c r="HG87" s="338"/>
      <c r="HN87" s="68"/>
      <c r="HO87" s="68"/>
      <c r="HP87" s="68"/>
      <c r="HQ87" s="338"/>
      <c r="HR87" s="577"/>
      <c r="HS87" s="577"/>
      <c r="HT87" s="10"/>
      <c r="HW87" s="338"/>
      <c r="HX87" s="338"/>
      <c r="HY87" s="338"/>
      <c r="IC87" s="338"/>
      <c r="ID87" s="338"/>
      <c r="IE87" s="338"/>
      <c r="II87" s="338"/>
      <c r="IJ87" s="338"/>
      <c r="IK87" s="338"/>
      <c r="IO87" s="338"/>
      <c r="IP87" s="338"/>
      <c r="IQ87" s="338"/>
      <c r="IX87" s="68"/>
      <c r="IY87" s="68"/>
      <c r="IZ87" s="68"/>
      <c r="JA87" s="584"/>
      <c r="JB87" s="584"/>
      <c r="JC87" s="584"/>
      <c r="JD87" s="10"/>
      <c r="JG87" s="338"/>
      <c r="JH87" s="338"/>
      <c r="JI87" s="338"/>
      <c r="JM87" s="338"/>
      <c r="JN87" s="338"/>
      <c r="JQ87" s="338"/>
      <c r="JR87" s="338"/>
      <c r="JS87" s="338"/>
      <c r="JW87" s="358"/>
      <c r="JX87" s="336"/>
      <c r="JY87" s="336"/>
      <c r="JZ87" s="336"/>
      <c r="KA87" s="336"/>
      <c r="KB87" s="336"/>
      <c r="KC87" s="336"/>
      <c r="KD87" s="336"/>
      <c r="KE87" s="336"/>
      <c r="KF87" s="336"/>
      <c r="KG87" s="337"/>
      <c r="KH87" s="338"/>
      <c r="KI87" s="338"/>
      <c r="KJ87" s="338"/>
      <c r="KK87" s="338"/>
      <c r="KL87" s="338"/>
      <c r="KM87" s="338"/>
      <c r="KN87" s="338"/>
      <c r="KO87" s="338"/>
      <c r="KP87" s="338"/>
      <c r="KQ87" s="338"/>
      <c r="KR87" s="338"/>
      <c r="KS87" s="338"/>
      <c r="KT87" s="338"/>
      <c r="KU87" s="338"/>
      <c r="KV87" s="338"/>
      <c r="KW87" s="337"/>
      <c r="KX87" s="336"/>
      <c r="KY87" s="336"/>
      <c r="KZ87" s="336"/>
      <c r="LA87" s="336"/>
      <c r="LB87" s="336"/>
      <c r="LC87" s="336"/>
      <c r="LD87" s="336"/>
      <c r="LE87" s="336"/>
      <c r="LF87" s="336"/>
      <c r="LG87" s="336"/>
      <c r="LH87" s="336"/>
      <c r="LI87" s="336"/>
      <c r="LJ87" s="336"/>
      <c r="LK87" s="336"/>
      <c r="LL87" s="336"/>
      <c r="LM87" s="336"/>
      <c r="LN87" s="336"/>
      <c r="LO87" s="336"/>
      <c r="LP87" s="336"/>
      <c r="LQ87" s="337"/>
      <c r="MN87" s="10"/>
      <c r="OA87" s="10"/>
    </row>
    <row r="88" spans="1:391" s="370" customFormat="1" x14ac:dyDescent="0.25">
      <c r="A88" s="68"/>
      <c r="B88" s="10"/>
      <c r="C88" s="68"/>
      <c r="D88" s="68"/>
      <c r="E88" s="68"/>
      <c r="F88" s="68"/>
      <c r="G88" s="68"/>
      <c r="H88" s="68"/>
      <c r="I88" s="68"/>
      <c r="J88" s="68"/>
      <c r="K88" s="68"/>
      <c r="L88" s="68"/>
      <c r="M88" s="68"/>
      <c r="N88" s="68"/>
      <c r="O88" s="68"/>
      <c r="P88" s="68"/>
      <c r="Q88" s="68"/>
      <c r="R88" s="68"/>
      <c r="S88" s="68"/>
      <c r="T88" s="70"/>
      <c r="AC88" s="68"/>
      <c r="AD88" s="70"/>
      <c r="AM88" s="68"/>
      <c r="AN88" s="70"/>
      <c r="AU88" s="68"/>
      <c r="AV88" s="70"/>
      <c r="BB88" s="68"/>
      <c r="BC88" s="70"/>
      <c r="BD88" s="68"/>
      <c r="BE88" s="68"/>
      <c r="BF88" s="68"/>
      <c r="BG88" s="68"/>
      <c r="BH88" s="68"/>
      <c r="BI88" s="68"/>
      <c r="BJ88" s="70"/>
      <c r="BM88" s="68"/>
      <c r="BN88" s="70"/>
      <c r="BT88" s="68"/>
      <c r="BU88" s="70"/>
      <c r="BZ88" s="10"/>
      <c r="CF88" s="10"/>
      <c r="CI88" s="389"/>
      <c r="CJ88" s="389"/>
      <c r="CK88" s="68"/>
      <c r="CL88" s="70"/>
      <c r="CO88" s="10"/>
      <c r="CU88" s="10"/>
      <c r="DA88" s="10"/>
      <c r="DB88" s="70"/>
      <c r="DC88" s="70"/>
      <c r="DF88" s="68"/>
      <c r="DG88" s="70"/>
      <c r="DH88" s="68"/>
      <c r="DI88" s="386"/>
      <c r="DJ88" s="425"/>
      <c r="DL88" s="68"/>
      <c r="DM88" s="70"/>
      <c r="DQ88" s="68"/>
      <c r="DR88" s="70"/>
      <c r="DS88" s="338"/>
      <c r="DT88" s="338"/>
      <c r="DU88" s="338"/>
      <c r="DW88" s="338"/>
      <c r="DX88" s="338"/>
      <c r="DY88" s="338"/>
      <c r="EA88" s="338"/>
      <c r="EB88" s="338"/>
      <c r="EC88" s="338"/>
      <c r="EE88" s="338"/>
      <c r="EF88" s="338"/>
      <c r="EG88" s="338"/>
      <c r="EI88" s="336"/>
      <c r="EJ88" s="336"/>
      <c r="EK88" s="336"/>
      <c r="EL88" s="336"/>
      <c r="EM88" s="336"/>
      <c r="EN88" s="336"/>
      <c r="EO88" s="337"/>
      <c r="EP88" s="342"/>
      <c r="EQ88" s="336"/>
      <c r="ER88" s="342"/>
      <c r="ES88" s="336"/>
      <c r="ET88" s="342"/>
      <c r="EU88" s="336"/>
      <c r="EV88" s="342"/>
      <c r="EW88" s="336"/>
      <c r="EX88" s="342"/>
      <c r="EY88" s="342"/>
      <c r="EZ88" s="342"/>
      <c r="FA88" s="337"/>
      <c r="FE88" s="338"/>
      <c r="FH88" s="338"/>
      <c r="FI88" s="338"/>
      <c r="FJ88" s="338"/>
      <c r="FK88" s="338"/>
      <c r="FL88" s="338"/>
      <c r="FM88" s="337"/>
      <c r="FN88" s="336"/>
      <c r="FO88" s="336"/>
      <c r="FP88" s="336"/>
      <c r="FQ88" s="336"/>
      <c r="FR88" s="336"/>
      <c r="FS88" s="336"/>
      <c r="FT88" s="336"/>
      <c r="FU88" s="336"/>
      <c r="FV88" s="336"/>
      <c r="FW88" s="337"/>
      <c r="FX88" s="532"/>
      <c r="FY88" s="341"/>
      <c r="FZ88" s="341"/>
      <c r="GA88" s="336"/>
      <c r="GB88" s="341"/>
      <c r="GC88" s="341"/>
      <c r="GD88" s="341"/>
      <c r="GE88" s="336"/>
      <c r="GF88" s="336"/>
      <c r="GG88" s="336"/>
      <c r="GH88" s="336"/>
      <c r="GI88" s="336"/>
      <c r="GJ88" s="337"/>
      <c r="GM88" s="338"/>
      <c r="GN88" s="338"/>
      <c r="GO88" s="338"/>
      <c r="GP88" s="369"/>
      <c r="GS88" s="338"/>
      <c r="GT88" s="338"/>
      <c r="GU88" s="338"/>
      <c r="GY88" s="338"/>
      <c r="GZ88" s="338"/>
      <c r="HA88" s="338"/>
      <c r="HE88" s="338"/>
      <c r="HF88" s="338"/>
      <c r="HG88" s="338"/>
      <c r="HN88" s="68"/>
      <c r="HO88" s="68"/>
      <c r="HP88" s="68"/>
      <c r="HQ88" s="336"/>
      <c r="HR88" s="577"/>
      <c r="HS88" s="577"/>
      <c r="HT88" s="10"/>
      <c r="HW88" s="338"/>
      <c r="HX88" s="338"/>
      <c r="HY88" s="338"/>
      <c r="IC88" s="338"/>
      <c r="ID88" s="338"/>
      <c r="IE88" s="338"/>
      <c r="II88" s="338"/>
      <c r="IJ88" s="338"/>
      <c r="IK88" s="338"/>
      <c r="IO88" s="338"/>
      <c r="IP88" s="338"/>
      <c r="IQ88" s="338"/>
      <c r="IX88" s="68"/>
      <c r="IY88" s="68"/>
      <c r="IZ88" s="68"/>
      <c r="JA88" s="584"/>
      <c r="JB88" s="584"/>
      <c r="JC88" s="584"/>
      <c r="JD88" s="10"/>
      <c r="JG88" s="338"/>
      <c r="JH88" s="338"/>
      <c r="JI88" s="338"/>
      <c r="JM88" s="338"/>
      <c r="JN88" s="338"/>
      <c r="JQ88" s="338"/>
      <c r="JR88" s="338"/>
      <c r="JS88" s="338"/>
      <c r="JW88" s="358"/>
      <c r="JX88" s="336"/>
      <c r="KI88" s="338"/>
      <c r="KJ88" s="338"/>
      <c r="KK88" s="338"/>
      <c r="KL88" s="338"/>
      <c r="KM88" s="338"/>
      <c r="KN88" s="338"/>
      <c r="KO88" s="338"/>
      <c r="KP88" s="338"/>
      <c r="KQ88" s="338"/>
      <c r="KR88" s="338"/>
      <c r="KS88" s="338"/>
      <c r="KT88" s="338"/>
      <c r="KU88" s="338"/>
      <c r="KV88" s="338"/>
      <c r="KW88" s="337"/>
      <c r="KX88" s="336"/>
      <c r="KY88" s="336"/>
      <c r="KZ88" s="336"/>
      <c r="LA88" s="336"/>
      <c r="LB88" s="336"/>
      <c r="LC88" s="336"/>
      <c r="LD88" s="336"/>
      <c r="LE88" s="336"/>
      <c r="LF88" s="336"/>
      <c r="LG88" s="336"/>
      <c r="LH88" s="336"/>
      <c r="LI88" s="336"/>
      <c r="LJ88" s="336"/>
      <c r="LK88" s="336"/>
      <c r="LL88" s="336"/>
      <c r="LM88" s="336"/>
      <c r="LN88" s="336"/>
      <c r="LO88" s="336"/>
      <c r="LP88" s="336"/>
      <c r="LQ88" s="337"/>
      <c r="MN88" s="10"/>
      <c r="OA88" s="10"/>
    </row>
    <row r="89" spans="1:391" s="370" customFormat="1" x14ac:dyDescent="0.25">
      <c r="A89" s="68"/>
      <c r="B89" s="10"/>
      <c r="C89" s="68"/>
      <c r="D89" s="68"/>
      <c r="E89" s="68"/>
      <c r="F89" s="68"/>
      <c r="G89" s="68"/>
      <c r="H89" s="68"/>
      <c r="I89" s="68"/>
      <c r="J89" s="68"/>
      <c r="K89" s="68"/>
      <c r="L89" s="68"/>
      <c r="M89" s="68"/>
      <c r="N89" s="68"/>
      <c r="O89" s="68"/>
      <c r="P89" s="68"/>
      <c r="Q89" s="68"/>
      <c r="R89" s="68"/>
      <c r="S89" s="68"/>
      <c r="T89" s="70"/>
      <c r="AC89" s="68"/>
      <c r="AD89" s="70"/>
      <c r="AM89" s="68"/>
      <c r="AN89" s="70"/>
      <c r="AU89" s="68"/>
      <c r="AV89" s="70"/>
      <c r="BB89" s="68"/>
      <c r="BC89" s="70"/>
      <c r="BD89" s="68"/>
      <c r="BE89" s="68"/>
      <c r="BF89" s="68"/>
      <c r="BG89" s="68"/>
      <c r="BH89" s="68"/>
      <c r="BI89" s="68"/>
      <c r="BJ89" s="70"/>
      <c r="BM89" s="68"/>
      <c r="BN89" s="70"/>
      <c r="BT89" s="68"/>
      <c r="BU89" s="70"/>
      <c r="BZ89" s="10"/>
      <c r="CF89" s="10"/>
      <c r="CI89" s="389"/>
      <c r="CJ89" s="389"/>
      <c r="CK89" s="68"/>
      <c r="CL89" s="70"/>
      <c r="CO89" s="10"/>
      <c r="CU89" s="10"/>
      <c r="DA89" s="10"/>
      <c r="DB89" s="70"/>
      <c r="DC89" s="70"/>
      <c r="DF89" s="68"/>
      <c r="DG89" s="70"/>
      <c r="DH89" s="68"/>
      <c r="DI89" s="386"/>
      <c r="DJ89" s="425"/>
      <c r="DL89" s="68"/>
      <c r="DM89" s="70"/>
      <c r="DQ89" s="68"/>
      <c r="DR89" s="70"/>
      <c r="DS89" s="338"/>
      <c r="DT89" s="338"/>
      <c r="DU89" s="338"/>
      <c r="DW89" s="338"/>
      <c r="DX89" s="338"/>
      <c r="DY89" s="338"/>
      <c r="EA89" s="338"/>
      <c r="EB89" s="338"/>
      <c r="EC89" s="338"/>
      <c r="EE89" s="338"/>
      <c r="EF89" s="338"/>
      <c r="EG89" s="338"/>
      <c r="EI89" s="336"/>
      <c r="EJ89" s="336"/>
      <c r="EK89" s="336"/>
      <c r="EL89" s="336"/>
      <c r="EM89" s="336"/>
      <c r="EN89" s="336"/>
      <c r="EO89" s="337"/>
      <c r="EP89" s="342"/>
      <c r="EQ89" s="336"/>
      <c r="ER89" s="342"/>
      <c r="ES89" s="336"/>
      <c r="ET89" s="342"/>
      <c r="EU89" s="336"/>
      <c r="EV89" s="342"/>
      <c r="EW89" s="336"/>
      <c r="EX89" s="342"/>
      <c r="EY89" s="342"/>
      <c r="EZ89" s="342"/>
      <c r="FA89" s="337"/>
      <c r="FE89" s="338"/>
      <c r="FH89" s="338"/>
      <c r="FI89" s="338"/>
      <c r="FJ89" s="338"/>
      <c r="FK89" s="338"/>
      <c r="FL89" s="338"/>
      <c r="FM89" s="337"/>
      <c r="FN89" s="336"/>
      <c r="FO89" s="336"/>
      <c r="FP89" s="336"/>
      <c r="FQ89" s="336"/>
      <c r="FR89" s="336"/>
      <c r="FS89" s="336"/>
      <c r="FT89" s="336"/>
      <c r="FU89" s="336"/>
      <c r="FV89" s="336"/>
      <c r="FW89" s="337"/>
      <c r="FX89" s="532"/>
      <c r="FY89" s="341"/>
      <c r="FZ89" s="341"/>
      <c r="GA89" s="336"/>
      <c r="GB89" s="341"/>
      <c r="GC89" s="341"/>
      <c r="GD89" s="341"/>
      <c r="GE89" s="336"/>
      <c r="GF89" s="336"/>
      <c r="GG89" s="336"/>
      <c r="GH89" s="336"/>
      <c r="GI89" s="336"/>
      <c r="GJ89" s="337"/>
      <c r="GM89" s="338"/>
      <c r="GN89" s="338"/>
      <c r="GO89" s="338"/>
      <c r="GP89" s="369"/>
      <c r="GS89" s="338"/>
      <c r="GT89" s="338"/>
      <c r="GU89" s="338"/>
      <c r="GY89" s="338"/>
      <c r="GZ89" s="338"/>
      <c r="HA89" s="338"/>
      <c r="HE89" s="338"/>
      <c r="HF89" s="338"/>
      <c r="HG89" s="338"/>
      <c r="HN89" s="68"/>
      <c r="HO89" s="68"/>
      <c r="HP89" s="68"/>
      <c r="HQ89" s="336"/>
      <c r="HR89" s="577"/>
      <c r="HS89" s="577"/>
      <c r="HT89" s="10"/>
      <c r="HW89" s="338"/>
      <c r="HX89" s="338"/>
      <c r="HY89" s="338"/>
      <c r="IC89" s="338"/>
      <c r="ID89" s="338"/>
      <c r="IE89" s="338"/>
      <c r="II89" s="338"/>
      <c r="IJ89" s="338"/>
      <c r="IK89" s="338"/>
      <c r="IO89" s="338"/>
      <c r="IP89" s="338"/>
      <c r="IQ89" s="338"/>
      <c r="IX89" s="68"/>
      <c r="IY89" s="68"/>
      <c r="IZ89" s="68"/>
      <c r="JA89" s="584"/>
      <c r="JB89" s="584"/>
      <c r="JC89" s="584"/>
      <c r="JD89" s="10"/>
      <c r="JG89" s="338"/>
      <c r="JH89" s="338"/>
      <c r="JI89" s="338"/>
      <c r="JN89" s="338"/>
      <c r="JQ89" s="338"/>
      <c r="JR89" s="338"/>
      <c r="JS89" s="338"/>
      <c r="JW89" s="358"/>
      <c r="JX89" s="336"/>
      <c r="JY89" s="336"/>
      <c r="KA89" s="336"/>
      <c r="KB89" s="336"/>
      <c r="KC89" s="336"/>
      <c r="KD89" s="336"/>
      <c r="KE89" s="336"/>
      <c r="KF89" s="336"/>
      <c r="KG89" s="337"/>
      <c r="KH89" s="338"/>
      <c r="KI89" s="338"/>
      <c r="KJ89" s="338"/>
      <c r="KK89" s="338"/>
      <c r="KL89" s="338"/>
      <c r="KM89" s="338"/>
      <c r="KN89" s="338"/>
      <c r="KO89" s="338"/>
      <c r="KP89" s="338"/>
      <c r="KQ89" s="338"/>
      <c r="KR89" s="338"/>
      <c r="KS89" s="338"/>
      <c r="KT89" s="338"/>
      <c r="KU89" s="338"/>
      <c r="KV89" s="338"/>
      <c r="KW89" s="337"/>
      <c r="KX89" s="336"/>
      <c r="KY89" s="336"/>
      <c r="KZ89" s="336"/>
      <c r="LA89" s="336"/>
      <c r="LB89" s="336"/>
      <c r="LC89" s="336"/>
      <c r="LD89" s="336"/>
      <c r="LE89" s="336"/>
      <c r="LF89" s="336"/>
      <c r="LG89" s="336"/>
      <c r="LH89" s="336"/>
      <c r="LI89" s="336"/>
      <c r="LJ89" s="336"/>
      <c r="LK89" s="336"/>
      <c r="LL89" s="336"/>
      <c r="LM89" s="336"/>
      <c r="LN89" s="336"/>
      <c r="LO89" s="336"/>
      <c r="LP89" s="336"/>
      <c r="LQ89" s="337"/>
      <c r="MN89" s="10"/>
      <c r="OA89" s="10"/>
    </row>
    <row r="90" spans="1:391" s="370" customFormat="1" x14ac:dyDescent="0.25">
      <c r="A90" s="68"/>
      <c r="B90" s="10"/>
      <c r="C90" s="68"/>
      <c r="D90" s="68"/>
      <c r="E90" s="68"/>
      <c r="F90" s="68"/>
      <c r="G90" s="68"/>
      <c r="H90" s="68"/>
      <c r="I90" s="68"/>
      <c r="J90" s="68"/>
      <c r="K90" s="68"/>
      <c r="L90" s="68"/>
      <c r="M90" s="68"/>
      <c r="N90" s="68"/>
      <c r="O90" s="68"/>
      <c r="P90" s="68"/>
      <c r="Q90" s="68"/>
      <c r="R90" s="68"/>
      <c r="S90" s="68"/>
      <c r="T90" s="70"/>
      <c r="AC90" s="68"/>
      <c r="AD90" s="70"/>
      <c r="AM90" s="68"/>
      <c r="AN90" s="70"/>
      <c r="AU90" s="68"/>
      <c r="AV90" s="70"/>
      <c r="BB90" s="68"/>
      <c r="BC90" s="70"/>
      <c r="BD90" s="68"/>
      <c r="BE90" s="68"/>
      <c r="BF90" s="68"/>
      <c r="BG90" s="68"/>
      <c r="BH90" s="68"/>
      <c r="BI90" s="68"/>
      <c r="BJ90" s="70"/>
      <c r="BM90" s="68"/>
      <c r="BN90" s="70"/>
      <c r="BT90" s="68"/>
      <c r="BU90" s="70"/>
      <c r="BZ90" s="10"/>
      <c r="CF90" s="10"/>
      <c r="CI90" s="389"/>
      <c r="CJ90" s="389"/>
      <c r="CK90" s="68"/>
      <c r="CL90" s="70"/>
      <c r="CO90" s="10"/>
      <c r="CU90" s="10"/>
      <c r="DA90" s="10"/>
      <c r="DB90" s="70"/>
      <c r="DC90" s="70"/>
      <c r="DF90" s="68"/>
      <c r="DG90" s="70"/>
      <c r="DH90" s="68"/>
      <c r="DI90" s="386"/>
      <c r="DJ90" s="425"/>
      <c r="DL90" s="68"/>
      <c r="DM90" s="70"/>
      <c r="DQ90" s="68"/>
      <c r="DR90" s="70"/>
      <c r="DS90" s="338"/>
      <c r="DT90" s="338"/>
      <c r="DU90" s="338"/>
      <c r="DW90" s="338"/>
      <c r="DX90" s="338"/>
      <c r="DY90" s="338"/>
      <c r="EA90" s="338"/>
      <c r="EB90" s="338"/>
      <c r="EC90" s="338"/>
      <c r="EE90" s="338"/>
      <c r="EF90" s="338"/>
      <c r="EG90" s="338"/>
      <c r="EI90" s="336"/>
      <c r="EJ90" s="336"/>
      <c r="EK90" s="336"/>
      <c r="EL90" s="336"/>
      <c r="EM90" s="336"/>
      <c r="EN90" s="336"/>
      <c r="EO90" s="337"/>
      <c r="EP90" s="342"/>
      <c r="EQ90" s="336"/>
      <c r="ER90" s="342"/>
      <c r="ES90" s="336"/>
      <c r="ET90" s="342"/>
      <c r="EU90" s="336"/>
      <c r="EV90" s="342"/>
      <c r="EW90" s="336"/>
      <c r="EX90" s="342"/>
      <c r="EY90" s="342"/>
      <c r="EZ90" s="342"/>
      <c r="FA90" s="337"/>
      <c r="FE90" s="338"/>
      <c r="FH90" s="338"/>
      <c r="FI90" s="338"/>
      <c r="FJ90" s="338"/>
      <c r="FK90" s="338"/>
      <c r="FL90" s="338"/>
      <c r="FM90" s="337"/>
      <c r="FN90" s="336"/>
      <c r="FO90" s="336"/>
      <c r="FP90" s="336"/>
      <c r="FQ90" s="336"/>
      <c r="FR90" s="336"/>
      <c r="FS90" s="336"/>
      <c r="FT90" s="336"/>
      <c r="FU90" s="336"/>
      <c r="FV90" s="336"/>
      <c r="FW90" s="337"/>
      <c r="FX90" s="532"/>
      <c r="FY90" s="341"/>
      <c r="FZ90" s="341"/>
      <c r="GA90" s="336"/>
      <c r="GB90" s="341"/>
      <c r="GC90" s="341"/>
      <c r="GD90" s="341"/>
      <c r="GE90" s="336"/>
      <c r="GF90" s="336"/>
      <c r="GG90" s="336"/>
      <c r="GH90" s="336"/>
      <c r="GI90" s="336"/>
      <c r="GJ90" s="337"/>
      <c r="GM90" s="338"/>
      <c r="GN90" s="338"/>
      <c r="GO90" s="338"/>
      <c r="GP90" s="369"/>
      <c r="GS90" s="338"/>
      <c r="GT90" s="338"/>
      <c r="GU90" s="338"/>
      <c r="GY90" s="338"/>
      <c r="GZ90" s="338"/>
      <c r="HA90" s="338"/>
      <c r="HE90" s="338"/>
      <c r="HF90" s="338"/>
      <c r="HG90" s="338"/>
      <c r="HN90" s="68"/>
      <c r="HO90" s="68"/>
      <c r="HP90" s="68"/>
      <c r="HQ90" s="336"/>
      <c r="HR90" s="577"/>
      <c r="HS90" s="577"/>
      <c r="HT90" s="10"/>
      <c r="HW90" s="338"/>
      <c r="HX90" s="338"/>
      <c r="HY90" s="338"/>
      <c r="IC90" s="338"/>
      <c r="ID90" s="338"/>
      <c r="IE90" s="338"/>
      <c r="II90" s="338"/>
      <c r="IJ90" s="338"/>
      <c r="IK90" s="338"/>
      <c r="IO90" s="338"/>
      <c r="IP90" s="338"/>
      <c r="IQ90" s="338"/>
      <c r="IX90" s="68"/>
      <c r="IY90" s="68"/>
      <c r="IZ90" s="68"/>
      <c r="JA90" s="584"/>
      <c r="JB90" s="584"/>
      <c r="JC90" s="584"/>
      <c r="JD90" s="10"/>
      <c r="JG90" s="338"/>
      <c r="JH90" s="338"/>
      <c r="JI90" s="338"/>
      <c r="JM90" s="338"/>
      <c r="JN90" s="338"/>
      <c r="JQ90" s="338"/>
      <c r="JR90" s="338"/>
      <c r="JS90" s="338"/>
      <c r="JW90" s="358"/>
      <c r="JX90" s="336"/>
      <c r="JY90" s="336"/>
      <c r="KA90" s="336"/>
      <c r="KB90" s="336"/>
      <c r="KC90" s="336"/>
      <c r="KD90" s="336"/>
      <c r="KE90" s="336"/>
      <c r="KF90" s="336"/>
      <c r="KG90" s="337"/>
      <c r="KH90" s="338"/>
      <c r="KI90" s="338"/>
      <c r="KJ90" s="338"/>
      <c r="KK90" s="338"/>
      <c r="KL90" s="338"/>
      <c r="KM90" s="338"/>
      <c r="KN90" s="338"/>
      <c r="KO90" s="338"/>
      <c r="KP90" s="338"/>
      <c r="KQ90" s="338"/>
      <c r="KR90" s="338"/>
      <c r="KS90" s="338"/>
      <c r="KT90" s="338"/>
      <c r="KU90" s="338"/>
      <c r="KV90" s="338"/>
      <c r="KW90" s="337"/>
      <c r="KX90" s="336"/>
      <c r="KY90" s="336"/>
      <c r="KZ90" s="336"/>
      <c r="LA90" s="336"/>
      <c r="LB90" s="336"/>
      <c r="LC90" s="336"/>
      <c r="LD90" s="336"/>
      <c r="LE90" s="336"/>
      <c r="LF90" s="336"/>
      <c r="LG90" s="336"/>
      <c r="LH90" s="336"/>
      <c r="LI90" s="336"/>
      <c r="LJ90" s="336"/>
      <c r="LK90" s="336"/>
      <c r="LL90" s="336"/>
      <c r="LM90" s="336"/>
      <c r="LN90" s="336"/>
      <c r="LO90" s="336"/>
      <c r="LP90" s="336"/>
      <c r="LQ90" s="337"/>
      <c r="MN90" s="10"/>
      <c r="OA90" s="10"/>
    </row>
    <row r="91" spans="1:391" s="370" customFormat="1" x14ac:dyDescent="0.25">
      <c r="A91" s="68"/>
      <c r="B91" s="10"/>
      <c r="C91" s="68"/>
      <c r="D91" s="68"/>
      <c r="E91" s="68"/>
      <c r="F91" s="68"/>
      <c r="G91" s="68"/>
      <c r="H91" s="68"/>
      <c r="I91" s="68"/>
      <c r="J91" s="68"/>
      <c r="K91" s="68"/>
      <c r="L91" s="68"/>
      <c r="M91" s="68"/>
      <c r="N91" s="68"/>
      <c r="O91" s="68"/>
      <c r="P91" s="68"/>
      <c r="Q91" s="68"/>
      <c r="R91" s="68"/>
      <c r="S91" s="68"/>
      <c r="T91" s="70"/>
      <c r="AC91" s="68"/>
      <c r="AD91" s="70"/>
      <c r="AM91" s="68"/>
      <c r="AN91" s="70"/>
      <c r="AU91" s="68"/>
      <c r="AV91" s="70"/>
      <c r="BB91" s="68"/>
      <c r="BC91" s="70"/>
      <c r="BD91" s="68"/>
      <c r="BE91" s="68"/>
      <c r="BF91" s="68"/>
      <c r="BG91" s="68"/>
      <c r="BH91" s="68"/>
      <c r="BI91" s="68"/>
      <c r="BJ91" s="70"/>
      <c r="BM91" s="68"/>
      <c r="BN91" s="70"/>
      <c r="BT91" s="68"/>
      <c r="BU91" s="70"/>
      <c r="BZ91" s="10"/>
      <c r="CF91" s="10"/>
      <c r="CI91" s="389"/>
      <c r="CJ91" s="389"/>
      <c r="CK91" s="68"/>
      <c r="CL91" s="70"/>
      <c r="CO91" s="10"/>
      <c r="CU91" s="10"/>
      <c r="DA91" s="10"/>
      <c r="DB91" s="70"/>
      <c r="DC91" s="70"/>
      <c r="DF91" s="68"/>
      <c r="DG91" s="70"/>
      <c r="DH91" s="68"/>
      <c r="DI91" s="386"/>
      <c r="DJ91" s="425"/>
      <c r="DL91" s="68"/>
      <c r="DM91" s="70"/>
      <c r="DQ91" s="68"/>
      <c r="DR91" s="70"/>
      <c r="DS91" s="338"/>
      <c r="DT91" s="338"/>
      <c r="DU91" s="338"/>
      <c r="DW91" s="338"/>
      <c r="DX91" s="338"/>
      <c r="DY91" s="338"/>
      <c r="EA91" s="338"/>
      <c r="EB91" s="338"/>
      <c r="EC91" s="338"/>
      <c r="EE91" s="338"/>
      <c r="EF91" s="338"/>
      <c r="EG91" s="338"/>
      <c r="EI91" s="336"/>
      <c r="EJ91" s="336"/>
      <c r="EK91" s="336"/>
      <c r="EL91" s="336"/>
      <c r="EM91" s="336"/>
      <c r="EN91" s="336"/>
      <c r="EO91" s="337"/>
      <c r="EP91" s="342"/>
      <c r="EQ91" s="336"/>
      <c r="ER91" s="342"/>
      <c r="ES91" s="336"/>
      <c r="ET91" s="342"/>
      <c r="EU91" s="336"/>
      <c r="EV91" s="342"/>
      <c r="EW91" s="336"/>
      <c r="EX91" s="342"/>
      <c r="EY91" s="342"/>
      <c r="EZ91" s="342"/>
      <c r="FA91" s="337"/>
      <c r="FE91" s="338"/>
      <c r="FH91" s="338"/>
      <c r="FI91" s="338"/>
      <c r="FJ91" s="338"/>
      <c r="FK91" s="338"/>
      <c r="FL91" s="338"/>
      <c r="FM91" s="337"/>
      <c r="FN91" s="336"/>
      <c r="FO91" s="336"/>
      <c r="FP91" s="336"/>
      <c r="FQ91" s="336"/>
      <c r="FR91" s="336"/>
      <c r="FS91" s="336"/>
      <c r="FT91" s="336"/>
      <c r="FU91" s="336"/>
      <c r="FV91" s="336"/>
      <c r="FW91" s="337"/>
      <c r="FX91" s="532"/>
      <c r="FY91" s="341"/>
      <c r="FZ91" s="341"/>
      <c r="GA91" s="336"/>
      <c r="GB91" s="341"/>
      <c r="GC91" s="341"/>
      <c r="GD91" s="341"/>
      <c r="GE91" s="336"/>
      <c r="GF91" s="336"/>
      <c r="GG91" s="336"/>
      <c r="GH91" s="336"/>
      <c r="GI91" s="336"/>
      <c r="GJ91" s="337"/>
      <c r="GM91" s="338"/>
      <c r="GN91" s="338"/>
      <c r="GO91" s="338"/>
      <c r="GS91" s="338"/>
      <c r="GT91" s="338"/>
      <c r="GU91" s="338"/>
      <c r="GY91" s="338"/>
      <c r="GZ91" s="338"/>
      <c r="HA91" s="338"/>
      <c r="HE91" s="338"/>
      <c r="HF91" s="338"/>
      <c r="HG91" s="338"/>
      <c r="HN91" s="68"/>
      <c r="HO91" s="68"/>
      <c r="HP91" s="68"/>
      <c r="HQ91" s="336"/>
      <c r="HR91" s="577"/>
      <c r="HS91" s="577"/>
      <c r="HT91" s="10"/>
      <c r="HW91" s="338"/>
      <c r="HX91" s="338"/>
      <c r="HY91" s="338"/>
      <c r="IC91" s="338"/>
      <c r="ID91" s="338"/>
      <c r="IE91" s="338"/>
      <c r="II91" s="338"/>
      <c r="IJ91" s="338"/>
      <c r="IK91" s="338"/>
      <c r="IO91" s="338"/>
      <c r="IP91" s="338"/>
      <c r="IQ91" s="338"/>
      <c r="IX91" s="68"/>
      <c r="IY91" s="68"/>
      <c r="IZ91" s="68"/>
      <c r="JA91" s="584"/>
      <c r="JB91" s="584"/>
      <c r="JC91" s="584"/>
      <c r="JD91" s="10"/>
      <c r="JG91" s="338"/>
      <c r="JH91" s="338"/>
      <c r="JI91" s="338"/>
      <c r="JM91" s="338"/>
      <c r="JN91" s="338"/>
      <c r="JQ91" s="338"/>
      <c r="JR91" s="338"/>
      <c r="JS91" s="338"/>
      <c r="JW91" s="358"/>
      <c r="JX91" s="336"/>
      <c r="JY91" s="336"/>
      <c r="KA91" s="336"/>
      <c r="KB91" s="336"/>
      <c r="KC91" s="336"/>
      <c r="KD91" s="336"/>
      <c r="KE91" s="336"/>
      <c r="KF91" s="336"/>
      <c r="KG91" s="337"/>
      <c r="KH91" s="338"/>
      <c r="KI91" s="338"/>
      <c r="KJ91" s="338"/>
      <c r="KK91" s="338"/>
      <c r="KL91" s="338"/>
      <c r="KM91" s="338"/>
      <c r="KN91" s="338"/>
      <c r="KO91" s="338"/>
      <c r="KP91" s="338"/>
      <c r="KQ91" s="338"/>
      <c r="KR91" s="338"/>
      <c r="KS91" s="338"/>
      <c r="KT91" s="338"/>
      <c r="KU91" s="338"/>
      <c r="KV91" s="338"/>
      <c r="KW91" s="337"/>
      <c r="KX91" s="336"/>
      <c r="KY91" s="336"/>
      <c r="KZ91" s="336"/>
      <c r="LA91" s="336"/>
      <c r="LB91" s="336"/>
      <c r="LC91" s="336"/>
      <c r="LD91" s="336"/>
      <c r="LE91" s="336"/>
      <c r="LF91" s="336"/>
      <c r="LG91" s="336"/>
      <c r="LH91" s="336"/>
      <c r="LI91" s="336"/>
      <c r="LJ91" s="336"/>
      <c r="LK91" s="336"/>
      <c r="LL91" s="336"/>
      <c r="LM91" s="336"/>
      <c r="LN91" s="336"/>
      <c r="LO91" s="336"/>
      <c r="LP91" s="336"/>
      <c r="LQ91" s="337"/>
      <c r="MN91" s="10"/>
      <c r="OA91" s="10"/>
    </row>
    <row r="92" spans="1:391" s="370" customFormat="1" x14ac:dyDescent="0.25">
      <c r="A92" s="68"/>
      <c r="B92" s="10"/>
      <c r="C92" s="68"/>
      <c r="D92" s="68"/>
      <c r="E92" s="68"/>
      <c r="F92" s="68"/>
      <c r="G92" s="68"/>
      <c r="H92" s="68"/>
      <c r="I92" s="68"/>
      <c r="J92" s="68"/>
      <c r="K92" s="68"/>
      <c r="L92" s="68"/>
      <c r="M92" s="68"/>
      <c r="N92" s="68"/>
      <c r="O92" s="68"/>
      <c r="P92" s="68"/>
      <c r="Q92" s="68"/>
      <c r="R92" s="68"/>
      <c r="S92" s="68"/>
      <c r="T92" s="70"/>
      <c r="AC92" s="68"/>
      <c r="AD92" s="70"/>
      <c r="AM92" s="68"/>
      <c r="AN92" s="70"/>
      <c r="AU92" s="68"/>
      <c r="AV92" s="70"/>
      <c r="BB92" s="68"/>
      <c r="BC92" s="70"/>
      <c r="BD92" s="68"/>
      <c r="BE92" s="68"/>
      <c r="BF92" s="68"/>
      <c r="BG92" s="68"/>
      <c r="BH92" s="68"/>
      <c r="BI92" s="68"/>
      <c r="BJ92" s="70"/>
      <c r="BM92" s="68"/>
      <c r="BN92" s="70"/>
      <c r="BT92" s="68"/>
      <c r="BU92" s="70"/>
      <c r="BZ92" s="10"/>
      <c r="CF92" s="10"/>
      <c r="CI92" s="389"/>
      <c r="CJ92" s="389"/>
      <c r="CK92" s="68"/>
      <c r="CL92" s="70"/>
      <c r="CO92" s="10"/>
      <c r="CU92" s="10"/>
      <c r="DA92" s="10"/>
      <c r="DB92" s="70"/>
      <c r="DC92" s="70"/>
      <c r="DF92" s="68"/>
      <c r="DG92" s="70"/>
      <c r="DH92" s="68"/>
      <c r="DI92" s="386"/>
      <c r="DJ92" s="425"/>
      <c r="DL92" s="68"/>
      <c r="DM92" s="70"/>
      <c r="DQ92" s="68"/>
      <c r="DR92" s="70"/>
      <c r="DS92" s="338"/>
      <c r="DT92" s="338"/>
      <c r="DU92" s="338"/>
      <c r="DW92" s="338"/>
      <c r="DX92" s="338"/>
      <c r="DY92" s="338"/>
      <c r="EA92" s="338"/>
      <c r="EB92" s="338"/>
      <c r="EC92" s="338"/>
      <c r="EE92" s="338"/>
      <c r="EF92" s="338"/>
      <c r="EG92" s="338"/>
      <c r="EI92" s="336"/>
      <c r="EJ92" s="336"/>
      <c r="EK92" s="336"/>
      <c r="EL92" s="336"/>
      <c r="EM92" s="336"/>
      <c r="EN92" s="336"/>
      <c r="EO92" s="337"/>
      <c r="EP92" s="342"/>
      <c r="EQ92" s="336"/>
      <c r="ER92" s="342"/>
      <c r="ES92" s="336"/>
      <c r="ET92" s="342"/>
      <c r="EU92" s="336"/>
      <c r="EV92" s="342"/>
      <c r="EW92" s="336"/>
      <c r="EX92" s="342"/>
      <c r="EY92" s="342"/>
      <c r="EZ92" s="342"/>
      <c r="FA92" s="337"/>
      <c r="FE92" s="338"/>
      <c r="FH92" s="338"/>
      <c r="FI92" s="338"/>
      <c r="FJ92" s="338"/>
      <c r="FK92" s="338"/>
      <c r="FL92" s="338"/>
      <c r="FM92" s="337"/>
      <c r="FN92" s="336"/>
      <c r="FO92" s="336"/>
      <c r="FP92" s="336"/>
      <c r="FQ92" s="336"/>
      <c r="FR92" s="336"/>
      <c r="FS92" s="336"/>
      <c r="FT92" s="336"/>
      <c r="FU92" s="336"/>
      <c r="FV92" s="336"/>
      <c r="FW92" s="337"/>
      <c r="FX92" s="532"/>
      <c r="FY92" s="341"/>
      <c r="FZ92" s="341"/>
      <c r="GA92" s="336"/>
      <c r="GB92" s="341"/>
      <c r="GC92" s="341"/>
      <c r="GD92" s="341"/>
      <c r="GE92" s="336"/>
      <c r="GF92" s="336"/>
      <c r="GG92" s="336"/>
      <c r="GH92" s="336"/>
      <c r="GI92" s="336"/>
      <c r="GJ92" s="337"/>
      <c r="GM92" s="338"/>
      <c r="GN92" s="338"/>
      <c r="GO92" s="338"/>
      <c r="GS92" s="338"/>
      <c r="GT92" s="338"/>
      <c r="GU92" s="338"/>
      <c r="GY92" s="338"/>
      <c r="GZ92" s="338"/>
      <c r="HA92" s="338"/>
      <c r="HE92" s="338"/>
      <c r="HF92" s="338"/>
      <c r="HG92" s="338"/>
      <c r="HN92" s="68"/>
      <c r="HO92" s="68"/>
      <c r="HP92" s="68"/>
      <c r="HQ92" s="336"/>
      <c r="HR92" s="68"/>
      <c r="HS92" s="68"/>
      <c r="HT92" s="10"/>
      <c r="HW92" s="338"/>
      <c r="HX92" s="338"/>
      <c r="HY92" s="338"/>
      <c r="IC92" s="338"/>
      <c r="ID92" s="338"/>
      <c r="IE92" s="338"/>
      <c r="II92" s="338"/>
      <c r="IJ92" s="338"/>
      <c r="IK92" s="338"/>
      <c r="IO92" s="338"/>
      <c r="IP92" s="338"/>
      <c r="IQ92" s="338"/>
      <c r="IX92" s="68"/>
      <c r="IY92" s="68"/>
      <c r="IZ92" s="68"/>
      <c r="JA92" s="584"/>
      <c r="JB92" s="584"/>
      <c r="JC92" s="584"/>
      <c r="JD92" s="10"/>
      <c r="JG92" s="338"/>
      <c r="JH92" s="338"/>
      <c r="JI92" s="338"/>
      <c r="JM92" s="338"/>
      <c r="JN92" s="338"/>
      <c r="JQ92" s="338"/>
      <c r="JR92" s="338"/>
      <c r="JS92" s="338"/>
      <c r="JW92" s="358"/>
      <c r="JX92" s="336"/>
      <c r="JY92" s="336"/>
      <c r="JZ92" s="336"/>
      <c r="KA92" s="336"/>
      <c r="KB92" s="336"/>
      <c r="KC92" s="336"/>
      <c r="KD92" s="336"/>
      <c r="KE92" s="336"/>
      <c r="KF92" s="336"/>
      <c r="KG92" s="337"/>
      <c r="KH92" s="338"/>
      <c r="KI92" s="338"/>
      <c r="KJ92" s="338"/>
      <c r="KK92" s="338"/>
      <c r="KL92" s="338"/>
      <c r="KM92" s="338"/>
      <c r="KN92" s="338"/>
      <c r="KO92" s="338"/>
      <c r="KP92" s="338"/>
      <c r="KQ92" s="338"/>
      <c r="KR92" s="338"/>
      <c r="KS92" s="338"/>
      <c r="KT92" s="338"/>
      <c r="KU92" s="338"/>
      <c r="KV92" s="338"/>
      <c r="KW92" s="337"/>
      <c r="KX92" s="336"/>
      <c r="KY92" s="336"/>
      <c r="KZ92" s="336"/>
      <c r="LA92" s="336"/>
      <c r="LB92" s="336"/>
      <c r="LC92" s="336"/>
      <c r="LD92" s="336"/>
      <c r="LE92" s="336"/>
      <c r="LF92" s="336"/>
      <c r="LG92" s="336"/>
      <c r="LH92" s="336"/>
      <c r="LI92" s="336"/>
      <c r="LJ92" s="336"/>
      <c r="LK92" s="336"/>
      <c r="LL92" s="336"/>
      <c r="LM92" s="336"/>
      <c r="LN92" s="336"/>
      <c r="LO92" s="336"/>
      <c r="LP92" s="336"/>
      <c r="LQ92" s="337"/>
      <c r="MN92" s="10"/>
      <c r="OA92" s="10"/>
    </row>
    <row r="93" spans="1:391" s="370" customFormat="1" x14ac:dyDescent="0.25">
      <c r="A93" s="68"/>
      <c r="B93" s="10"/>
      <c r="C93" s="68"/>
      <c r="D93" s="68"/>
      <c r="E93" s="68"/>
      <c r="F93" s="68"/>
      <c r="G93" s="68"/>
      <c r="H93" s="68"/>
      <c r="I93" s="68"/>
      <c r="J93" s="68"/>
      <c r="K93" s="68"/>
      <c r="L93" s="68"/>
      <c r="M93" s="68"/>
      <c r="N93" s="68"/>
      <c r="O93" s="68"/>
      <c r="P93" s="68"/>
      <c r="Q93" s="68"/>
      <c r="R93" s="68"/>
      <c r="S93" s="68"/>
      <c r="T93" s="70"/>
      <c r="AC93" s="68"/>
      <c r="AD93" s="70"/>
      <c r="AM93" s="68"/>
      <c r="AN93" s="70"/>
      <c r="AU93" s="68"/>
      <c r="AV93" s="70"/>
      <c r="BB93" s="68"/>
      <c r="BC93" s="70"/>
      <c r="BD93" s="68"/>
      <c r="BE93" s="68"/>
      <c r="BF93" s="68"/>
      <c r="BG93" s="68"/>
      <c r="BH93" s="68"/>
      <c r="BI93" s="68"/>
      <c r="BJ93" s="70"/>
      <c r="BM93" s="68"/>
      <c r="BN93" s="70"/>
      <c r="BT93" s="68"/>
      <c r="BU93" s="70"/>
      <c r="BZ93" s="10"/>
      <c r="CF93" s="10"/>
      <c r="CI93" s="389"/>
      <c r="CJ93" s="389"/>
      <c r="CK93" s="68"/>
      <c r="CL93" s="70"/>
      <c r="CO93" s="10"/>
      <c r="CU93" s="10"/>
      <c r="DA93" s="10"/>
      <c r="DB93" s="70"/>
      <c r="DC93" s="70"/>
      <c r="DF93" s="68"/>
      <c r="DG93" s="70"/>
      <c r="DH93" s="68"/>
      <c r="DI93" s="386"/>
      <c r="DJ93" s="425"/>
      <c r="DL93" s="68"/>
      <c r="DM93" s="70"/>
      <c r="DQ93" s="68"/>
      <c r="DR93" s="70"/>
      <c r="DS93" s="338"/>
      <c r="DT93" s="338"/>
      <c r="DU93" s="338"/>
      <c r="DW93" s="338"/>
      <c r="DX93" s="338"/>
      <c r="DY93" s="338"/>
      <c r="EA93" s="338"/>
      <c r="EB93" s="338"/>
      <c r="EC93" s="338"/>
      <c r="EE93" s="338"/>
      <c r="EF93" s="338"/>
      <c r="EG93" s="338"/>
      <c r="EI93" s="336"/>
      <c r="EJ93" s="336"/>
      <c r="EK93" s="336"/>
      <c r="EL93" s="336"/>
      <c r="EM93" s="336"/>
      <c r="EN93" s="336"/>
      <c r="EO93" s="337"/>
      <c r="EP93" s="342"/>
      <c r="EQ93" s="336"/>
      <c r="ER93" s="342"/>
      <c r="ES93" s="336"/>
      <c r="ET93" s="342"/>
      <c r="EU93" s="336"/>
      <c r="EV93" s="342"/>
      <c r="EW93" s="336"/>
      <c r="EX93" s="342"/>
      <c r="EY93" s="342"/>
      <c r="EZ93" s="342"/>
      <c r="FA93" s="337"/>
      <c r="FE93" s="338"/>
      <c r="FH93" s="338"/>
      <c r="FI93" s="338"/>
      <c r="FJ93" s="338"/>
      <c r="FK93" s="338"/>
      <c r="FL93" s="338"/>
      <c r="FM93" s="337"/>
      <c r="FN93" s="336"/>
      <c r="FO93" s="336"/>
      <c r="FP93" s="336"/>
      <c r="FQ93" s="336"/>
      <c r="FR93" s="336"/>
      <c r="FS93" s="336"/>
      <c r="FT93" s="336"/>
      <c r="FU93" s="336"/>
      <c r="FV93" s="336"/>
      <c r="FW93" s="337"/>
      <c r="FX93" s="532"/>
      <c r="FY93" s="341"/>
      <c r="FZ93" s="341"/>
      <c r="GA93" s="336"/>
      <c r="GB93" s="341"/>
      <c r="GC93" s="341"/>
      <c r="GD93" s="341"/>
      <c r="GE93" s="336"/>
      <c r="GF93" s="336"/>
      <c r="GG93" s="336"/>
      <c r="GH93" s="336"/>
      <c r="GI93" s="336"/>
      <c r="GJ93" s="337"/>
      <c r="GM93" s="338"/>
      <c r="GN93" s="338"/>
      <c r="GO93" s="338"/>
      <c r="GS93" s="338"/>
      <c r="GT93" s="338"/>
      <c r="GU93" s="338"/>
      <c r="GY93" s="338"/>
      <c r="GZ93" s="338"/>
      <c r="HA93" s="338"/>
      <c r="HE93" s="338"/>
      <c r="HF93" s="338"/>
      <c r="HG93" s="338"/>
      <c r="HN93" s="68"/>
      <c r="HO93" s="68"/>
      <c r="HP93" s="68"/>
      <c r="HQ93" s="336"/>
      <c r="HR93" s="68"/>
      <c r="HS93" s="68"/>
      <c r="HT93" s="10"/>
      <c r="HW93" s="338"/>
      <c r="HX93" s="338"/>
      <c r="HY93" s="338"/>
      <c r="IC93" s="338"/>
      <c r="ID93" s="338"/>
      <c r="IE93" s="338"/>
      <c r="II93" s="338"/>
      <c r="IJ93" s="338"/>
      <c r="IK93" s="338"/>
      <c r="IO93" s="338"/>
      <c r="IP93" s="338"/>
      <c r="IQ93" s="338"/>
      <c r="IX93" s="68"/>
      <c r="IY93" s="68"/>
      <c r="IZ93" s="68"/>
      <c r="JA93" s="584"/>
      <c r="JB93" s="584"/>
      <c r="JC93" s="584"/>
      <c r="JD93" s="10"/>
      <c r="JG93" s="338"/>
      <c r="JH93" s="338"/>
      <c r="JI93" s="338"/>
      <c r="JM93" s="338"/>
      <c r="JN93" s="338"/>
      <c r="JQ93" s="338"/>
      <c r="JR93" s="338"/>
      <c r="JS93" s="338"/>
      <c r="JW93" s="358"/>
      <c r="JX93" s="336"/>
      <c r="JY93" s="336"/>
      <c r="JZ93" s="336"/>
      <c r="KA93" s="336"/>
      <c r="KB93" s="336"/>
      <c r="KC93" s="336"/>
      <c r="KD93" s="336"/>
      <c r="KE93" s="336"/>
      <c r="KF93" s="336"/>
      <c r="KG93" s="337"/>
      <c r="KH93" s="338"/>
      <c r="KI93" s="338"/>
      <c r="KJ93" s="338"/>
      <c r="KK93" s="338"/>
      <c r="KL93" s="338"/>
      <c r="KM93" s="338"/>
      <c r="KN93" s="338"/>
      <c r="KO93" s="338"/>
      <c r="KP93" s="338"/>
      <c r="KQ93" s="338"/>
      <c r="KR93" s="338"/>
      <c r="KS93" s="338"/>
      <c r="KT93" s="338"/>
      <c r="KU93" s="338"/>
      <c r="KV93" s="338"/>
      <c r="KW93" s="337"/>
      <c r="KX93" s="336"/>
      <c r="KY93" s="336"/>
      <c r="KZ93" s="336"/>
      <c r="LA93" s="336"/>
      <c r="LB93" s="336"/>
      <c r="LC93" s="336"/>
      <c r="LD93" s="336"/>
      <c r="LE93" s="336"/>
      <c r="LF93" s="336"/>
      <c r="LG93" s="336"/>
      <c r="LH93" s="336"/>
      <c r="LI93" s="336"/>
      <c r="LJ93" s="336"/>
      <c r="LK93" s="336"/>
      <c r="LL93" s="336"/>
      <c r="LM93" s="336"/>
      <c r="LN93" s="336"/>
      <c r="LO93" s="336"/>
      <c r="LP93" s="336"/>
      <c r="LQ93" s="337"/>
      <c r="MN93" s="10"/>
      <c r="OA93" s="10"/>
    </row>
    <row r="94" spans="1:391" s="370" customFormat="1" x14ac:dyDescent="0.25">
      <c r="A94" s="68"/>
      <c r="B94" s="10"/>
      <c r="C94" s="68"/>
      <c r="D94" s="68"/>
      <c r="E94" s="68"/>
      <c r="F94" s="68"/>
      <c r="G94" s="68"/>
      <c r="H94" s="68"/>
      <c r="I94" s="68"/>
      <c r="J94" s="68"/>
      <c r="K94" s="68"/>
      <c r="L94" s="68"/>
      <c r="M94" s="68"/>
      <c r="N94" s="68"/>
      <c r="O94" s="68"/>
      <c r="P94" s="68"/>
      <c r="Q94" s="68"/>
      <c r="R94" s="68"/>
      <c r="S94" s="68"/>
      <c r="T94" s="70"/>
      <c r="AC94" s="68"/>
      <c r="AD94" s="70"/>
      <c r="AM94" s="68"/>
      <c r="AN94" s="70"/>
      <c r="AU94" s="68"/>
      <c r="AV94" s="70"/>
      <c r="BB94" s="68"/>
      <c r="BC94" s="70"/>
      <c r="BD94" s="68"/>
      <c r="BE94" s="68"/>
      <c r="BF94" s="68"/>
      <c r="BG94" s="68"/>
      <c r="BH94" s="68"/>
      <c r="BI94" s="68"/>
      <c r="BJ94" s="70"/>
      <c r="BM94" s="68"/>
      <c r="BN94" s="70"/>
      <c r="BT94" s="68"/>
      <c r="BU94" s="70"/>
      <c r="BZ94" s="10"/>
      <c r="CF94" s="10"/>
      <c r="CI94" s="389"/>
      <c r="CJ94" s="389"/>
      <c r="CK94" s="68"/>
      <c r="CL94" s="70"/>
      <c r="CO94" s="10"/>
      <c r="CU94" s="10"/>
      <c r="DA94" s="10"/>
      <c r="DB94" s="70"/>
      <c r="DC94" s="70"/>
      <c r="DF94" s="68"/>
      <c r="DG94" s="70"/>
      <c r="DH94" s="68"/>
      <c r="DI94" s="386"/>
      <c r="DJ94" s="425"/>
      <c r="DL94" s="68"/>
      <c r="DM94" s="70"/>
      <c r="DQ94" s="68"/>
      <c r="DR94" s="70"/>
      <c r="DS94" s="338"/>
      <c r="DT94" s="338"/>
      <c r="DU94" s="338"/>
      <c r="DW94" s="338"/>
      <c r="DX94" s="338"/>
      <c r="DY94" s="338"/>
      <c r="EA94" s="338"/>
      <c r="EB94" s="338"/>
      <c r="EC94" s="338"/>
      <c r="EE94" s="338"/>
      <c r="EF94" s="338"/>
      <c r="EG94" s="338"/>
      <c r="EI94" s="336"/>
      <c r="EJ94" s="336"/>
      <c r="EK94" s="336"/>
      <c r="EL94" s="336"/>
      <c r="EM94" s="336"/>
      <c r="EN94" s="336"/>
      <c r="EO94" s="337"/>
      <c r="EP94" s="342"/>
      <c r="EQ94" s="336"/>
      <c r="ER94" s="342"/>
      <c r="ES94" s="336"/>
      <c r="ET94" s="342"/>
      <c r="EU94" s="336"/>
      <c r="EV94" s="342"/>
      <c r="EW94" s="336"/>
      <c r="EX94" s="342"/>
      <c r="EY94" s="342"/>
      <c r="EZ94" s="342"/>
      <c r="FA94" s="337"/>
      <c r="FE94" s="338"/>
      <c r="FH94" s="338"/>
      <c r="FI94" s="338"/>
      <c r="FJ94" s="338"/>
      <c r="FK94" s="338"/>
      <c r="FL94" s="338"/>
      <c r="FM94" s="337"/>
      <c r="FN94" s="336"/>
      <c r="FO94" s="336"/>
      <c r="FP94" s="336"/>
      <c r="FQ94" s="336"/>
      <c r="FR94" s="336"/>
      <c r="FS94" s="336"/>
      <c r="FT94" s="336"/>
      <c r="FU94" s="336"/>
      <c r="FV94" s="336"/>
      <c r="FW94" s="337"/>
      <c r="FX94" s="532"/>
      <c r="FY94" s="341"/>
      <c r="FZ94" s="341"/>
      <c r="GA94" s="336"/>
      <c r="GB94" s="341"/>
      <c r="GC94" s="341"/>
      <c r="GD94" s="341"/>
      <c r="GE94" s="336"/>
      <c r="GF94" s="336"/>
      <c r="GG94" s="336"/>
      <c r="GH94" s="336"/>
      <c r="GI94" s="336"/>
      <c r="GJ94" s="337"/>
      <c r="GM94" s="338"/>
      <c r="GN94" s="338"/>
      <c r="GO94" s="338"/>
      <c r="GS94" s="338"/>
      <c r="GT94" s="338"/>
      <c r="GU94" s="338"/>
      <c r="GY94" s="338"/>
      <c r="GZ94" s="338"/>
      <c r="HA94" s="338"/>
      <c r="HE94" s="338"/>
      <c r="HF94" s="338"/>
      <c r="HG94" s="338"/>
      <c r="HN94" s="68"/>
      <c r="HO94" s="68"/>
      <c r="HP94" s="68"/>
      <c r="HQ94" s="336"/>
      <c r="HR94" s="68"/>
      <c r="HS94" s="68"/>
      <c r="HT94" s="10"/>
      <c r="HW94" s="338"/>
      <c r="HX94" s="338"/>
      <c r="HY94" s="338"/>
      <c r="IC94" s="338"/>
      <c r="ID94" s="338"/>
      <c r="IE94" s="338"/>
      <c r="II94" s="338"/>
      <c r="IJ94" s="338"/>
      <c r="IK94" s="338"/>
      <c r="IO94" s="338"/>
      <c r="IP94" s="338"/>
      <c r="IQ94" s="338"/>
      <c r="IX94" s="68"/>
      <c r="IY94" s="68"/>
      <c r="IZ94" s="68"/>
      <c r="JA94" s="68"/>
      <c r="JB94" s="68"/>
      <c r="JC94" s="68"/>
      <c r="JD94" s="10"/>
      <c r="JG94" s="338"/>
      <c r="JH94" s="338"/>
      <c r="JI94" s="338"/>
      <c r="JM94" s="338"/>
      <c r="JN94" s="338"/>
      <c r="JQ94" s="338"/>
      <c r="JR94" s="338"/>
      <c r="JS94" s="338"/>
      <c r="JW94" s="358"/>
      <c r="JX94" s="336"/>
      <c r="JY94" s="336"/>
      <c r="JZ94" s="336"/>
      <c r="KA94" s="336"/>
      <c r="KB94" s="336"/>
      <c r="KC94" s="336"/>
      <c r="KD94" s="336"/>
      <c r="KE94" s="336"/>
      <c r="KF94" s="336"/>
      <c r="KG94" s="337"/>
      <c r="KH94" s="338"/>
      <c r="KI94" s="338"/>
      <c r="KJ94" s="338"/>
      <c r="KK94" s="338"/>
      <c r="KL94" s="338"/>
      <c r="KM94" s="338"/>
      <c r="KN94" s="338"/>
      <c r="KO94" s="338"/>
      <c r="KP94" s="338"/>
      <c r="KQ94" s="338"/>
      <c r="KR94" s="338"/>
      <c r="KS94" s="338"/>
      <c r="KT94" s="338"/>
      <c r="KU94" s="338"/>
      <c r="KV94" s="338"/>
      <c r="KW94" s="337"/>
      <c r="KX94" s="336"/>
      <c r="KY94" s="336"/>
      <c r="KZ94" s="336"/>
      <c r="LA94" s="336"/>
      <c r="LB94" s="336"/>
      <c r="LC94" s="336"/>
      <c r="LD94" s="336"/>
      <c r="LE94" s="336"/>
      <c r="LF94" s="336"/>
      <c r="LG94" s="336"/>
      <c r="LH94" s="336"/>
      <c r="LI94" s="336"/>
      <c r="LJ94" s="336"/>
      <c r="LK94" s="336"/>
      <c r="LL94" s="336"/>
      <c r="LM94" s="336"/>
      <c r="LN94" s="336"/>
      <c r="LO94" s="336"/>
      <c r="LP94" s="336"/>
      <c r="LQ94" s="337"/>
      <c r="MN94" s="10"/>
      <c r="OA94" s="10"/>
    </row>
    <row r="95" spans="1:391" s="370" customFormat="1" x14ac:dyDescent="0.25">
      <c r="A95" s="68"/>
      <c r="B95" s="10"/>
      <c r="C95" s="68"/>
      <c r="D95" s="68"/>
      <c r="E95" s="68"/>
      <c r="F95" s="68"/>
      <c r="G95" s="68"/>
      <c r="H95" s="68"/>
      <c r="I95" s="68"/>
      <c r="J95" s="68"/>
      <c r="K95" s="68"/>
      <c r="L95" s="68"/>
      <c r="M95" s="68"/>
      <c r="N95" s="68"/>
      <c r="O95" s="68"/>
      <c r="P95" s="68"/>
      <c r="Q95" s="68"/>
      <c r="R95" s="68"/>
      <c r="S95" s="68"/>
      <c r="T95" s="70"/>
      <c r="AC95" s="68"/>
      <c r="AD95" s="70"/>
      <c r="AM95" s="68"/>
      <c r="AN95" s="70"/>
      <c r="AU95" s="68"/>
      <c r="AV95" s="70"/>
      <c r="BB95" s="68"/>
      <c r="BC95" s="70"/>
      <c r="BD95" s="68"/>
      <c r="BE95" s="68"/>
      <c r="BF95" s="68"/>
      <c r="BG95" s="68"/>
      <c r="BH95" s="68"/>
      <c r="BI95" s="68"/>
      <c r="BJ95" s="70"/>
      <c r="BM95" s="68"/>
      <c r="BN95" s="70"/>
      <c r="BT95" s="68"/>
      <c r="BU95" s="70"/>
      <c r="BZ95" s="10"/>
      <c r="CF95" s="10"/>
      <c r="CI95" s="389"/>
      <c r="CJ95" s="389"/>
      <c r="CK95" s="68"/>
      <c r="CL95" s="70"/>
      <c r="CO95" s="10"/>
      <c r="CU95" s="10"/>
      <c r="DA95" s="10"/>
      <c r="DB95" s="70"/>
      <c r="DC95" s="70"/>
      <c r="DF95" s="68"/>
      <c r="DG95" s="70"/>
      <c r="DH95" s="68"/>
      <c r="DI95" s="386"/>
      <c r="DJ95" s="425"/>
      <c r="DL95" s="68"/>
      <c r="DM95" s="70"/>
      <c r="DQ95" s="68"/>
      <c r="DR95" s="70"/>
      <c r="DS95" s="338"/>
      <c r="DT95" s="338"/>
      <c r="DU95" s="338"/>
      <c r="DW95" s="338"/>
      <c r="DX95" s="338"/>
      <c r="DY95" s="338"/>
      <c r="EA95" s="338"/>
      <c r="EB95" s="338"/>
      <c r="EC95" s="338"/>
      <c r="EE95" s="338"/>
      <c r="EF95" s="338"/>
      <c r="EG95" s="338"/>
      <c r="EI95" s="336"/>
      <c r="EJ95" s="336"/>
      <c r="EK95" s="336"/>
      <c r="EL95" s="336"/>
      <c r="EM95" s="336"/>
      <c r="EN95" s="336"/>
      <c r="EO95" s="337"/>
      <c r="EP95" s="342"/>
      <c r="EQ95" s="336"/>
      <c r="ER95" s="342"/>
      <c r="ES95" s="336"/>
      <c r="ET95" s="342"/>
      <c r="EU95" s="336"/>
      <c r="EV95" s="342"/>
      <c r="EW95" s="336"/>
      <c r="EX95" s="342"/>
      <c r="EY95" s="342"/>
      <c r="EZ95" s="342"/>
      <c r="FA95" s="337"/>
      <c r="FE95" s="338"/>
      <c r="FH95" s="338"/>
      <c r="FI95" s="338"/>
      <c r="FJ95" s="338"/>
      <c r="FK95" s="338"/>
      <c r="FL95" s="338"/>
      <c r="FM95" s="337"/>
      <c r="FN95" s="336"/>
      <c r="FO95" s="336"/>
      <c r="FP95" s="336"/>
      <c r="FQ95" s="336"/>
      <c r="FR95" s="336"/>
      <c r="FS95" s="336"/>
      <c r="FT95" s="336"/>
      <c r="FU95" s="336"/>
      <c r="FV95" s="336"/>
      <c r="FW95" s="337"/>
      <c r="FX95" s="532"/>
      <c r="FY95" s="341"/>
      <c r="FZ95" s="341"/>
      <c r="GA95" s="336"/>
      <c r="GB95" s="341"/>
      <c r="GC95" s="341"/>
      <c r="GD95" s="341"/>
      <c r="GE95" s="336"/>
      <c r="GF95" s="336"/>
      <c r="GG95" s="336"/>
      <c r="GH95" s="336"/>
      <c r="GI95" s="336"/>
      <c r="GJ95" s="337"/>
      <c r="GM95" s="338"/>
      <c r="GN95" s="338"/>
      <c r="GO95" s="338"/>
      <c r="GS95" s="338"/>
      <c r="GT95" s="338"/>
      <c r="GU95" s="338"/>
      <c r="GY95" s="338"/>
      <c r="GZ95" s="338"/>
      <c r="HA95" s="338"/>
      <c r="HE95" s="338"/>
      <c r="HF95" s="338"/>
      <c r="HG95" s="338"/>
      <c r="HN95" s="68"/>
      <c r="HO95" s="68"/>
      <c r="HP95" s="68"/>
      <c r="HQ95" s="336"/>
      <c r="HR95" s="68"/>
      <c r="HS95" s="68"/>
      <c r="HT95" s="10"/>
      <c r="HW95" s="338"/>
      <c r="HX95" s="338"/>
      <c r="HY95" s="338"/>
      <c r="IC95" s="338"/>
      <c r="ID95" s="338"/>
      <c r="IE95" s="338"/>
      <c r="II95" s="338"/>
      <c r="IJ95" s="338"/>
      <c r="IK95" s="338"/>
      <c r="IO95" s="338"/>
      <c r="IP95" s="338"/>
      <c r="IQ95" s="338"/>
      <c r="IX95" s="68"/>
      <c r="IY95" s="68"/>
      <c r="IZ95" s="68"/>
      <c r="JA95" s="68"/>
      <c r="JB95" s="68"/>
      <c r="JC95" s="68"/>
      <c r="JD95" s="10"/>
      <c r="JG95" s="338"/>
      <c r="JH95" s="338"/>
      <c r="JI95" s="338"/>
      <c r="JM95" s="338"/>
      <c r="JN95" s="338"/>
      <c r="JQ95" s="338"/>
      <c r="JR95" s="338"/>
      <c r="JS95" s="338"/>
      <c r="JW95" s="358"/>
      <c r="JX95" s="336"/>
      <c r="JY95" s="336"/>
      <c r="JZ95" s="336"/>
      <c r="KA95" s="336"/>
      <c r="KB95" s="336"/>
      <c r="KC95" s="336"/>
      <c r="KD95" s="336"/>
      <c r="KE95" s="336"/>
      <c r="KF95" s="336"/>
      <c r="KG95" s="337"/>
      <c r="KH95" s="338"/>
      <c r="KI95" s="338"/>
      <c r="KJ95" s="338"/>
      <c r="KK95" s="338"/>
      <c r="KL95" s="338"/>
      <c r="KM95" s="338"/>
      <c r="KN95" s="338"/>
      <c r="KO95" s="338"/>
      <c r="KP95" s="338"/>
      <c r="KQ95" s="338"/>
      <c r="KR95" s="338"/>
      <c r="KS95" s="338"/>
      <c r="KT95" s="338"/>
      <c r="KU95" s="338"/>
      <c r="KV95" s="338"/>
      <c r="KW95" s="337"/>
      <c r="KX95" s="336"/>
      <c r="KY95" s="336"/>
      <c r="KZ95" s="336"/>
      <c r="LA95" s="336"/>
      <c r="LB95" s="336"/>
      <c r="LC95" s="336"/>
      <c r="LD95" s="336"/>
      <c r="LE95" s="336"/>
      <c r="LF95" s="336"/>
      <c r="LG95" s="336"/>
      <c r="LH95" s="336"/>
      <c r="LI95" s="336"/>
      <c r="LJ95" s="336"/>
      <c r="LK95" s="336"/>
      <c r="LL95" s="336"/>
      <c r="LM95" s="336"/>
      <c r="LN95" s="336"/>
      <c r="LO95" s="336"/>
      <c r="LP95" s="336"/>
      <c r="LQ95" s="337"/>
      <c r="MN95" s="10"/>
      <c r="OA95" s="10"/>
    </row>
    <row r="96" spans="1:391" s="370" customFormat="1" x14ac:dyDescent="0.25">
      <c r="A96" s="68"/>
      <c r="B96" s="10"/>
      <c r="C96" s="68"/>
      <c r="D96" s="68"/>
      <c r="E96" s="68"/>
      <c r="F96" s="68"/>
      <c r="G96" s="68"/>
      <c r="H96" s="68"/>
      <c r="I96" s="68"/>
      <c r="J96" s="68"/>
      <c r="K96" s="68"/>
      <c r="L96" s="68"/>
      <c r="M96" s="68"/>
      <c r="N96" s="68"/>
      <c r="O96" s="68"/>
      <c r="P96" s="68"/>
      <c r="Q96" s="68"/>
      <c r="R96" s="68"/>
      <c r="S96" s="68"/>
      <c r="T96" s="70"/>
      <c r="AC96" s="68"/>
      <c r="AD96" s="70"/>
      <c r="AM96" s="68"/>
      <c r="AN96" s="70"/>
      <c r="AU96" s="68"/>
      <c r="AV96" s="70"/>
      <c r="BB96" s="68"/>
      <c r="BC96" s="70"/>
      <c r="BD96" s="68"/>
      <c r="BE96" s="68"/>
      <c r="BF96" s="68"/>
      <c r="BG96" s="68"/>
      <c r="BH96" s="68"/>
      <c r="BI96" s="68"/>
      <c r="BJ96" s="70"/>
      <c r="BM96" s="68"/>
      <c r="BN96" s="70"/>
      <c r="BT96" s="68"/>
      <c r="BU96" s="70"/>
      <c r="BZ96" s="10"/>
      <c r="CF96" s="10"/>
      <c r="CI96" s="389"/>
      <c r="CJ96" s="389"/>
      <c r="CK96" s="68"/>
      <c r="CL96" s="70"/>
      <c r="CO96" s="10"/>
      <c r="CU96" s="10"/>
      <c r="DA96" s="10"/>
      <c r="DB96" s="70"/>
      <c r="DC96" s="70"/>
      <c r="DF96" s="68"/>
      <c r="DG96" s="70"/>
      <c r="DH96" s="68"/>
      <c r="DI96" s="386"/>
      <c r="DJ96" s="425"/>
      <c r="DL96" s="68"/>
      <c r="DM96" s="70"/>
      <c r="DQ96" s="68"/>
      <c r="DR96" s="70"/>
      <c r="DS96" s="338"/>
      <c r="DT96" s="338"/>
      <c r="DU96" s="338"/>
      <c r="DW96" s="338"/>
      <c r="DX96" s="338"/>
      <c r="DY96" s="338"/>
      <c r="EA96" s="338"/>
      <c r="EB96" s="338"/>
      <c r="EC96" s="338"/>
      <c r="EE96" s="338"/>
      <c r="EF96" s="338"/>
      <c r="EG96" s="338"/>
      <c r="EI96" s="336"/>
      <c r="EJ96" s="336"/>
      <c r="EK96" s="336"/>
      <c r="EL96" s="336"/>
      <c r="EM96" s="336"/>
      <c r="EN96" s="336"/>
      <c r="EO96" s="337"/>
      <c r="EP96" s="342"/>
      <c r="EQ96" s="336"/>
      <c r="ER96" s="342"/>
      <c r="ES96" s="336"/>
      <c r="ET96" s="342"/>
      <c r="EU96" s="336"/>
      <c r="EV96" s="342"/>
      <c r="EW96" s="336"/>
      <c r="EX96" s="342"/>
      <c r="EY96" s="342"/>
      <c r="EZ96" s="342"/>
      <c r="FA96" s="337"/>
      <c r="FE96" s="338"/>
      <c r="FH96" s="338"/>
      <c r="FI96" s="338"/>
      <c r="FJ96" s="338"/>
      <c r="FK96" s="338"/>
      <c r="FL96" s="338"/>
      <c r="FM96" s="337"/>
      <c r="FN96" s="336"/>
      <c r="FO96" s="336"/>
      <c r="FP96" s="336"/>
      <c r="FQ96" s="336"/>
      <c r="FR96" s="336"/>
      <c r="FS96" s="336"/>
      <c r="FT96" s="336"/>
      <c r="FU96" s="336"/>
      <c r="FV96" s="336"/>
      <c r="FW96" s="337"/>
      <c r="FX96" s="532"/>
      <c r="FY96" s="341"/>
      <c r="FZ96" s="341"/>
      <c r="GA96" s="336"/>
      <c r="GB96" s="341"/>
      <c r="GC96" s="341"/>
      <c r="GD96" s="341"/>
      <c r="GE96" s="336"/>
      <c r="GF96" s="336"/>
      <c r="GG96" s="336"/>
      <c r="GH96" s="336"/>
      <c r="GI96" s="336"/>
      <c r="GJ96" s="337"/>
      <c r="GM96" s="338"/>
      <c r="GN96" s="338"/>
      <c r="GO96" s="338"/>
      <c r="GS96" s="338"/>
      <c r="GT96" s="338"/>
      <c r="GU96" s="338"/>
      <c r="GY96" s="338"/>
      <c r="GZ96" s="338"/>
      <c r="HA96" s="338"/>
      <c r="HE96" s="338"/>
      <c r="HF96" s="338"/>
      <c r="HG96" s="338"/>
      <c r="HN96" s="68"/>
      <c r="HO96" s="68"/>
      <c r="HP96" s="68"/>
      <c r="HQ96" s="336"/>
      <c r="HR96" s="68"/>
      <c r="HS96" s="68"/>
      <c r="HT96" s="10"/>
      <c r="HW96" s="338"/>
      <c r="HX96" s="338"/>
      <c r="HY96" s="338"/>
      <c r="IC96" s="338"/>
      <c r="ID96" s="338"/>
      <c r="IE96" s="338"/>
      <c r="II96" s="338"/>
      <c r="IJ96" s="338"/>
      <c r="IK96" s="338"/>
      <c r="IO96" s="338"/>
      <c r="IP96" s="338"/>
      <c r="IQ96" s="338"/>
      <c r="IX96" s="68"/>
      <c r="IY96" s="68"/>
      <c r="IZ96" s="68"/>
      <c r="JA96" s="68"/>
      <c r="JB96" s="68"/>
      <c r="JC96" s="68"/>
      <c r="JD96" s="10"/>
      <c r="JG96" s="338"/>
      <c r="JH96" s="338"/>
      <c r="JI96" s="338"/>
      <c r="JM96" s="338"/>
      <c r="JN96" s="338"/>
      <c r="JQ96" s="338"/>
      <c r="JR96" s="338"/>
      <c r="JS96" s="338"/>
      <c r="JW96" s="358"/>
      <c r="JX96" s="336"/>
      <c r="JY96" s="336"/>
      <c r="JZ96" s="336"/>
      <c r="KA96" s="336"/>
      <c r="KB96" s="336"/>
      <c r="KC96" s="336"/>
      <c r="KD96" s="336"/>
      <c r="KE96" s="336"/>
      <c r="KF96" s="336"/>
      <c r="KG96" s="337"/>
      <c r="KH96" s="338"/>
      <c r="KI96" s="338"/>
      <c r="KJ96" s="338"/>
      <c r="KK96" s="338"/>
      <c r="KL96" s="338"/>
      <c r="KM96" s="338"/>
      <c r="KN96" s="338"/>
      <c r="KO96" s="338"/>
      <c r="KP96" s="338"/>
      <c r="KQ96" s="338"/>
      <c r="KR96" s="338"/>
      <c r="KS96" s="338"/>
      <c r="KT96" s="338"/>
      <c r="KU96" s="338"/>
      <c r="KV96" s="338"/>
      <c r="KW96" s="337"/>
      <c r="KX96" s="336"/>
      <c r="KY96" s="336"/>
      <c r="KZ96" s="336"/>
      <c r="LA96" s="336"/>
      <c r="LB96" s="336"/>
      <c r="LC96" s="336"/>
      <c r="LD96" s="336"/>
      <c r="LE96" s="336"/>
      <c r="LF96" s="336"/>
      <c r="LG96" s="336"/>
      <c r="LH96" s="336"/>
      <c r="LI96" s="336"/>
      <c r="LJ96" s="336"/>
      <c r="LK96" s="336"/>
      <c r="LL96" s="336"/>
      <c r="LM96" s="336"/>
      <c r="LN96" s="336"/>
      <c r="LO96" s="336"/>
      <c r="LP96" s="336"/>
      <c r="LQ96" s="337"/>
      <c r="MN96" s="10"/>
      <c r="OA96" s="10"/>
    </row>
    <row r="97" spans="1:391" s="370" customFormat="1" x14ac:dyDescent="0.25">
      <c r="A97" s="68"/>
      <c r="B97" s="10"/>
      <c r="C97" s="68"/>
      <c r="D97" s="68"/>
      <c r="E97" s="68"/>
      <c r="F97" s="68"/>
      <c r="G97" s="68"/>
      <c r="H97" s="68"/>
      <c r="I97" s="68"/>
      <c r="J97" s="68"/>
      <c r="K97" s="68"/>
      <c r="L97" s="68"/>
      <c r="M97" s="68"/>
      <c r="N97" s="68"/>
      <c r="O97" s="68"/>
      <c r="P97" s="68"/>
      <c r="Q97" s="68"/>
      <c r="R97" s="68"/>
      <c r="S97" s="68"/>
      <c r="T97" s="70"/>
      <c r="AC97" s="68"/>
      <c r="AD97" s="70"/>
      <c r="AM97" s="68"/>
      <c r="AN97" s="70"/>
      <c r="AU97" s="68"/>
      <c r="AV97" s="70"/>
      <c r="BB97" s="68"/>
      <c r="BC97" s="70"/>
      <c r="BD97" s="68"/>
      <c r="BE97" s="68"/>
      <c r="BF97" s="68"/>
      <c r="BG97" s="68"/>
      <c r="BH97" s="68"/>
      <c r="BI97" s="68"/>
      <c r="BJ97" s="70"/>
      <c r="BM97" s="68"/>
      <c r="BN97" s="70"/>
      <c r="BT97" s="68"/>
      <c r="BU97" s="70"/>
      <c r="BZ97" s="10"/>
      <c r="CF97" s="10"/>
      <c r="CI97" s="389"/>
      <c r="CJ97" s="389"/>
      <c r="CK97" s="68"/>
      <c r="CL97" s="70"/>
      <c r="CO97" s="10"/>
      <c r="CU97" s="10"/>
      <c r="DA97" s="10"/>
      <c r="DB97" s="70"/>
      <c r="DC97" s="70"/>
      <c r="DF97" s="68"/>
      <c r="DG97" s="70"/>
      <c r="DH97" s="68"/>
      <c r="DI97" s="386"/>
      <c r="DJ97" s="425"/>
      <c r="DL97" s="68"/>
      <c r="DM97" s="70"/>
      <c r="DQ97" s="68"/>
      <c r="DR97" s="70"/>
      <c r="DS97" s="338"/>
      <c r="DT97" s="338"/>
      <c r="DU97" s="338"/>
      <c r="DW97" s="338"/>
      <c r="DX97" s="338"/>
      <c r="DY97" s="338"/>
      <c r="EA97" s="338"/>
      <c r="EB97" s="338"/>
      <c r="EC97" s="338"/>
      <c r="EE97" s="338"/>
      <c r="EF97" s="338"/>
      <c r="EG97" s="338"/>
      <c r="EI97" s="336"/>
      <c r="EJ97" s="336"/>
      <c r="EK97" s="336"/>
      <c r="EL97" s="336"/>
      <c r="EM97" s="336"/>
      <c r="EN97" s="336"/>
      <c r="EO97" s="337"/>
      <c r="EP97" s="342"/>
      <c r="EQ97" s="336"/>
      <c r="ER97" s="342"/>
      <c r="ES97" s="336"/>
      <c r="ET97" s="342"/>
      <c r="EU97" s="336"/>
      <c r="EV97" s="342"/>
      <c r="EW97" s="336"/>
      <c r="EX97" s="342"/>
      <c r="EY97" s="342"/>
      <c r="EZ97" s="342"/>
      <c r="FA97" s="337"/>
      <c r="FE97" s="338"/>
      <c r="FH97" s="338"/>
      <c r="FI97" s="338"/>
      <c r="FJ97" s="338"/>
      <c r="FK97" s="338"/>
      <c r="FL97" s="338"/>
      <c r="FM97" s="337"/>
      <c r="FN97" s="336"/>
      <c r="FO97" s="336"/>
      <c r="FP97" s="336"/>
      <c r="FQ97" s="336"/>
      <c r="FR97" s="336"/>
      <c r="FS97" s="336"/>
      <c r="FT97" s="336"/>
      <c r="FU97" s="336"/>
      <c r="FV97" s="336"/>
      <c r="FW97" s="337"/>
      <c r="FX97" s="532"/>
      <c r="FY97" s="341"/>
      <c r="FZ97" s="341"/>
      <c r="GA97" s="336"/>
      <c r="GB97" s="341"/>
      <c r="GC97" s="341"/>
      <c r="GD97" s="341"/>
      <c r="GE97" s="336"/>
      <c r="GF97" s="336"/>
      <c r="GG97" s="336"/>
      <c r="GH97" s="336"/>
      <c r="GI97" s="336"/>
      <c r="GJ97" s="337"/>
      <c r="GM97" s="338"/>
      <c r="GN97" s="338"/>
      <c r="GO97" s="338"/>
      <c r="GS97" s="338"/>
      <c r="GT97" s="338"/>
      <c r="GU97" s="338"/>
      <c r="GY97" s="338"/>
      <c r="GZ97" s="338"/>
      <c r="HA97" s="338"/>
      <c r="HE97" s="338"/>
      <c r="HF97" s="338"/>
      <c r="HG97" s="338"/>
      <c r="HN97" s="68"/>
      <c r="HO97" s="68"/>
      <c r="HP97" s="68"/>
      <c r="HQ97" s="336"/>
      <c r="HR97" s="68"/>
      <c r="HS97" s="68"/>
      <c r="HT97" s="10"/>
      <c r="HW97" s="338"/>
      <c r="HX97" s="338"/>
      <c r="HY97" s="338"/>
      <c r="IC97" s="338"/>
      <c r="ID97" s="338"/>
      <c r="IE97" s="338"/>
      <c r="II97" s="338"/>
      <c r="IJ97" s="338"/>
      <c r="IK97" s="338"/>
      <c r="IO97" s="338"/>
      <c r="IP97" s="338"/>
      <c r="IQ97" s="338"/>
      <c r="IX97" s="68"/>
      <c r="IY97" s="68"/>
      <c r="IZ97" s="68"/>
      <c r="JA97" s="68"/>
      <c r="JB97" s="68"/>
      <c r="JC97" s="68"/>
      <c r="JD97" s="10"/>
      <c r="JG97" s="338"/>
      <c r="JH97" s="338"/>
      <c r="JI97" s="338"/>
      <c r="JM97" s="338"/>
      <c r="JN97" s="338"/>
      <c r="JQ97" s="338"/>
      <c r="JR97" s="338"/>
      <c r="JS97" s="338"/>
      <c r="JW97" s="358"/>
      <c r="JX97" s="336"/>
      <c r="JY97" s="336"/>
      <c r="JZ97" s="336"/>
      <c r="KA97" s="336"/>
      <c r="KB97" s="336"/>
      <c r="KC97" s="336"/>
      <c r="KD97" s="336"/>
      <c r="KE97" s="336"/>
      <c r="KF97" s="336"/>
      <c r="KG97" s="337"/>
      <c r="KH97" s="338"/>
      <c r="KI97" s="338"/>
      <c r="KJ97" s="338"/>
      <c r="KK97" s="338"/>
      <c r="KL97" s="338"/>
      <c r="KM97" s="338"/>
      <c r="KN97" s="338"/>
      <c r="KO97" s="338"/>
      <c r="KP97" s="338"/>
      <c r="KQ97" s="338"/>
      <c r="KR97" s="338"/>
      <c r="KS97" s="338"/>
      <c r="KT97" s="338"/>
      <c r="KU97" s="338"/>
      <c r="KV97" s="338"/>
      <c r="KW97" s="337"/>
      <c r="KX97" s="336"/>
      <c r="KY97" s="336"/>
      <c r="KZ97" s="336"/>
      <c r="LA97" s="336"/>
      <c r="LB97" s="336"/>
      <c r="LC97" s="336"/>
      <c r="LD97" s="336"/>
      <c r="LE97" s="336"/>
      <c r="LF97" s="336"/>
      <c r="LG97" s="336"/>
      <c r="LH97" s="336"/>
      <c r="LI97" s="336"/>
      <c r="LJ97" s="336"/>
      <c r="LK97" s="336"/>
      <c r="LL97" s="336"/>
      <c r="LM97" s="336"/>
      <c r="LN97" s="336"/>
      <c r="LO97" s="336"/>
      <c r="LP97" s="336"/>
      <c r="LQ97" s="337"/>
      <c r="MN97" s="10"/>
      <c r="OA97" s="10"/>
    </row>
    <row r="98" spans="1:391" s="370" customFormat="1" x14ac:dyDescent="0.25">
      <c r="A98" s="68"/>
      <c r="B98" s="10"/>
      <c r="C98" s="68"/>
      <c r="D98" s="68"/>
      <c r="E98" s="68"/>
      <c r="F98" s="68"/>
      <c r="G98" s="68"/>
      <c r="H98" s="68"/>
      <c r="I98" s="68"/>
      <c r="J98" s="68"/>
      <c r="K98" s="68"/>
      <c r="L98" s="68"/>
      <c r="M98" s="68"/>
      <c r="N98" s="68"/>
      <c r="O98" s="68"/>
      <c r="P98" s="68"/>
      <c r="Q98" s="68"/>
      <c r="R98" s="68"/>
      <c r="S98" s="68"/>
      <c r="T98" s="70"/>
      <c r="AC98" s="68"/>
      <c r="AD98" s="70"/>
      <c r="AM98" s="68"/>
      <c r="AN98" s="70"/>
      <c r="AU98" s="68"/>
      <c r="AV98" s="70"/>
      <c r="BB98" s="68"/>
      <c r="BC98" s="70"/>
      <c r="BD98" s="68"/>
      <c r="BE98" s="68"/>
      <c r="BF98" s="68"/>
      <c r="BG98" s="68"/>
      <c r="BH98" s="68"/>
      <c r="BI98" s="68"/>
      <c r="BJ98" s="70"/>
      <c r="BM98" s="68"/>
      <c r="BN98" s="70"/>
      <c r="BT98" s="68"/>
      <c r="BU98" s="70"/>
      <c r="BZ98" s="10"/>
      <c r="CF98" s="10"/>
      <c r="CI98" s="389"/>
      <c r="CJ98" s="389"/>
      <c r="CK98" s="68"/>
      <c r="CL98" s="70"/>
      <c r="CO98" s="10"/>
      <c r="CU98" s="10"/>
      <c r="DA98" s="10"/>
      <c r="DB98" s="70"/>
      <c r="DC98" s="70"/>
      <c r="DF98" s="68"/>
      <c r="DG98" s="70"/>
      <c r="DH98" s="68"/>
      <c r="DI98" s="386"/>
      <c r="DJ98" s="425"/>
      <c r="DL98" s="68"/>
      <c r="DM98" s="70"/>
      <c r="DQ98" s="68"/>
      <c r="DR98" s="70"/>
      <c r="DS98" s="338"/>
      <c r="DT98" s="338"/>
      <c r="DU98" s="338"/>
      <c r="DW98" s="338"/>
      <c r="DX98" s="338"/>
      <c r="DY98" s="338"/>
      <c r="EA98" s="338"/>
      <c r="EB98" s="338"/>
      <c r="EC98" s="338"/>
      <c r="EE98" s="338"/>
      <c r="EF98" s="338"/>
      <c r="EG98" s="338"/>
      <c r="EI98" s="336"/>
      <c r="EJ98" s="336"/>
      <c r="EK98" s="336"/>
      <c r="EL98" s="336"/>
      <c r="EM98" s="336"/>
      <c r="EN98" s="336"/>
      <c r="EO98" s="337"/>
      <c r="EP98" s="342"/>
      <c r="EQ98" s="336"/>
      <c r="ER98" s="342"/>
      <c r="ES98" s="336"/>
      <c r="ET98" s="342"/>
      <c r="EU98" s="336"/>
      <c r="EV98" s="342"/>
      <c r="EW98" s="336"/>
      <c r="EX98" s="342"/>
      <c r="EY98" s="342"/>
      <c r="EZ98" s="342"/>
      <c r="FA98" s="337"/>
      <c r="FE98" s="338"/>
      <c r="FH98" s="338"/>
      <c r="FI98" s="338"/>
      <c r="FJ98" s="338"/>
      <c r="FK98" s="338"/>
      <c r="FL98" s="338"/>
      <c r="FM98" s="337"/>
      <c r="FN98" s="336"/>
      <c r="FO98" s="336"/>
      <c r="FP98" s="336"/>
      <c r="FQ98" s="336"/>
      <c r="FR98" s="336"/>
      <c r="FS98" s="336"/>
      <c r="FT98" s="336"/>
      <c r="FU98" s="336"/>
      <c r="FV98" s="336"/>
      <c r="FW98" s="337"/>
      <c r="FX98" s="532"/>
      <c r="FY98" s="341"/>
      <c r="FZ98" s="341"/>
      <c r="GA98" s="336"/>
      <c r="GB98" s="341"/>
      <c r="GC98" s="341"/>
      <c r="GD98" s="341"/>
      <c r="GE98" s="336"/>
      <c r="GF98" s="336"/>
      <c r="GG98" s="336"/>
      <c r="GH98" s="336"/>
      <c r="GI98" s="336"/>
      <c r="GJ98" s="337"/>
      <c r="GM98" s="338"/>
      <c r="GN98" s="338"/>
      <c r="GO98" s="338"/>
      <c r="GS98" s="338"/>
      <c r="GT98" s="338"/>
      <c r="GU98" s="338"/>
      <c r="GY98" s="338"/>
      <c r="GZ98" s="338"/>
      <c r="HA98" s="338"/>
      <c r="HE98" s="338"/>
      <c r="HF98" s="338"/>
      <c r="HG98" s="338"/>
      <c r="HN98" s="68"/>
      <c r="HO98" s="68"/>
      <c r="HP98" s="68"/>
      <c r="HQ98" s="336"/>
      <c r="HR98" s="68"/>
      <c r="HS98" s="68"/>
      <c r="HT98" s="10"/>
      <c r="HW98" s="338"/>
      <c r="HX98" s="338"/>
      <c r="HY98" s="338"/>
      <c r="IC98" s="338"/>
      <c r="ID98" s="338"/>
      <c r="IE98" s="338"/>
      <c r="II98" s="338"/>
      <c r="IJ98" s="338"/>
      <c r="IK98" s="338"/>
      <c r="IO98" s="338"/>
      <c r="IP98" s="338"/>
      <c r="IQ98" s="338"/>
      <c r="IX98" s="68"/>
      <c r="IY98" s="68"/>
      <c r="IZ98" s="68"/>
      <c r="JA98" s="68"/>
      <c r="JB98" s="68"/>
      <c r="JC98" s="68"/>
      <c r="JD98" s="10"/>
      <c r="JG98" s="338"/>
      <c r="JH98" s="338"/>
      <c r="JI98" s="338"/>
      <c r="JM98" s="338"/>
      <c r="JN98" s="338"/>
      <c r="JQ98" s="338"/>
      <c r="JR98" s="338"/>
      <c r="JS98" s="338"/>
      <c r="JW98" s="358"/>
      <c r="JX98" s="336"/>
      <c r="JY98" s="336"/>
      <c r="JZ98" s="336"/>
      <c r="KA98" s="336"/>
      <c r="KB98" s="336"/>
      <c r="KC98" s="336"/>
      <c r="KD98" s="336"/>
      <c r="KE98" s="336"/>
      <c r="KF98" s="336"/>
      <c r="KG98" s="337"/>
      <c r="KH98" s="338"/>
      <c r="KI98" s="338"/>
      <c r="KJ98" s="338"/>
      <c r="KK98" s="338"/>
      <c r="KL98" s="338"/>
      <c r="KM98" s="338"/>
      <c r="KN98" s="338"/>
      <c r="KO98" s="338"/>
      <c r="KP98" s="338"/>
      <c r="KQ98" s="338"/>
      <c r="KR98" s="338"/>
      <c r="KS98" s="338"/>
      <c r="KT98" s="338"/>
      <c r="KU98" s="338"/>
      <c r="KV98" s="338"/>
      <c r="KW98" s="337"/>
      <c r="KX98" s="336"/>
      <c r="KY98" s="336"/>
      <c r="KZ98" s="336"/>
      <c r="LA98" s="336"/>
      <c r="LB98" s="336"/>
      <c r="LC98" s="336"/>
      <c r="LD98" s="336"/>
      <c r="LE98" s="336"/>
      <c r="LF98" s="336"/>
      <c r="LG98" s="336"/>
      <c r="LH98" s="336"/>
      <c r="LI98" s="336"/>
      <c r="LJ98" s="336"/>
      <c r="LK98" s="336"/>
      <c r="LL98" s="336"/>
      <c r="LM98" s="336"/>
      <c r="LN98" s="336"/>
      <c r="LO98" s="336"/>
      <c r="LP98" s="336"/>
      <c r="LQ98" s="337"/>
      <c r="MN98" s="10"/>
      <c r="OA98" s="10"/>
    </row>
    <row r="99" spans="1:391" s="370" customFormat="1" x14ac:dyDescent="0.25">
      <c r="A99" s="68"/>
      <c r="B99" s="10"/>
      <c r="C99" s="68"/>
      <c r="D99" s="68"/>
      <c r="E99" s="68"/>
      <c r="F99" s="68"/>
      <c r="G99" s="68"/>
      <c r="H99" s="68"/>
      <c r="I99" s="68"/>
      <c r="J99" s="68"/>
      <c r="K99" s="68"/>
      <c r="L99" s="68"/>
      <c r="M99" s="68"/>
      <c r="N99" s="68"/>
      <c r="O99" s="68"/>
      <c r="P99" s="68"/>
      <c r="Q99" s="68"/>
      <c r="R99" s="68"/>
      <c r="S99" s="68"/>
      <c r="T99" s="70"/>
      <c r="AC99" s="68"/>
      <c r="AD99" s="70"/>
      <c r="AM99" s="68"/>
      <c r="AN99" s="70"/>
      <c r="AU99" s="68"/>
      <c r="AV99" s="70"/>
      <c r="BB99" s="68"/>
      <c r="BC99" s="70"/>
      <c r="BD99" s="68"/>
      <c r="BE99" s="68"/>
      <c r="BF99" s="68"/>
      <c r="BG99" s="68"/>
      <c r="BH99" s="68"/>
      <c r="BI99" s="68"/>
      <c r="BJ99" s="70"/>
      <c r="BM99" s="68"/>
      <c r="BN99" s="70"/>
      <c r="BT99" s="68"/>
      <c r="BU99" s="70"/>
      <c r="BZ99" s="10"/>
      <c r="CF99" s="10"/>
      <c r="CI99" s="389"/>
      <c r="CJ99" s="389"/>
      <c r="CK99" s="68"/>
      <c r="CL99" s="70"/>
      <c r="CO99" s="10"/>
      <c r="CU99" s="10"/>
      <c r="DA99" s="10"/>
      <c r="DB99" s="70"/>
      <c r="DC99" s="70"/>
      <c r="DF99" s="68"/>
      <c r="DG99" s="70"/>
      <c r="DH99" s="68"/>
      <c r="DI99" s="386"/>
      <c r="DJ99" s="425"/>
      <c r="DL99" s="68"/>
      <c r="DM99" s="70"/>
      <c r="DQ99" s="68"/>
      <c r="DR99" s="70"/>
      <c r="DS99" s="338"/>
      <c r="DT99" s="338"/>
      <c r="DU99" s="338"/>
      <c r="DW99" s="338"/>
      <c r="DX99" s="338"/>
      <c r="DY99" s="338"/>
      <c r="EA99" s="338"/>
      <c r="EB99" s="338"/>
      <c r="EC99" s="338"/>
      <c r="EE99" s="338"/>
      <c r="EF99" s="338"/>
      <c r="EG99" s="338"/>
      <c r="EI99" s="336"/>
      <c r="EJ99" s="336"/>
      <c r="EK99" s="336"/>
      <c r="EL99" s="336"/>
      <c r="EM99" s="336"/>
      <c r="EN99" s="336"/>
      <c r="EO99" s="337"/>
      <c r="EP99" s="342"/>
      <c r="EQ99" s="336"/>
      <c r="ER99" s="342"/>
      <c r="ES99" s="336"/>
      <c r="ET99" s="342"/>
      <c r="EU99" s="336"/>
      <c r="EV99" s="342"/>
      <c r="EW99" s="336"/>
      <c r="EX99" s="342"/>
      <c r="EY99" s="342"/>
      <c r="EZ99" s="342"/>
      <c r="FA99" s="337"/>
      <c r="FE99" s="338"/>
      <c r="FH99" s="338"/>
      <c r="FI99" s="338"/>
      <c r="FJ99" s="338"/>
      <c r="FK99" s="338"/>
      <c r="FL99" s="338"/>
      <c r="FM99" s="337"/>
      <c r="FN99" s="336"/>
      <c r="FO99" s="336"/>
      <c r="FP99" s="336"/>
      <c r="FQ99" s="336"/>
      <c r="FR99" s="336"/>
      <c r="FS99" s="336"/>
      <c r="FT99" s="336"/>
      <c r="FU99" s="336"/>
      <c r="FV99" s="336"/>
      <c r="FW99" s="337"/>
      <c r="FX99" s="532"/>
      <c r="FY99" s="341"/>
      <c r="FZ99" s="341"/>
      <c r="GA99" s="336"/>
      <c r="GB99" s="341"/>
      <c r="GC99" s="341"/>
      <c r="GD99" s="341"/>
      <c r="GE99" s="336"/>
      <c r="GF99" s="336"/>
      <c r="GG99" s="336"/>
      <c r="GH99" s="336"/>
      <c r="GI99" s="336"/>
      <c r="GJ99" s="337"/>
      <c r="GM99" s="338"/>
      <c r="GN99" s="338"/>
      <c r="GO99" s="338"/>
      <c r="GS99" s="338"/>
      <c r="GT99" s="338"/>
      <c r="GU99" s="338"/>
      <c r="GY99" s="338"/>
      <c r="GZ99" s="338"/>
      <c r="HA99" s="338"/>
      <c r="HE99" s="338"/>
      <c r="HF99" s="338"/>
      <c r="HG99" s="338"/>
      <c r="HN99" s="68"/>
      <c r="HO99" s="68"/>
      <c r="HP99" s="68"/>
      <c r="HQ99" s="336"/>
      <c r="HR99" s="68"/>
      <c r="HS99" s="68"/>
      <c r="HT99" s="10"/>
      <c r="HW99" s="338"/>
      <c r="HX99" s="338"/>
      <c r="HY99" s="338"/>
      <c r="IC99" s="338"/>
      <c r="ID99" s="338"/>
      <c r="IE99" s="338"/>
      <c r="II99" s="338"/>
      <c r="IJ99" s="338"/>
      <c r="IK99" s="338"/>
      <c r="IO99" s="338"/>
      <c r="IP99" s="338"/>
      <c r="IQ99" s="338"/>
      <c r="IX99" s="68"/>
      <c r="IY99" s="68"/>
      <c r="IZ99" s="68"/>
      <c r="JA99" s="68"/>
      <c r="JB99" s="68"/>
      <c r="JC99" s="68"/>
      <c r="JD99" s="10"/>
      <c r="JG99" s="338"/>
      <c r="JH99" s="338"/>
      <c r="JI99" s="338"/>
      <c r="JM99" s="338"/>
      <c r="JN99" s="338"/>
      <c r="JQ99" s="338"/>
      <c r="JR99" s="338"/>
      <c r="JS99" s="338"/>
      <c r="JW99" s="358"/>
      <c r="JX99" s="336"/>
      <c r="JY99" s="336"/>
      <c r="JZ99" s="336"/>
      <c r="KA99" s="336"/>
      <c r="KB99" s="336"/>
      <c r="KC99" s="336"/>
      <c r="KD99" s="336"/>
      <c r="KE99" s="336"/>
      <c r="KF99" s="336"/>
      <c r="KG99" s="337"/>
      <c r="KH99" s="338"/>
      <c r="KI99" s="338"/>
      <c r="KJ99" s="338"/>
      <c r="KK99" s="338"/>
      <c r="KL99" s="338"/>
      <c r="KM99" s="338"/>
      <c r="KN99" s="338"/>
      <c r="KO99" s="338"/>
      <c r="KP99" s="338"/>
      <c r="KQ99" s="338"/>
      <c r="KR99" s="338"/>
      <c r="KS99" s="338"/>
      <c r="KT99" s="338"/>
      <c r="KU99" s="338"/>
      <c r="KV99" s="338"/>
      <c r="KW99" s="337"/>
      <c r="KX99" s="336"/>
      <c r="KY99" s="336"/>
      <c r="KZ99" s="336"/>
      <c r="LA99" s="336"/>
      <c r="LB99" s="336"/>
      <c r="LC99" s="336"/>
      <c r="LD99" s="336"/>
      <c r="LE99" s="336"/>
      <c r="LF99" s="336"/>
      <c r="LG99" s="336"/>
      <c r="LH99" s="336"/>
      <c r="LI99" s="336"/>
      <c r="LJ99" s="336"/>
      <c r="LK99" s="336"/>
      <c r="LL99" s="336"/>
      <c r="LM99" s="336"/>
      <c r="LN99" s="336"/>
      <c r="LO99" s="336"/>
      <c r="LP99" s="336"/>
      <c r="LQ99" s="337"/>
      <c r="MN99" s="10"/>
      <c r="OA99" s="10"/>
    </row>
    <row r="100" spans="1:391" s="370" customFormat="1" x14ac:dyDescent="0.25">
      <c r="A100" s="68"/>
      <c r="B100" s="10"/>
      <c r="C100" s="68"/>
      <c r="D100" s="68"/>
      <c r="E100" s="68"/>
      <c r="F100" s="68"/>
      <c r="G100" s="68"/>
      <c r="H100" s="68"/>
      <c r="I100" s="68"/>
      <c r="J100" s="68"/>
      <c r="K100" s="68"/>
      <c r="L100" s="68"/>
      <c r="M100" s="68"/>
      <c r="N100" s="68"/>
      <c r="O100" s="68"/>
      <c r="P100" s="68"/>
      <c r="Q100" s="68"/>
      <c r="R100" s="68"/>
      <c r="S100" s="68"/>
      <c r="T100" s="70"/>
      <c r="AC100" s="68"/>
      <c r="AD100" s="70"/>
      <c r="AM100" s="68"/>
      <c r="AN100" s="70"/>
      <c r="AU100" s="68"/>
      <c r="AV100" s="70"/>
      <c r="BB100" s="68"/>
      <c r="BC100" s="70"/>
      <c r="BD100" s="68"/>
      <c r="BE100" s="68"/>
      <c r="BF100" s="68"/>
      <c r="BG100" s="68"/>
      <c r="BH100" s="68"/>
      <c r="BI100" s="68"/>
      <c r="BJ100" s="70"/>
      <c r="BM100" s="68"/>
      <c r="BN100" s="70"/>
      <c r="BT100" s="68"/>
      <c r="BU100" s="70"/>
      <c r="BZ100" s="10"/>
      <c r="CF100" s="10"/>
      <c r="CI100" s="389"/>
      <c r="CJ100" s="389"/>
      <c r="CK100" s="68"/>
      <c r="CL100" s="70"/>
      <c r="CO100" s="10"/>
      <c r="CU100" s="10"/>
      <c r="DA100" s="10"/>
      <c r="DB100" s="70"/>
      <c r="DC100" s="70"/>
      <c r="DF100" s="68"/>
      <c r="DG100" s="70"/>
      <c r="DH100" s="68"/>
      <c r="DI100" s="386"/>
      <c r="DJ100" s="425"/>
      <c r="DL100" s="68"/>
      <c r="DM100" s="70"/>
      <c r="DQ100" s="68"/>
      <c r="DR100" s="70"/>
      <c r="DS100" s="338"/>
      <c r="DT100" s="338"/>
      <c r="DU100" s="338"/>
      <c r="DW100" s="338"/>
      <c r="DX100" s="338"/>
      <c r="DY100" s="338"/>
      <c r="EA100" s="338"/>
      <c r="EB100" s="338"/>
      <c r="EC100" s="338"/>
      <c r="EE100" s="338"/>
      <c r="EF100" s="338"/>
      <c r="EG100" s="338"/>
      <c r="EI100" s="336"/>
      <c r="EJ100" s="336"/>
      <c r="EK100" s="336"/>
      <c r="EL100" s="336"/>
      <c r="EM100" s="336"/>
      <c r="EN100" s="336"/>
      <c r="EO100" s="337"/>
      <c r="EP100" s="342"/>
      <c r="EQ100" s="336"/>
      <c r="ER100" s="342"/>
      <c r="ES100" s="336"/>
      <c r="ET100" s="342"/>
      <c r="EU100" s="336"/>
      <c r="EV100" s="342"/>
      <c r="EW100" s="336"/>
      <c r="EX100" s="342"/>
      <c r="EY100" s="342"/>
      <c r="EZ100" s="342"/>
      <c r="FA100" s="337"/>
      <c r="FE100" s="338"/>
      <c r="FH100" s="338"/>
      <c r="FI100" s="338"/>
      <c r="FJ100" s="338"/>
      <c r="FK100" s="338"/>
      <c r="FL100" s="338"/>
      <c r="FM100" s="337"/>
      <c r="FN100" s="336"/>
      <c r="FO100" s="336"/>
      <c r="FP100" s="336"/>
      <c r="FQ100" s="336"/>
      <c r="FR100" s="336"/>
      <c r="FS100" s="336"/>
      <c r="FT100" s="336"/>
      <c r="FU100" s="336"/>
      <c r="FV100" s="336"/>
      <c r="FW100" s="337"/>
      <c r="FX100" s="532"/>
      <c r="FY100" s="341"/>
      <c r="FZ100" s="341"/>
      <c r="GA100" s="336"/>
      <c r="GB100" s="341"/>
      <c r="GC100" s="341"/>
      <c r="GD100" s="341"/>
      <c r="GE100" s="336"/>
      <c r="GF100" s="336"/>
      <c r="GG100" s="336"/>
      <c r="GH100" s="336"/>
      <c r="GI100" s="336"/>
      <c r="GJ100" s="337"/>
      <c r="GM100" s="338"/>
      <c r="GN100" s="338"/>
      <c r="GO100" s="338"/>
      <c r="GS100" s="338"/>
      <c r="GT100" s="338"/>
      <c r="GU100" s="338"/>
      <c r="GY100" s="338"/>
      <c r="GZ100" s="338"/>
      <c r="HA100" s="338"/>
      <c r="HE100" s="338"/>
      <c r="HF100" s="338"/>
      <c r="HG100" s="338"/>
      <c r="HN100" s="68"/>
      <c r="HO100" s="68"/>
      <c r="HP100" s="68"/>
      <c r="HQ100" s="336"/>
      <c r="HR100" s="68"/>
      <c r="HS100" s="68"/>
      <c r="HT100" s="10"/>
      <c r="HW100" s="338"/>
      <c r="HX100" s="338"/>
      <c r="HY100" s="338"/>
      <c r="IC100" s="338"/>
      <c r="ID100" s="338"/>
      <c r="IE100" s="338"/>
      <c r="II100" s="338"/>
      <c r="IJ100" s="338"/>
      <c r="IK100" s="338"/>
      <c r="IO100" s="338"/>
      <c r="IP100" s="338"/>
      <c r="IQ100" s="338"/>
      <c r="IX100" s="68"/>
      <c r="IY100" s="68"/>
      <c r="IZ100" s="68"/>
      <c r="JA100" s="68"/>
      <c r="JB100" s="68"/>
      <c r="JC100" s="68"/>
      <c r="JD100" s="10"/>
      <c r="JG100" s="338"/>
      <c r="JH100" s="338"/>
      <c r="JI100" s="338"/>
      <c r="JM100" s="338"/>
      <c r="JN100" s="338"/>
      <c r="JQ100" s="338"/>
      <c r="JR100" s="338"/>
      <c r="JS100" s="338"/>
      <c r="JW100" s="358"/>
      <c r="JX100" s="336"/>
      <c r="JY100" s="336"/>
      <c r="JZ100" s="336"/>
      <c r="KA100" s="336"/>
      <c r="KB100" s="336"/>
      <c r="KC100" s="336"/>
      <c r="KD100" s="336"/>
      <c r="KE100" s="336"/>
      <c r="KF100" s="336"/>
      <c r="KG100" s="337"/>
      <c r="KH100" s="338"/>
      <c r="KI100" s="338"/>
      <c r="KJ100" s="338"/>
      <c r="KK100" s="338"/>
      <c r="KL100" s="338"/>
      <c r="KM100" s="338"/>
      <c r="KN100" s="338"/>
      <c r="KO100" s="338"/>
      <c r="KP100" s="338"/>
      <c r="KQ100" s="338"/>
      <c r="KR100" s="338"/>
      <c r="KS100" s="338"/>
      <c r="KT100" s="338"/>
      <c r="KU100" s="338"/>
      <c r="KV100" s="338"/>
      <c r="KW100" s="337"/>
      <c r="KX100" s="336"/>
      <c r="KY100" s="336"/>
      <c r="KZ100" s="336"/>
      <c r="LA100" s="336"/>
      <c r="LB100" s="336"/>
      <c r="LC100" s="336"/>
      <c r="LD100" s="336"/>
      <c r="LE100" s="336"/>
      <c r="LF100" s="336"/>
      <c r="LG100" s="336"/>
      <c r="LH100" s="336"/>
      <c r="LI100" s="336"/>
      <c r="LJ100" s="336"/>
      <c r="LK100" s="336"/>
      <c r="LL100" s="336"/>
      <c r="LM100" s="336"/>
      <c r="LN100" s="336"/>
      <c r="LO100" s="336"/>
      <c r="LP100" s="336"/>
      <c r="LQ100" s="337"/>
      <c r="MN100" s="10"/>
      <c r="OA100" s="10"/>
    </row>
    <row r="101" spans="1:391" s="370" customFormat="1" x14ac:dyDescent="0.25">
      <c r="A101" s="68"/>
      <c r="B101" s="10"/>
      <c r="C101" s="68"/>
      <c r="D101" s="68"/>
      <c r="E101" s="68"/>
      <c r="F101" s="68"/>
      <c r="G101" s="68"/>
      <c r="H101" s="68"/>
      <c r="I101" s="68"/>
      <c r="J101" s="68"/>
      <c r="K101" s="68"/>
      <c r="L101" s="68"/>
      <c r="M101" s="68"/>
      <c r="N101" s="68"/>
      <c r="O101" s="68"/>
      <c r="P101" s="68"/>
      <c r="Q101" s="68"/>
      <c r="R101" s="68"/>
      <c r="S101" s="68"/>
      <c r="T101" s="70"/>
      <c r="AC101" s="68"/>
      <c r="AD101" s="70"/>
      <c r="AM101" s="68"/>
      <c r="AN101" s="70"/>
      <c r="AU101" s="68"/>
      <c r="AV101" s="70"/>
      <c r="BB101" s="68"/>
      <c r="BC101" s="70"/>
      <c r="BD101" s="68"/>
      <c r="BE101" s="68"/>
      <c r="BF101" s="68"/>
      <c r="BG101" s="68"/>
      <c r="BH101" s="68"/>
      <c r="BI101" s="68"/>
      <c r="BJ101" s="70"/>
      <c r="BM101" s="68"/>
      <c r="BN101" s="70"/>
      <c r="BT101" s="68"/>
      <c r="BU101" s="70"/>
      <c r="BZ101" s="10"/>
      <c r="CF101" s="10"/>
      <c r="CI101" s="389"/>
      <c r="CJ101" s="389"/>
      <c r="CK101" s="68"/>
      <c r="CL101" s="70"/>
      <c r="CO101" s="10"/>
      <c r="CU101" s="10"/>
      <c r="DA101" s="10"/>
      <c r="DB101" s="70"/>
      <c r="DC101" s="70"/>
      <c r="DF101" s="68"/>
      <c r="DG101" s="70"/>
      <c r="DH101" s="68"/>
      <c r="DI101" s="386"/>
      <c r="DJ101" s="425"/>
      <c r="DL101" s="68"/>
      <c r="DM101" s="70"/>
      <c r="DQ101" s="68"/>
      <c r="DR101" s="70"/>
      <c r="DS101" s="338"/>
      <c r="DT101" s="338"/>
      <c r="DU101" s="338"/>
      <c r="DW101" s="338"/>
      <c r="DX101" s="338"/>
      <c r="DY101" s="338"/>
      <c r="EA101" s="338"/>
      <c r="EB101" s="338"/>
      <c r="EC101" s="338"/>
      <c r="EE101" s="338"/>
      <c r="EF101" s="338"/>
      <c r="EG101" s="338"/>
      <c r="EI101" s="336"/>
      <c r="EJ101" s="336"/>
      <c r="EK101" s="336"/>
      <c r="EL101" s="336"/>
      <c r="EM101" s="336"/>
      <c r="EN101" s="336"/>
      <c r="EO101" s="337"/>
      <c r="EP101" s="342"/>
      <c r="EQ101" s="336"/>
      <c r="ER101" s="342"/>
      <c r="ES101" s="336"/>
      <c r="ET101" s="342"/>
      <c r="EU101" s="336"/>
      <c r="EV101" s="342"/>
      <c r="EW101" s="336"/>
      <c r="EX101" s="342"/>
      <c r="EY101" s="342"/>
      <c r="EZ101" s="342"/>
      <c r="FA101" s="337"/>
      <c r="FE101" s="338"/>
      <c r="FH101" s="338"/>
      <c r="FI101" s="338"/>
      <c r="FJ101" s="338"/>
      <c r="FK101" s="338"/>
      <c r="FL101" s="338"/>
      <c r="FM101" s="337"/>
      <c r="FN101" s="336"/>
      <c r="FO101" s="336"/>
      <c r="FP101" s="336"/>
      <c r="FQ101" s="336"/>
      <c r="FR101" s="336"/>
      <c r="FS101" s="336"/>
      <c r="FT101" s="336"/>
      <c r="FU101" s="336"/>
      <c r="FV101" s="336"/>
      <c r="FW101" s="337"/>
      <c r="FX101" s="532"/>
      <c r="FY101" s="341"/>
      <c r="FZ101" s="341"/>
      <c r="GA101" s="336"/>
      <c r="GB101" s="341"/>
      <c r="GC101" s="341"/>
      <c r="GD101" s="341"/>
      <c r="GE101" s="336"/>
      <c r="GF101" s="336"/>
      <c r="GG101" s="336"/>
      <c r="GH101" s="336"/>
      <c r="GI101" s="336"/>
      <c r="GJ101" s="337"/>
      <c r="GM101" s="338"/>
      <c r="GN101" s="338"/>
      <c r="GO101" s="338"/>
      <c r="GS101" s="338"/>
      <c r="GT101" s="338"/>
      <c r="GU101" s="338"/>
      <c r="GY101" s="338"/>
      <c r="GZ101" s="338"/>
      <c r="HA101" s="338"/>
      <c r="HE101" s="338"/>
      <c r="HF101" s="338"/>
      <c r="HG101" s="338"/>
      <c r="HN101" s="68"/>
      <c r="HO101" s="68"/>
      <c r="HP101" s="68"/>
      <c r="HQ101" s="336"/>
      <c r="HR101" s="68"/>
      <c r="HS101" s="68"/>
      <c r="HT101" s="10"/>
      <c r="HW101" s="338"/>
      <c r="HX101" s="338"/>
      <c r="HY101" s="338"/>
      <c r="IC101" s="338"/>
      <c r="ID101" s="338"/>
      <c r="IE101" s="338"/>
      <c r="II101" s="338"/>
      <c r="IJ101" s="338"/>
      <c r="IK101" s="338"/>
      <c r="IO101" s="338"/>
      <c r="IP101" s="338"/>
      <c r="IQ101" s="338"/>
      <c r="IX101" s="68"/>
      <c r="IY101" s="68"/>
      <c r="IZ101" s="68"/>
      <c r="JA101" s="68"/>
      <c r="JB101" s="68"/>
      <c r="JC101" s="68"/>
      <c r="JD101" s="10"/>
      <c r="JG101" s="338"/>
      <c r="JH101" s="338"/>
      <c r="JI101" s="338"/>
      <c r="JM101" s="338"/>
      <c r="JN101" s="338"/>
      <c r="JQ101" s="338"/>
      <c r="JR101" s="338"/>
      <c r="JS101" s="338"/>
      <c r="JW101" s="358"/>
      <c r="JX101" s="336"/>
      <c r="JY101" s="336"/>
      <c r="JZ101" s="336"/>
      <c r="KA101" s="336"/>
      <c r="KB101" s="336"/>
      <c r="KC101" s="336"/>
      <c r="KD101" s="336"/>
      <c r="KE101" s="336"/>
      <c r="KF101" s="336"/>
      <c r="KG101" s="337"/>
      <c r="KH101" s="338"/>
      <c r="KI101" s="338"/>
      <c r="KJ101" s="338"/>
      <c r="KK101" s="338"/>
      <c r="KL101" s="338"/>
      <c r="KM101" s="338"/>
      <c r="KN101" s="338"/>
      <c r="KO101" s="338"/>
      <c r="KP101" s="338"/>
      <c r="KQ101" s="338"/>
      <c r="KR101" s="338"/>
      <c r="KS101" s="338"/>
      <c r="KT101" s="338"/>
      <c r="KU101" s="338"/>
      <c r="KV101" s="338"/>
      <c r="KW101" s="337"/>
      <c r="KX101" s="336"/>
      <c r="KY101" s="336"/>
      <c r="KZ101" s="336"/>
      <c r="LA101" s="336"/>
      <c r="LB101" s="336"/>
      <c r="LC101" s="336"/>
      <c r="LD101" s="336"/>
      <c r="LE101" s="336"/>
      <c r="LF101" s="336"/>
      <c r="LG101" s="336"/>
      <c r="LH101" s="336"/>
      <c r="LI101" s="336"/>
      <c r="LJ101" s="336"/>
      <c r="LK101" s="336"/>
      <c r="LL101" s="336"/>
      <c r="LM101" s="336"/>
      <c r="LN101" s="336"/>
      <c r="LO101" s="336"/>
      <c r="LP101" s="336"/>
      <c r="LQ101" s="337"/>
      <c r="MN101" s="10"/>
      <c r="OA101" s="10"/>
    </row>
    <row r="102" spans="1:391" s="370" customFormat="1" x14ac:dyDescent="0.25">
      <c r="A102" s="68"/>
      <c r="B102" s="10"/>
      <c r="C102" s="68"/>
      <c r="D102" s="68"/>
      <c r="E102" s="68"/>
      <c r="F102" s="68"/>
      <c r="G102" s="68"/>
      <c r="H102" s="68"/>
      <c r="I102" s="68"/>
      <c r="J102" s="68"/>
      <c r="K102" s="68"/>
      <c r="L102" s="68"/>
      <c r="M102" s="68"/>
      <c r="N102" s="68"/>
      <c r="O102" s="68"/>
      <c r="P102" s="68"/>
      <c r="Q102" s="68"/>
      <c r="R102" s="68"/>
      <c r="S102" s="68"/>
      <c r="T102" s="70"/>
      <c r="AC102" s="68"/>
      <c r="AD102" s="70"/>
      <c r="AM102" s="68"/>
      <c r="AN102" s="70"/>
      <c r="AU102" s="68"/>
      <c r="AV102" s="70"/>
      <c r="BB102" s="68"/>
      <c r="BC102" s="70"/>
      <c r="BD102" s="68"/>
      <c r="BE102" s="68"/>
      <c r="BF102" s="68"/>
      <c r="BG102" s="68"/>
      <c r="BH102" s="68"/>
      <c r="BI102" s="68"/>
      <c r="BJ102" s="70"/>
      <c r="BM102" s="68"/>
      <c r="BN102" s="70"/>
      <c r="BT102" s="68"/>
      <c r="BU102" s="70"/>
      <c r="BZ102" s="10"/>
      <c r="CF102" s="10"/>
      <c r="CI102" s="389"/>
      <c r="CJ102" s="389"/>
      <c r="CK102" s="68"/>
      <c r="CL102" s="70"/>
      <c r="CO102" s="10"/>
      <c r="CU102" s="10"/>
      <c r="DA102" s="10"/>
      <c r="DB102" s="70"/>
      <c r="DC102" s="70"/>
      <c r="DF102" s="68"/>
      <c r="DG102" s="70"/>
      <c r="DH102" s="68"/>
      <c r="DI102" s="386"/>
      <c r="DJ102" s="425"/>
      <c r="DL102" s="68"/>
      <c r="DM102" s="70"/>
      <c r="DQ102" s="68"/>
      <c r="DR102" s="70"/>
      <c r="DS102" s="338"/>
      <c r="DT102" s="338"/>
      <c r="DU102" s="338"/>
      <c r="DW102" s="338"/>
      <c r="DX102" s="338"/>
      <c r="DY102" s="338"/>
      <c r="EA102" s="338"/>
      <c r="EB102" s="338"/>
      <c r="EC102" s="338"/>
      <c r="EE102" s="338"/>
      <c r="EF102" s="338"/>
      <c r="EG102" s="338"/>
      <c r="EI102" s="336"/>
      <c r="EJ102" s="336"/>
      <c r="EK102" s="336"/>
      <c r="EL102" s="336"/>
      <c r="EM102" s="336"/>
      <c r="EN102" s="336"/>
      <c r="EO102" s="337"/>
      <c r="EP102" s="342"/>
      <c r="EQ102" s="336"/>
      <c r="ER102" s="342"/>
      <c r="ES102" s="336"/>
      <c r="ET102" s="342"/>
      <c r="EU102" s="336"/>
      <c r="EV102" s="342"/>
      <c r="EW102" s="336"/>
      <c r="EX102" s="342"/>
      <c r="EY102" s="342"/>
      <c r="EZ102" s="342"/>
      <c r="FA102" s="337"/>
      <c r="FE102" s="338"/>
      <c r="FH102" s="338"/>
      <c r="FI102" s="338"/>
      <c r="FJ102" s="338"/>
      <c r="FK102" s="338"/>
      <c r="FL102" s="338"/>
      <c r="FM102" s="337"/>
      <c r="FN102" s="336"/>
      <c r="FO102" s="336"/>
      <c r="FP102" s="336"/>
      <c r="FQ102" s="336"/>
      <c r="FR102" s="336"/>
      <c r="FS102" s="336"/>
      <c r="FT102" s="336"/>
      <c r="FU102" s="336"/>
      <c r="FV102" s="336"/>
      <c r="FW102" s="337"/>
      <c r="FX102" s="532"/>
      <c r="FY102" s="341"/>
      <c r="FZ102" s="341"/>
      <c r="GA102" s="336"/>
      <c r="GB102" s="341"/>
      <c r="GC102" s="341"/>
      <c r="GD102" s="341"/>
      <c r="GE102" s="336"/>
      <c r="GF102" s="336"/>
      <c r="GG102" s="336"/>
      <c r="GH102" s="336"/>
      <c r="GI102" s="336"/>
      <c r="GJ102" s="337"/>
      <c r="GM102" s="338"/>
      <c r="GN102" s="338"/>
      <c r="GO102" s="338"/>
      <c r="GS102" s="338"/>
      <c r="GT102" s="338"/>
      <c r="GU102" s="338"/>
      <c r="GY102" s="338"/>
      <c r="GZ102" s="338"/>
      <c r="HA102" s="338"/>
      <c r="HE102" s="338"/>
      <c r="HF102" s="338"/>
      <c r="HG102" s="338"/>
      <c r="HN102" s="68"/>
      <c r="HO102" s="68"/>
      <c r="HP102" s="68"/>
      <c r="HQ102" s="336"/>
      <c r="HR102" s="68"/>
      <c r="HS102" s="68"/>
      <c r="HT102" s="10"/>
      <c r="HW102" s="338"/>
      <c r="HX102" s="338"/>
      <c r="HY102" s="338"/>
      <c r="IC102" s="338"/>
      <c r="ID102" s="338"/>
      <c r="IE102" s="338"/>
      <c r="II102" s="338"/>
      <c r="IJ102" s="338"/>
      <c r="IK102" s="338"/>
      <c r="IO102" s="338"/>
      <c r="IP102" s="338"/>
      <c r="IQ102" s="338"/>
      <c r="IX102" s="68"/>
      <c r="IY102" s="68"/>
      <c r="IZ102" s="68"/>
      <c r="JA102" s="68"/>
      <c r="JB102" s="68"/>
      <c r="JC102" s="68"/>
      <c r="JD102" s="10"/>
      <c r="JG102" s="338"/>
      <c r="JH102" s="338"/>
      <c r="JI102" s="338"/>
      <c r="JM102" s="338"/>
      <c r="JN102" s="338"/>
      <c r="JQ102" s="338"/>
      <c r="JR102" s="338"/>
      <c r="JS102" s="338"/>
      <c r="JW102" s="358"/>
      <c r="JX102" s="336"/>
      <c r="JY102" s="336"/>
      <c r="JZ102" s="336"/>
      <c r="KA102" s="336"/>
      <c r="KB102" s="336"/>
      <c r="KC102" s="336"/>
      <c r="KD102" s="336"/>
      <c r="KE102" s="336"/>
      <c r="KF102" s="336"/>
      <c r="KG102" s="337"/>
      <c r="KH102" s="338"/>
      <c r="KI102" s="338"/>
      <c r="KJ102" s="338"/>
      <c r="KK102" s="338"/>
      <c r="KL102" s="338"/>
      <c r="KM102" s="338"/>
      <c r="KN102" s="338"/>
      <c r="KO102" s="338"/>
      <c r="KP102" s="338"/>
      <c r="KQ102" s="338"/>
      <c r="KR102" s="338"/>
      <c r="KS102" s="338"/>
      <c r="KT102" s="338"/>
      <c r="KU102" s="338"/>
      <c r="KV102" s="338"/>
      <c r="KW102" s="337"/>
      <c r="KX102" s="336"/>
      <c r="KY102" s="336"/>
      <c r="KZ102" s="336"/>
      <c r="LA102" s="336"/>
      <c r="LB102" s="336"/>
      <c r="LC102" s="336"/>
      <c r="LD102" s="336"/>
      <c r="LE102" s="336"/>
      <c r="LF102" s="336"/>
      <c r="LG102" s="336"/>
      <c r="LH102" s="336"/>
      <c r="LI102" s="336"/>
      <c r="LJ102" s="336"/>
      <c r="LK102" s="336"/>
      <c r="LL102" s="336"/>
      <c r="LM102" s="336"/>
      <c r="LN102" s="336"/>
      <c r="LO102" s="336"/>
      <c r="LP102" s="336"/>
      <c r="LQ102" s="337"/>
      <c r="MN102" s="10"/>
      <c r="OA102" s="10"/>
    </row>
    <row r="103" spans="1:391" s="370" customFormat="1" x14ac:dyDescent="0.25">
      <c r="A103" s="68"/>
      <c r="B103" s="10"/>
      <c r="C103" s="68"/>
      <c r="D103" s="68"/>
      <c r="E103" s="68"/>
      <c r="F103" s="68"/>
      <c r="G103" s="68"/>
      <c r="H103" s="68"/>
      <c r="I103" s="68"/>
      <c r="J103" s="68"/>
      <c r="K103" s="68"/>
      <c r="L103" s="68"/>
      <c r="M103" s="68"/>
      <c r="N103" s="68"/>
      <c r="O103" s="68"/>
      <c r="P103" s="68"/>
      <c r="Q103" s="68"/>
      <c r="R103" s="68"/>
      <c r="S103" s="68"/>
      <c r="T103" s="70"/>
      <c r="AC103" s="68"/>
      <c r="AD103" s="70"/>
      <c r="AM103" s="68"/>
      <c r="AN103" s="70"/>
      <c r="AU103" s="68"/>
      <c r="AV103" s="70"/>
      <c r="BB103" s="68"/>
      <c r="BC103" s="70"/>
      <c r="BD103" s="68"/>
      <c r="BE103" s="68"/>
      <c r="BF103" s="68"/>
      <c r="BG103" s="68"/>
      <c r="BH103" s="68"/>
      <c r="BI103" s="68"/>
      <c r="BJ103" s="70"/>
      <c r="BM103" s="68"/>
      <c r="BN103" s="70"/>
      <c r="BT103" s="68"/>
      <c r="BU103" s="70"/>
      <c r="BZ103" s="10"/>
      <c r="CF103" s="10"/>
      <c r="CI103" s="389"/>
      <c r="CJ103" s="389"/>
      <c r="CK103" s="68"/>
      <c r="CL103" s="70"/>
      <c r="CO103" s="10"/>
      <c r="CU103" s="10"/>
      <c r="DA103" s="10"/>
      <c r="DB103" s="70"/>
      <c r="DC103" s="70"/>
      <c r="DF103" s="68"/>
      <c r="DG103" s="70"/>
      <c r="DH103" s="68"/>
      <c r="DI103" s="386"/>
      <c r="DJ103" s="425"/>
      <c r="DL103" s="68"/>
      <c r="DM103" s="70"/>
      <c r="DQ103" s="68"/>
      <c r="DR103" s="70"/>
      <c r="DS103" s="338"/>
      <c r="DT103" s="338"/>
      <c r="DU103" s="338"/>
      <c r="DW103" s="338"/>
      <c r="DX103" s="338"/>
      <c r="DY103" s="338"/>
      <c r="EA103" s="338"/>
      <c r="EB103" s="338"/>
      <c r="EC103" s="338"/>
      <c r="EE103" s="338"/>
      <c r="EF103" s="338"/>
      <c r="EG103" s="338"/>
      <c r="EI103" s="336"/>
      <c r="EJ103" s="336"/>
      <c r="EK103" s="336"/>
      <c r="EL103" s="336"/>
      <c r="EM103" s="336"/>
      <c r="EN103" s="336"/>
      <c r="EO103" s="337"/>
      <c r="EP103" s="342"/>
      <c r="EQ103" s="336"/>
      <c r="ER103" s="342"/>
      <c r="ES103" s="336"/>
      <c r="ET103" s="342"/>
      <c r="EU103" s="336"/>
      <c r="EV103" s="342"/>
      <c r="EW103" s="336"/>
      <c r="EX103" s="342"/>
      <c r="EY103" s="342"/>
      <c r="EZ103" s="342"/>
      <c r="FA103" s="337"/>
      <c r="FE103" s="338"/>
      <c r="FH103" s="338"/>
      <c r="FI103" s="338"/>
      <c r="FJ103" s="338"/>
      <c r="FK103" s="338"/>
      <c r="FL103" s="338"/>
      <c r="FM103" s="337"/>
      <c r="FN103" s="336"/>
      <c r="FO103" s="336"/>
      <c r="FP103" s="336"/>
      <c r="FQ103" s="336"/>
      <c r="FR103" s="336"/>
      <c r="FS103" s="336"/>
      <c r="FT103" s="336"/>
      <c r="FU103" s="336"/>
      <c r="FV103" s="336"/>
      <c r="FW103" s="337"/>
      <c r="FX103" s="532"/>
      <c r="FY103" s="341"/>
      <c r="FZ103" s="341"/>
      <c r="GA103" s="336"/>
      <c r="GB103" s="341"/>
      <c r="GC103" s="341"/>
      <c r="GD103" s="341"/>
      <c r="GE103" s="336"/>
      <c r="GF103" s="336"/>
      <c r="GG103" s="336"/>
      <c r="GH103" s="336"/>
      <c r="GI103" s="336"/>
      <c r="GJ103" s="337"/>
      <c r="GM103" s="338"/>
      <c r="GN103" s="338"/>
      <c r="GO103" s="338"/>
      <c r="GS103" s="338"/>
      <c r="GT103" s="338"/>
      <c r="GU103" s="338"/>
      <c r="GY103" s="338"/>
      <c r="GZ103" s="338"/>
      <c r="HA103" s="338"/>
      <c r="HE103" s="338"/>
      <c r="HF103" s="338"/>
      <c r="HG103" s="338"/>
      <c r="HN103" s="68"/>
      <c r="HO103" s="68"/>
      <c r="HP103" s="68"/>
      <c r="HQ103" s="336"/>
      <c r="HR103" s="68"/>
      <c r="HS103" s="68"/>
      <c r="HT103" s="10"/>
      <c r="HW103" s="338"/>
      <c r="HX103" s="338"/>
      <c r="HY103" s="338"/>
      <c r="IC103" s="338"/>
      <c r="ID103" s="338"/>
      <c r="IE103" s="338"/>
      <c r="II103" s="338"/>
      <c r="IJ103" s="338"/>
      <c r="IK103" s="338"/>
      <c r="IO103" s="338"/>
      <c r="IP103" s="338"/>
      <c r="IQ103" s="338"/>
      <c r="IX103" s="68"/>
      <c r="IY103" s="68"/>
      <c r="IZ103" s="68"/>
      <c r="JA103" s="68"/>
      <c r="JB103" s="68"/>
      <c r="JC103" s="68"/>
      <c r="JD103" s="10"/>
      <c r="JG103" s="338"/>
      <c r="JH103" s="338"/>
      <c r="JI103" s="338"/>
      <c r="JM103" s="338"/>
      <c r="JN103" s="338"/>
      <c r="JQ103" s="338"/>
      <c r="JR103" s="338"/>
      <c r="JS103" s="338"/>
      <c r="JW103" s="358"/>
      <c r="JX103" s="336"/>
      <c r="JY103" s="336"/>
      <c r="JZ103" s="336"/>
      <c r="KA103" s="336"/>
      <c r="KB103" s="336"/>
      <c r="KC103" s="336"/>
      <c r="KD103" s="336"/>
      <c r="KE103" s="336"/>
      <c r="KF103" s="336"/>
      <c r="KG103" s="337"/>
      <c r="KH103" s="338"/>
      <c r="KI103" s="338"/>
      <c r="KJ103" s="338"/>
      <c r="KK103" s="338"/>
      <c r="KL103" s="338"/>
      <c r="KM103" s="338"/>
      <c r="KN103" s="338"/>
      <c r="KO103" s="338"/>
      <c r="KP103" s="338"/>
      <c r="KQ103" s="338"/>
      <c r="KR103" s="338"/>
      <c r="KS103" s="338"/>
      <c r="KT103" s="338"/>
      <c r="KU103" s="338"/>
      <c r="KV103" s="338"/>
      <c r="KW103" s="337"/>
      <c r="KX103" s="336"/>
      <c r="KY103" s="336"/>
      <c r="KZ103" s="336"/>
      <c r="LA103" s="336"/>
      <c r="LB103" s="336"/>
      <c r="LC103" s="336"/>
      <c r="LD103" s="336"/>
      <c r="LE103" s="336"/>
      <c r="LF103" s="336"/>
      <c r="LG103" s="336"/>
      <c r="LH103" s="336"/>
      <c r="LI103" s="336"/>
      <c r="LJ103" s="336"/>
      <c r="LK103" s="336"/>
      <c r="LL103" s="336"/>
      <c r="LM103" s="336"/>
      <c r="LN103" s="336"/>
      <c r="LO103" s="336"/>
      <c r="LP103" s="336"/>
      <c r="LQ103" s="337"/>
      <c r="MN103" s="10"/>
      <c r="OA103" s="10"/>
    </row>
    <row r="104" spans="1:391" s="370" customFormat="1" x14ac:dyDescent="0.25">
      <c r="A104" s="68"/>
      <c r="B104" s="10"/>
      <c r="C104" s="68"/>
      <c r="D104" s="68"/>
      <c r="E104" s="68"/>
      <c r="F104" s="68"/>
      <c r="G104" s="68"/>
      <c r="H104" s="68"/>
      <c r="I104" s="68"/>
      <c r="J104" s="68"/>
      <c r="K104" s="68"/>
      <c r="L104" s="68"/>
      <c r="M104" s="68"/>
      <c r="N104" s="68"/>
      <c r="O104" s="68"/>
      <c r="P104" s="68"/>
      <c r="Q104" s="68"/>
      <c r="R104" s="68"/>
      <c r="S104" s="68"/>
      <c r="T104" s="70"/>
      <c r="AC104" s="68"/>
      <c r="AD104" s="70"/>
      <c r="AM104" s="68"/>
      <c r="AN104" s="70"/>
      <c r="AU104" s="68"/>
      <c r="AV104" s="70"/>
      <c r="BB104" s="68"/>
      <c r="BC104" s="70"/>
      <c r="BD104" s="68"/>
      <c r="BE104" s="68"/>
      <c r="BF104" s="68"/>
      <c r="BG104" s="68"/>
      <c r="BH104" s="68"/>
      <c r="BI104" s="68"/>
      <c r="BJ104" s="70"/>
      <c r="BM104" s="68"/>
      <c r="BN104" s="70"/>
      <c r="BT104" s="68"/>
      <c r="BU104" s="70"/>
      <c r="BZ104" s="10"/>
      <c r="CF104" s="10"/>
      <c r="CI104" s="389"/>
      <c r="CJ104" s="389"/>
      <c r="CK104" s="68"/>
      <c r="CL104" s="70"/>
      <c r="CO104" s="10"/>
      <c r="CU104" s="10"/>
      <c r="DA104" s="10"/>
      <c r="DB104" s="70"/>
      <c r="DC104" s="70"/>
      <c r="DF104" s="68"/>
      <c r="DG104" s="70"/>
      <c r="DH104" s="68"/>
      <c r="DI104" s="386"/>
      <c r="DJ104" s="425"/>
      <c r="DL104" s="68"/>
      <c r="DM104" s="70"/>
      <c r="DQ104" s="68"/>
      <c r="DR104" s="70"/>
      <c r="DS104" s="338"/>
      <c r="DT104" s="338"/>
      <c r="DU104" s="338"/>
      <c r="DW104" s="338"/>
      <c r="DX104" s="338"/>
      <c r="DY104" s="338"/>
      <c r="EA104" s="338"/>
      <c r="EB104" s="338"/>
      <c r="EC104" s="338"/>
      <c r="EE104" s="338"/>
      <c r="EF104" s="338"/>
      <c r="EG104" s="338"/>
      <c r="EI104" s="336"/>
      <c r="EJ104" s="336"/>
      <c r="EK104" s="336"/>
      <c r="EL104" s="336"/>
      <c r="EM104" s="336"/>
      <c r="EN104" s="336"/>
      <c r="EO104" s="337"/>
      <c r="EP104" s="342"/>
      <c r="EQ104" s="336"/>
      <c r="ER104" s="342"/>
      <c r="ES104" s="336"/>
      <c r="ET104" s="342"/>
      <c r="EU104" s="336"/>
      <c r="EV104" s="342"/>
      <c r="EW104" s="336"/>
      <c r="EX104" s="342"/>
      <c r="EY104" s="342"/>
      <c r="EZ104" s="342"/>
      <c r="FA104" s="337"/>
      <c r="FE104" s="338"/>
      <c r="FH104" s="338"/>
      <c r="FI104" s="338"/>
      <c r="FJ104" s="338"/>
      <c r="FK104" s="338"/>
      <c r="FL104" s="338"/>
      <c r="FM104" s="337"/>
      <c r="FN104" s="336"/>
      <c r="FO104" s="336"/>
      <c r="FP104" s="336"/>
      <c r="FQ104" s="336"/>
      <c r="FR104" s="336"/>
      <c r="FS104" s="336"/>
      <c r="FT104" s="336"/>
      <c r="FU104" s="336"/>
      <c r="FV104" s="336"/>
      <c r="FW104" s="337"/>
      <c r="FX104" s="532"/>
      <c r="FY104" s="341"/>
      <c r="FZ104" s="341"/>
      <c r="GA104" s="336"/>
      <c r="GB104" s="341"/>
      <c r="GC104" s="341"/>
      <c r="GD104" s="341"/>
      <c r="GE104" s="336"/>
      <c r="GF104" s="336"/>
      <c r="GG104" s="336"/>
      <c r="GH104" s="336"/>
      <c r="GI104" s="336"/>
      <c r="GJ104" s="337"/>
      <c r="GM104" s="338"/>
      <c r="GN104" s="338"/>
      <c r="GO104" s="338"/>
      <c r="GS104" s="338"/>
      <c r="GT104" s="338"/>
      <c r="GU104" s="338"/>
      <c r="GY104" s="338"/>
      <c r="GZ104" s="338"/>
      <c r="HA104" s="338"/>
      <c r="HE104" s="338"/>
      <c r="HF104" s="338"/>
      <c r="HG104" s="338"/>
      <c r="HN104" s="68"/>
      <c r="HO104" s="68"/>
      <c r="HP104" s="68"/>
      <c r="HQ104" s="336"/>
      <c r="HR104" s="68"/>
      <c r="HS104" s="68"/>
      <c r="HT104" s="10"/>
      <c r="HW104" s="338"/>
      <c r="HX104" s="338"/>
      <c r="HY104" s="338"/>
      <c r="IC104" s="338"/>
      <c r="ID104" s="338"/>
      <c r="IE104" s="338"/>
      <c r="II104" s="338"/>
      <c r="IJ104" s="338"/>
      <c r="IK104" s="338"/>
      <c r="IO104" s="338"/>
      <c r="IP104" s="338"/>
      <c r="IQ104" s="338"/>
      <c r="IX104" s="68"/>
      <c r="IY104" s="68"/>
      <c r="IZ104" s="68"/>
      <c r="JA104" s="68"/>
      <c r="JB104" s="68"/>
      <c r="JC104" s="68"/>
      <c r="JD104" s="10"/>
      <c r="JG104" s="338"/>
      <c r="JH104" s="338"/>
      <c r="JI104" s="338"/>
      <c r="JM104" s="338"/>
      <c r="JN104" s="338"/>
      <c r="JQ104" s="338"/>
      <c r="JR104" s="338"/>
      <c r="JS104" s="338"/>
      <c r="JW104" s="358"/>
      <c r="JX104" s="336"/>
      <c r="JY104" s="336"/>
      <c r="JZ104" s="336"/>
      <c r="KA104" s="336"/>
      <c r="KB104" s="336"/>
      <c r="KC104" s="336"/>
      <c r="KD104" s="336"/>
      <c r="KE104" s="336"/>
      <c r="KF104" s="336"/>
      <c r="KG104" s="337"/>
      <c r="KH104" s="338"/>
      <c r="KI104" s="338"/>
      <c r="KJ104" s="338"/>
      <c r="KK104" s="338"/>
      <c r="KL104" s="338"/>
      <c r="KM104" s="338"/>
      <c r="KN104" s="338"/>
      <c r="KO104" s="338"/>
      <c r="KP104" s="338"/>
      <c r="KQ104" s="338"/>
      <c r="KR104" s="338"/>
      <c r="KS104" s="338"/>
      <c r="KT104" s="338"/>
      <c r="KU104" s="338"/>
      <c r="KV104" s="338"/>
      <c r="KW104" s="337"/>
      <c r="KX104" s="336"/>
      <c r="KY104" s="336"/>
      <c r="KZ104" s="336"/>
      <c r="LA104" s="336"/>
      <c r="LB104" s="336"/>
      <c r="LC104" s="336"/>
      <c r="LD104" s="336"/>
      <c r="LE104" s="336"/>
      <c r="LF104" s="336"/>
      <c r="LG104" s="336"/>
      <c r="LH104" s="336"/>
      <c r="LI104" s="336"/>
      <c r="LJ104" s="336"/>
      <c r="LK104" s="336"/>
      <c r="LL104" s="336"/>
      <c r="LM104" s="336"/>
      <c r="LN104" s="336"/>
      <c r="LO104" s="336"/>
      <c r="LP104" s="336"/>
      <c r="LQ104" s="337"/>
      <c r="MN104" s="10"/>
      <c r="OA104" s="10"/>
    </row>
    <row r="105" spans="1:391" s="370" customFormat="1" x14ac:dyDescent="0.25">
      <c r="A105" s="68"/>
      <c r="B105" s="10"/>
      <c r="C105" s="68"/>
      <c r="D105" s="68"/>
      <c r="E105" s="68"/>
      <c r="F105" s="68"/>
      <c r="G105" s="68"/>
      <c r="H105" s="68"/>
      <c r="I105" s="68"/>
      <c r="J105" s="68"/>
      <c r="K105" s="68"/>
      <c r="L105" s="68"/>
      <c r="M105" s="68"/>
      <c r="N105" s="68"/>
      <c r="O105" s="68"/>
      <c r="P105" s="68"/>
      <c r="Q105" s="68"/>
      <c r="R105" s="68"/>
      <c r="S105" s="68"/>
      <c r="T105" s="70"/>
      <c r="AC105" s="68"/>
      <c r="AD105" s="70"/>
      <c r="AM105" s="68"/>
      <c r="AN105" s="70"/>
      <c r="AU105" s="68"/>
      <c r="AV105" s="70"/>
      <c r="BB105" s="68"/>
      <c r="BC105" s="70"/>
      <c r="BD105" s="68"/>
      <c r="BE105" s="68"/>
      <c r="BF105" s="68"/>
      <c r="BG105" s="68"/>
      <c r="BH105" s="68"/>
      <c r="BI105" s="68"/>
      <c r="BJ105" s="70"/>
      <c r="BM105" s="68"/>
      <c r="BN105" s="70"/>
      <c r="BT105" s="68"/>
      <c r="BU105" s="70"/>
      <c r="BZ105" s="10"/>
      <c r="CF105" s="10"/>
      <c r="CI105" s="389"/>
      <c r="CJ105" s="389"/>
      <c r="CK105" s="68"/>
      <c r="CL105" s="70"/>
      <c r="CO105" s="10"/>
      <c r="CU105" s="10"/>
      <c r="DA105" s="10"/>
      <c r="DB105" s="70"/>
      <c r="DC105" s="70"/>
      <c r="DF105" s="68"/>
      <c r="DG105" s="70"/>
      <c r="DH105" s="68"/>
      <c r="DI105" s="386"/>
      <c r="DJ105" s="425"/>
      <c r="DL105" s="68"/>
      <c r="DM105" s="70"/>
      <c r="DQ105" s="68"/>
      <c r="DR105" s="70"/>
      <c r="DS105" s="338"/>
      <c r="DT105" s="338"/>
      <c r="DU105" s="338"/>
      <c r="DW105" s="338"/>
      <c r="DX105" s="338"/>
      <c r="DY105" s="338"/>
      <c r="EA105" s="338"/>
      <c r="EB105" s="338"/>
      <c r="EC105" s="338"/>
      <c r="EE105" s="338"/>
      <c r="EF105" s="338"/>
      <c r="EG105" s="338"/>
      <c r="EI105" s="336"/>
      <c r="EJ105" s="336"/>
      <c r="EK105" s="336"/>
      <c r="EL105" s="336"/>
      <c r="EM105" s="336"/>
      <c r="EN105" s="336"/>
      <c r="EO105" s="337"/>
      <c r="EP105" s="342"/>
      <c r="EQ105" s="336"/>
      <c r="ER105" s="342"/>
      <c r="ES105" s="336"/>
      <c r="ET105" s="342"/>
      <c r="EU105" s="336"/>
      <c r="EV105" s="342"/>
      <c r="EW105" s="336"/>
      <c r="EX105" s="342"/>
      <c r="EY105" s="342"/>
      <c r="EZ105" s="342"/>
      <c r="FA105" s="337"/>
      <c r="FE105" s="338"/>
      <c r="FH105" s="338"/>
      <c r="FI105" s="338"/>
      <c r="FJ105" s="338"/>
      <c r="FK105" s="338"/>
      <c r="FL105" s="338"/>
      <c r="FM105" s="337"/>
      <c r="FN105" s="336"/>
      <c r="FO105" s="336"/>
      <c r="FP105" s="336"/>
      <c r="FQ105" s="336"/>
      <c r="FR105" s="336"/>
      <c r="FS105" s="336"/>
      <c r="FT105" s="336"/>
      <c r="FU105" s="336"/>
      <c r="FV105" s="336"/>
      <c r="FW105" s="337"/>
      <c r="FX105" s="532"/>
      <c r="FY105" s="341"/>
      <c r="FZ105" s="341"/>
      <c r="GA105" s="336"/>
      <c r="GB105" s="341"/>
      <c r="GC105" s="341"/>
      <c r="GD105" s="341"/>
      <c r="GE105" s="336"/>
      <c r="GF105" s="336"/>
      <c r="GG105" s="336"/>
      <c r="GH105" s="336"/>
      <c r="GI105" s="336"/>
      <c r="GJ105" s="337"/>
      <c r="GM105" s="338"/>
      <c r="GN105" s="338"/>
      <c r="GO105" s="338"/>
      <c r="GS105" s="338"/>
      <c r="GT105" s="338"/>
      <c r="GU105" s="338"/>
      <c r="GY105" s="338"/>
      <c r="GZ105" s="338"/>
      <c r="HA105" s="338"/>
      <c r="HE105" s="338"/>
      <c r="HF105" s="338"/>
      <c r="HG105" s="338"/>
      <c r="HN105" s="68"/>
      <c r="HO105" s="68"/>
      <c r="HP105" s="68"/>
      <c r="HQ105" s="336"/>
      <c r="HR105" s="68"/>
      <c r="HS105" s="68"/>
      <c r="HT105" s="10"/>
      <c r="HW105" s="338"/>
      <c r="HX105" s="338"/>
      <c r="HY105" s="338"/>
      <c r="IC105" s="338"/>
      <c r="ID105" s="338"/>
      <c r="IE105" s="338"/>
      <c r="II105" s="338"/>
      <c r="IJ105" s="338"/>
      <c r="IK105" s="338"/>
      <c r="IO105" s="338"/>
      <c r="IP105" s="338"/>
      <c r="IQ105" s="338"/>
      <c r="IX105" s="68"/>
      <c r="IY105" s="68"/>
      <c r="IZ105" s="68"/>
      <c r="JA105" s="68"/>
      <c r="JB105" s="68"/>
      <c r="JC105" s="68"/>
      <c r="JD105" s="10"/>
      <c r="JG105" s="338"/>
      <c r="JH105" s="338"/>
      <c r="JI105" s="338"/>
      <c r="JM105" s="338"/>
      <c r="JN105" s="338"/>
      <c r="JQ105" s="338"/>
      <c r="JR105" s="338"/>
      <c r="JS105" s="338"/>
      <c r="JW105" s="358"/>
      <c r="JX105" s="336"/>
      <c r="JY105" s="336"/>
      <c r="JZ105" s="336"/>
      <c r="KA105" s="336"/>
      <c r="KB105" s="336"/>
      <c r="KC105" s="336"/>
      <c r="KD105" s="336"/>
      <c r="KE105" s="336"/>
      <c r="KF105" s="336"/>
      <c r="KG105" s="337"/>
      <c r="KH105" s="338"/>
      <c r="KI105" s="338"/>
      <c r="KJ105" s="338"/>
      <c r="KK105" s="338"/>
      <c r="KL105" s="338"/>
      <c r="KM105" s="338"/>
      <c r="KN105" s="338"/>
      <c r="KO105" s="338"/>
      <c r="KP105" s="338"/>
      <c r="KQ105" s="338"/>
      <c r="KR105" s="338"/>
      <c r="KS105" s="338"/>
      <c r="KT105" s="338"/>
      <c r="KU105" s="338"/>
      <c r="KV105" s="338"/>
      <c r="KW105" s="337"/>
      <c r="KX105" s="336"/>
      <c r="KY105" s="336"/>
      <c r="KZ105" s="336"/>
      <c r="LA105" s="336"/>
      <c r="LB105" s="336"/>
      <c r="LC105" s="336"/>
      <c r="LD105" s="336"/>
      <c r="LE105" s="336"/>
      <c r="LF105" s="336"/>
      <c r="LG105" s="336"/>
      <c r="LH105" s="336"/>
      <c r="LI105" s="336"/>
      <c r="LJ105" s="336"/>
      <c r="LK105" s="336"/>
      <c r="LL105" s="336"/>
      <c r="LM105" s="336"/>
      <c r="LN105" s="336"/>
      <c r="LO105" s="336"/>
      <c r="LP105" s="336"/>
      <c r="LQ105" s="337"/>
      <c r="MN105" s="10"/>
      <c r="OA105" s="10"/>
    </row>
    <row r="106" spans="1:391" s="370" customFormat="1" x14ac:dyDescent="0.25">
      <c r="A106" s="68"/>
      <c r="B106" s="10"/>
      <c r="C106" s="68"/>
      <c r="D106" s="68"/>
      <c r="E106" s="68"/>
      <c r="F106" s="68"/>
      <c r="G106" s="68"/>
      <c r="H106" s="68"/>
      <c r="I106" s="68"/>
      <c r="J106" s="68"/>
      <c r="K106" s="68"/>
      <c r="L106" s="68"/>
      <c r="M106" s="68"/>
      <c r="N106" s="68"/>
      <c r="O106" s="68"/>
      <c r="P106" s="68"/>
      <c r="Q106" s="68"/>
      <c r="R106" s="68"/>
      <c r="S106" s="68"/>
      <c r="T106" s="70"/>
      <c r="AC106" s="68"/>
      <c r="AD106" s="70"/>
      <c r="AM106" s="68"/>
      <c r="AN106" s="70"/>
      <c r="AU106" s="68"/>
      <c r="AV106" s="70"/>
      <c r="BB106" s="68"/>
      <c r="BC106" s="70"/>
      <c r="BD106" s="68"/>
      <c r="BE106" s="68"/>
      <c r="BF106" s="68"/>
      <c r="BG106" s="68"/>
      <c r="BH106" s="68"/>
      <c r="BI106" s="68"/>
      <c r="BJ106" s="70"/>
      <c r="BM106" s="68"/>
      <c r="BN106" s="70"/>
      <c r="BT106" s="68"/>
      <c r="BU106" s="70"/>
      <c r="BZ106" s="10"/>
      <c r="CF106" s="10"/>
      <c r="CI106" s="389"/>
      <c r="CJ106" s="389"/>
      <c r="CK106" s="68"/>
      <c r="CL106" s="70"/>
      <c r="CO106" s="10"/>
      <c r="CU106" s="10"/>
      <c r="DA106" s="10"/>
      <c r="DB106" s="70"/>
      <c r="DC106" s="70"/>
      <c r="DF106" s="68"/>
      <c r="DG106" s="70"/>
      <c r="DH106" s="68"/>
      <c r="DI106" s="386"/>
      <c r="DJ106" s="425"/>
      <c r="DL106" s="68"/>
      <c r="DM106" s="70"/>
      <c r="DQ106" s="68"/>
      <c r="DR106" s="70"/>
      <c r="DS106" s="338"/>
      <c r="DT106" s="338"/>
      <c r="DU106" s="338"/>
      <c r="DW106" s="338"/>
      <c r="DX106" s="338"/>
      <c r="DY106" s="338"/>
      <c r="EA106" s="338"/>
      <c r="EB106" s="338"/>
      <c r="EC106" s="338"/>
      <c r="EE106" s="338"/>
      <c r="EF106" s="338"/>
      <c r="EG106" s="338"/>
      <c r="EI106" s="336"/>
      <c r="EJ106" s="336"/>
      <c r="EK106" s="336"/>
      <c r="EL106" s="336"/>
      <c r="EM106" s="336"/>
      <c r="EN106" s="336"/>
      <c r="EO106" s="337"/>
      <c r="EP106" s="342"/>
      <c r="EQ106" s="336"/>
      <c r="ER106" s="342"/>
      <c r="ES106" s="336"/>
      <c r="ET106" s="342"/>
      <c r="EU106" s="336"/>
      <c r="EV106" s="342"/>
      <c r="EW106" s="336"/>
      <c r="EX106" s="342"/>
      <c r="EY106" s="342"/>
      <c r="EZ106" s="342"/>
      <c r="FA106" s="337"/>
      <c r="FE106" s="338"/>
      <c r="FH106" s="338"/>
      <c r="FI106" s="338"/>
      <c r="FJ106" s="338"/>
      <c r="FK106" s="338"/>
      <c r="FL106" s="338"/>
      <c r="FM106" s="337"/>
      <c r="FN106" s="336"/>
      <c r="FO106" s="336"/>
      <c r="FP106" s="336"/>
      <c r="FQ106" s="336"/>
      <c r="FR106" s="336"/>
      <c r="FS106" s="336"/>
      <c r="FT106" s="336"/>
      <c r="FU106" s="336"/>
      <c r="FV106" s="336"/>
      <c r="FW106" s="337"/>
      <c r="FX106" s="532"/>
      <c r="FY106" s="341"/>
      <c r="FZ106" s="341"/>
      <c r="GA106" s="336"/>
      <c r="GB106" s="341"/>
      <c r="GC106" s="341"/>
      <c r="GD106" s="341"/>
      <c r="GE106" s="336"/>
      <c r="GF106" s="336"/>
      <c r="GG106" s="336"/>
      <c r="GH106" s="336"/>
      <c r="GI106" s="336"/>
      <c r="GJ106" s="337"/>
      <c r="GM106" s="338"/>
      <c r="GN106" s="338"/>
      <c r="GO106" s="338"/>
      <c r="GS106" s="338"/>
      <c r="GT106" s="338"/>
      <c r="GU106" s="338"/>
      <c r="GY106" s="338"/>
      <c r="GZ106" s="338"/>
      <c r="HA106" s="338"/>
      <c r="HE106" s="338"/>
      <c r="HF106" s="338"/>
      <c r="HG106" s="338"/>
      <c r="HN106" s="68"/>
      <c r="HO106" s="68"/>
      <c r="HP106" s="68"/>
      <c r="HQ106" s="336"/>
      <c r="HR106" s="68"/>
      <c r="HS106" s="68"/>
      <c r="HT106" s="10"/>
      <c r="HW106" s="338"/>
      <c r="HX106" s="338"/>
      <c r="HY106" s="338"/>
      <c r="IC106" s="338"/>
      <c r="ID106" s="338"/>
      <c r="IE106" s="338"/>
      <c r="II106" s="338"/>
      <c r="IJ106" s="338"/>
      <c r="IK106" s="338"/>
      <c r="IO106" s="338"/>
      <c r="IP106" s="338"/>
      <c r="IQ106" s="338"/>
      <c r="IX106" s="68"/>
      <c r="IY106" s="68"/>
      <c r="IZ106" s="68"/>
      <c r="JA106" s="68"/>
      <c r="JB106" s="68"/>
      <c r="JC106" s="68"/>
      <c r="JD106" s="10"/>
      <c r="JG106" s="338"/>
      <c r="JH106" s="338"/>
      <c r="JI106" s="338"/>
      <c r="JM106" s="338"/>
      <c r="JN106" s="338"/>
      <c r="JQ106" s="338"/>
      <c r="JR106" s="338"/>
      <c r="JS106" s="338"/>
      <c r="JW106" s="358"/>
      <c r="JX106" s="336"/>
      <c r="JY106" s="336"/>
      <c r="JZ106" s="336"/>
      <c r="KA106" s="336"/>
      <c r="KB106" s="336"/>
      <c r="KC106" s="336"/>
      <c r="KD106" s="336"/>
      <c r="KE106" s="336"/>
      <c r="KF106" s="336"/>
      <c r="KG106" s="337"/>
      <c r="KH106" s="338"/>
      <c r="KI106" s="338"/>
      <c r="KJ106" s="338"/>
      <c r="KK106" s="338"/>
      <c r="KL106" s="338"/>
      <c r="KM106" s="338"/>
      <c r="KN106" s="338"/>
      <c r="KO106" s="338"/>
      <c r="KP106" s="338"/>
      <c r="KQ106" s="338"/>
      <c r="KR106" s="338"/>
      <c r="KS106" s="338"/>
      <c r="KT106" s="338"/>
      <c r="KU106" s="338"/>
      <c r="KV106" s="338"/>
      <c r="KW106" s="337"/>
      <c r="KX106" s="336"/>
      <c r="KY106" s="336"/>
      <c r="KZ106" s="336"/>
      <c r="LA106" s="336"/>
      <c r="LB106" s="336"/>
      <c r="LC106" s="336"/>
      <c r="LD106" s="336"/>
      <c r="LE106" s="336"/>
      <c r="LF106" s="336"/>
      <c r="LG106" s="336"/>
      <c r="LH106" s="336"/>
      <c r="LI106" s="336"/>
      <c r="LJ106" s="336"/>
      <c r="LK106" s="336"/>
      <c r="LL106" s="336"/>
      <c r="LM106" s="336"/>
      <c r="LN106" s="336"/>
      <c r="LO106" s="336"/>
      <c r="LP106" s="336"/>
      <c r="LQ106" s="337"/>
      <c r="MN106" s="10"/>
      <c r="OA106" s="10"/>
    </row>
    <row r="107" spans="1:391" s="370" customFormat="1" x14ac:dyDescent="0.25">
      <c r="A107" s="68"/>
      <c r="B107" s="10"/>
      <c r="C107" s="68"/>
      <c r="D107" s="68"/>
      <c r="E107" s="68"/>
      <c r="F107" s="68"/>
      <c r="G107" s="68"/>
      <c r="H107" s="68"/>
      <c r="I107" s="68"/>
      <c r="J107" s="68"/>
      <c r="K107" s="68"/>
      <c r="L107" s="68"/>
      <c r="M107" s="68"/>
      <c r="N107" s="68"/>
      <c r="O107" s="68"/>
      <c r="P107" s="68"/>
      <c r="Q107" s="68"/>
      <c r="R107" s="68"/>
      <c r="S107" s="68"/>
      <c r="T107" s="70"/>
      <c r="AC107" s="68"/>
      <c r="AD107" s="70"/>
      <c r="AM107" s="68"/>
      <c r="AN107" s="70"/>
      <c r="AU107" s="68"/>
      <c r="AV107" s="70"/>
      <c r="BB107" s="68"/>
      <c r="BC107" s="70"/>
      <c r="BD107" s="68"/>
      <c r="BE107" s="68"/>
      <c r="BF107" s="68"/>
      <c r="BG107" s="68"/>
      <c r="BH107" s="68"/>
      <c r="BI107" s="68"/>
      <c r="BJ107" s="70"/>
      <c r="BM107" s="68"/>
      <c r="BN107" s="70"/>
      <c r="BT107" s="68"/>
      <c r="BU107" s="70"/>
      <c r="BZ107" s="10"/>
      <c r="CF107" s="10"/>
      <c r="CI107" s="389"/>
      <c r="CJ107" s="389"/>
      <c r="CK107" s="68"/>
      <c r="CL107" s="70"/>
      <c r="CO107" s="10"/>
      <c r="CU107" s="10"/>
      <c r="DA107" s="10"/>
      <c r="DB107" s="70"/>
      <c r="DC107" s="70"/>
      <c r="DF107" s="68"/>
      <c r="DG107" s="70"/>
      <c r="DH107" s="68"/>
      <c r="DI107" s="386"/>
      <c r="DJ107" s="425"/>
      <c r="DL107" s="68"/>
      <c r="DM107" s="70"/>
      <c r="DQ107" s="68"/>
      <c r="DR107" s="70"/>
      <c r="DS107" s="338"/>
      <c r="DT107" s="338"/>
      <c r="DU107" s="338"/>
      <c r="DW107" s="338"/>
      <c r="DX107" s="338"/>
      <c r="DY107" s="338"/>
      <c r="EA107" s="338"/>
      <c r="EB107" s="338"/>
      <c r="EC107" s="338"/>
      <c r="EE107" s="338"/>
      <c r="EF107" s="338"/>
      <c r="EG107" s="338"/>
      <c r="EI107" s="336"/>
      <c r="EJ107" s="336"/>
      <c r="EK107" s="336"/>
      <c r="EL107" s="336"/>
      <c r="EM107" s="336"/>
      <c r="EN107" s="336"/>
      <c r="EO107" s="337"/>
      <c r="EP107" s="342"/>
      <c r="EQ107" s="336"/>
      <c r="ER107" s="342"/>
      <c r="ES107" s="336"/>
      <c r="ET107" s="342"/>
      <c r="EU107" s="336"/>
      <c r="EV107" s="342"/>
      <c r="EW107" s="336"/>
      <c r="EX107" s="342"/>
      <c r="EY107" s="342"/>
      <c r="EZ107" s="342"/>
      <c r="FA107" s="337"/>
      <c r="FE107" s="338"/>
      <c r="FH107" s="338"/>
      <c r="FI107" s="338"/>
      <c r="FJ107" s="338"/>
      <c r="FK107" s="338"/>
      <c r="FL107" s="338"/>
      <c r="FM107" s="337"/>
      <c r="FN107" s="336"/>
      <c r="FO107" s="336"/>
      <c r="FP107" s="336"/>
      <c r="FQ107" s="336"/>
      <c r="FR107" s="336"/>
      <c r="FS107" s="336"/>
      <c r="FT107" s="336"/>
      <c r="FU107" s="336"/>
      <c r="FV107" s="336"/>
      <c r="FW107" s="337"/>
      <c r="FX107" s="532"/>
      <c r="FY107" s="341"/>
      <c r="FZ107" s="341"/>
      <c r="GA107" s="336"/>
      <c r="GB107" s="341"/>
      <c r="GC107" s="341"/>
      <c r="GD107" s="341"/>
      <c r="GE107" s="336"/>
      <c r="GF107" s="336"/>
      <c r="GG107" s="336"/>
      <c r="GH107" s="336"/>
      <c r="GI107" s="336"/>
      <c r="GJ107" s="337"/>
      <c r="GM107" s="338"/>
      <c r="GN107" s="338"/>
      <c r="GO107" s="338"/>
      <c r="GS107" s="338"/>
      <c r="GT107" s="338"/>
      <c r="GU107" s="338"/>
      <c r="GY107" s="338"/>
      <c r="GZ107" s="338"/>
      <c r="HA107" s="338"/>
      <c r="HE107" s="338"/>
      <c r="HF107" s="338"/>
      <c r="HG107" s="338"/>
      <c r="HN107" s="68"/>
      <c r="HO107" s="68"/>
      <c r="HP107" s="68"/>
      <c r="HQ107" s="336"/>
      <c r="HR107" s="68"/>
      <c r="HS107" s="68"/>
      <c r="HT107" s="10"/>
      <c r="HW107" s="338"/>
      <c r="HX107" s="338"/>
      <c r="HY107" s="338"/>
      <c r="IC107" s="338"/>
      <c r="ID107" s="338"/>
      <c r="IE107" s="338"/>
      <c r="II107" s="338"/>
      <c r="IJ107" s="338"/>
      <c r="IK107" s="338"/>
      <c r="IO107" s="338"/>
      <c r="IP107" s="338"/>
      <c r="IQ107" s="338"/>
      <c r="IX107" s="68"/>
      <c r="IY107" s="68"/>
      <c r="IZ107" s="68"/>
      <c r="JA107" s="68"/>
      <c r="JB107" s="68"/>
      <c r="JC107" s="68"/>
      <c r="JD107" s="10"/>
      <c r="JG107" s="338"/>
      <c r="JH107" s="338"/>
      <c r="JI107" s="338"/>
      <c r="JM107" s="338"/>
      <c r="JN107" s="338"/>
      <c r="JQ107" s="338"/>
      <c r="JR107" s="338"/>
      <c r="JS107" s="338"/>
      <c r="JW107" s="358"/>
      <c r="JX107" s="336"/>
      <c r="JY107" s="336"/>
      <c r="JZ107" s="336"/>
      <c r="KA107" s="336"/>
      <c r="KB107" s="336"/>
      <c r="KC107" s="336"/>
      <c r="KD107" s="336"/>
      <c r="KE107" s="336"/>
      <c r="KF107" s="336"/>
      <c r="KG107" s="337"/>
      <c r="KH107" s="338"/>
      <c r="KI107" s="338"/>
      <c r="KJ107" s="338"/>
      <c r="KK107" s="338"/>
      <c r="KL107" s="338"/>
      <c r="KM107" s="338"/>
      <c r="KN107" s="338"/>
      <c r="KO107" s="338"/>
      <c r="KP107" s="338"/>
      <c r="KQ107" s="338"/>
      <c r="KR107" s="338"/>
      <c r="KS107" s="338"/>
      <c r="KT107" s="338"/>
      <c r="KU107" s="338"/>
      <c r="KV107" s="338"/>
      <c r="KW107" s="337"/>
      <c r="KX107" s="336"/>
      <c r="KY107" s="336"/>
      <c r="KZ107" s="336"/>
      <c r="LA107" s="336"/>
      <c r="LB107" s="336"/>
      <c r="LC107" s="336"/>
      <c r="LD107" s="336"/>
      <c r="LE107" s="336"/>
      <c r="LF107" s="336"/>
      <c r="LG107" s="336"/>
      <c r="LH107" s="336"/>
      <c r="LI107" s="336"/>
      <c r="LJ107" s="336"/>
      <c r="LK107" s="336"/>
      <c r="LL107" s="336"/>
      <c r="LM107" s="336"/>
      <c r="LN107" s="336"/>
      <c r="LO107" s="336"/>
      <c r="LP107" s="336"/>
      <c r="LQ107" s="337"/>
      <c r="MN107" s="10"/>
      <c r="OA107" s="10"/>
    </row>
    <row r="108" spans="1:391" s="370" customFormat="1" x14ac:dyDescent="0.25">
      <c r="A108" s="68"/>
      <c r="B108" s="10"/>
      <c r="C108" s="68"/>
      <c r="D108" s="68"/>
      <c r="E108" s="68"/>
      <c r="F108" s="68"/>
      <c r="G108" s="68"/>
      <c r="H108" s="68"/>
      <c r="I108" s="68"/>
      <c r="J108" s="68"/>
      <c r="K108" s="68"/>
      <c r="L108" s="68"/>
      <c r="M108" s="68"/>
      <c r="N108" s="68"/>
      <c r="O108" s="68"/>
      <c r="P108" s="68"/>
      <c r="Q108" s="68"/>
      <c r="R108" s="68"/>
      <c r="S108" s="68"/>
      <c r="T108" s="70"/>
      <c r="AC108" s="68"/>
      <c r="AD108" s="70"/>
      <c r="AM108" s="68"/>
      <c r="AN108" s="70"/>
      <c r="AU108" s="68"/>
      <c r="AV108" s="70"/>
      <c r="BB108" s="68"/>
      <c r="BC108" s="70"/>
      <c r="BD108" s="68"/>
      <c r="BE108" s="68"/>
      <c r="BF108" s="68"/>
      <c r="BG108" s="68"/>
      <c r="BH108" s="68"/>
      <c r="BI108" s="68"/>
      <c r="BJ108" s="70"/>
      <c r="BM108" s="68"/>
      <c r="BN108" s="70"/>
      <c r="BT108" s="68"/>
      <c r="BU108" s="70"/>
      <c r="BZ108" s="10"/>
      <c r="CF108" s="10"/>
      <c r="CI108" s="389"/>
      <c r="CJ108" s="389"/>
      <c r="CK108" s="68"/>
      <c r="CL108" s="70"/>
      <c r="CO108" s="10"/>
      <c r="CU108" s="10"/>
      <c r="DA108" s="10"/>
      <c r="DB108" s="70"/>
      <c r="DC108" s="70"/>
      <c r="DF108" s="68"/>
      <c r="DG108" s="70"/>
      <c r="DH108" s="68"/>
      <c r="DI108" s="386"/>
      <c r="DJ108" s="425"/>
      <c r="DL108" s="68"/>
      <c r="DM108" s="70"/>
      <c r="DQ108" s="68"/>
      <c r="DR108" s="70"/>
      <c r="DS108" s="338"/>
      <c r="DT108" s="338"/>
      <c r="DU108" s="338"/>
      <c r="DW108" s="338"/>
      <c r="DX108" s="338"/>
      <c r="DY108" s="338"/>
      <c r="EA108" s="338"/>
      <c r="EB108" s="338"/>
      <c r="EC108" s="338"/>
      <c r="EE108" s="338"/>
      <c r="EF108" s="338"/>
      <c r="EG108" s="338"/>
      <c r="EI108" s="336"/>
      <c r="EJ108" s="336"/>
      <c r="EK108" s="336"/>
      <c r="EL108" s="336"/>
      <c r="EM108" s="336"/>
      <c r="EN108" s="336"/>
      <c r="EO108" s="337"/>
      <c r="EP108" s="342"/>
      <c r="EQ108" s="336"/>
      <c r="ER108" s="342"/>
      <c r="ES108" s="336"/>
      <c r="ET108" s="342"/>
      <c r="EU108" s="336"/>
      <c r="EV108" s="342"/>
      <c r="EW108" s="336"/>
      <c r="EX108" s="342"/>
      <c r="EY108" s="342"/>
      <c r="EZ108" s="342"/>
      <c r="FA108" s="337"/>
      <c r="FE108" s="338"/>
      <c r="FH108" s="338"/>
      <c r="FI108" s="338"/>
      <c r="FJ108" s="338"/>
      <c r="FK108" s="338"/>
      <c r="FL108" s="338"/>
      <c r="FM108" s="337"/>
      <c r="FN108" s="336"/>
      <c r="FO108" s="336"/>
      <c r="FP108" s="336"/>
      <c r="FQ108" s="336"/>
      <c r="FR108" s="336"/>
      <c r="FS108" s="336"/>
      <c r="FT108" s="336"/>
      <c r="FU108" s="336"/>
      <c r="FV108" s="336"/>
      <c r="FW108" s="337"/>
      <c r="FX108" s="532"/>
      <c r="FY108" s="341"/>
      <c r="FZ108" s="341"/>
      <c r="GA108" s="336"/>
      <c r="GB108" s="341"/>
      <c r="GC108" s="341"/>
      <c r="GD108" s="341"/>
      <c r="GE108" s="336"/>
      <c r="GF108" s="336"/>
      <c r="GG108" s="336"/>
      <c r="GH108" s="336"/>
      <c r="GI108" s="336"/>
      <c r="GJ108" s="337"/>
      <c r="GM108" s="338"/>
      <c r="GN108" s="338"/>
      <c r="GO108" s="338"/>
      <c r="GS108" s="338"/>
      <c r="GT108" s="338"/>
      <c r="GU108" s="338"/>
      <c r="GY108" s="338"/>
      <c r="GZ108" s="338"/>
      <c r="HA108" s="338"/>
      <c r="HE108" s="338"/>
      <c r="HF108" s="338"/>
      <c r="HG108" s="338"/>
      <c r="HN108" s="68"/>
      <c r="HO108" s="68"/>
      <c r="HP108" s="68"/>
      <c r="HQ108" s="336"/>
      <c r="HR108" s="68"/>
      <c r="HS108" s="68"/>
      <c r="HT108" s="10"/>
      <c r="HW108" s="338"/>
      <c r="HX108" s="338"/>
      <c r="HY108" s="338"/>
      <c r="IC108" s="338"/>
      <c r="ID108" s="338"/>
      <c r="IE108" s="338"/>
      <c r="II108" s="338"/>
      <c r="IJ108" s="338"/>
      <c r="IK108" s="338"/>
      <c r="IO108" s="338"/>
      <c r="IP108" s="338"/>
      <c r="IQ108" s="338"/>
      <c r="IX108" s="68"/>
      <c r="IY108" s="68"/>
      <c r="IZ108" s="68"/>
      <c r="JA108" s="68"/>
      <c r="JB108" s="68"/>
      <c r="JC108" s="68"/>
      <c r="JD108" s="10"/>
      <c r="JG108" s="338"/>
      <c r="JH108" s="338"/>
      <c r="JI108" s="338"/>
      <c r="JM108" s="338"/>
      <c r="JN108" s="338"/>
      <c r="JQ108" s="338"/>
      <c r="JR108" s="338"/>
      <c r="JS108" s="338"/>
      <c r="JW108" s="358"/>
      <c r="JX108" s="336"/>
      <c r="JY108" s="336"/>
      <c r="JZ108" s="336"/>
      <c r="KA108" s="336"/>
      <c r="KB108" s="336"/>
      <c r="KC108" s="336"/>
      <c r="KD108" s="336"/>
      <c r="KE108" s="336"/>
      <c r="KF108" s="336"/>
      <c r="KG108" s="337"/>
      <c r="KH108" s="338"/>
      <c r="KI108" s="338"/>
      <c r="KJ108" s="338"/>
      <c r="KK108" s="338"/>
      <c r="KL108" s="338"/>
      <c r="KM108" s="338"/>
      <c r="KN108" s="338"/>
      <c r="KO108" s="338"/>
      <c r="KP108" s="338"/>
      <c r="KQ108" s="338"/>
      <c r="KR108" s="338"/>
      <c r="KS108" s="338"/>
      <c r="KT108" s="338"/>
      <c r="KU108" s="338"/>
      <c r="KV108" s="338"/>
      <c r="KW108" s="337"/>
      <c r="KX108" s="336"/>
      <c r="KY108" s="336"/>
      <c r="KZ108" s="336"/>
      <c r="LA108" s="336"/>
      <c r="LB108" s="336"/>
      <c r="LC108" s="336"/>
      <c r="LD108" s="336"/>
      <c r="LE108" s="336"/>
      <c r="LF108" s="336"/>
      <c r="LG108" s="336"/>
      <c r="LH108" s="336"/>
      <c r="LI108" s="336"/>
      <c r="LJ108" s="336"/>
      <c r="LK108" s="336"/>
      <c r="LL108" s="336"/>
      <c r="LM108" s="336"/>
      <c r="LN108" s="336"/>
      <c r="LO108" s="336"/>
      <c r="LP108" s="336"/>
      <c r="LQ108" s="337"/>
      <c r="MN108" s="10"/>
      <c r="OA108" s="10"/>
    </row>
    <row r="109" spans="1:391" s="370" customFormat="1" x14ac:dyDescent="0.25">
      <c r="A109" s="68"/>
      <c r="B109" s="10"/>
      <c r="C109" s="68"/>
      <c r="D109" s="68"/>
      <c r="E109" s="68"/>
      <c r="F109" s="68"/>
      <c r="G109" s="68"/>
      <c r="H109" s="68"/>
      <c r="I109" s="68"/>
      <c r="J109" s="68"/>
      <c r="K109" s="68"/>
      <c r="L109" s="68"/>
      <c r="M109" s="68"/>
      <c r="N109" s="68"/>
      <c r="O109" s="68"/>
      <c r="P109" s="68"/>
      <c r="Q109" s="68"/>
      <c r="R109" s="68"/>
      <c r="S109" s="68"/>
      <c r="T109" s="70"/>
      <c r="AC109" s="68"/>
      <c r="AD109" s="70"/>
      <c r="AM109" s="68"/>
      <c r="AN109" s="70"/>
      <c r="AU109" s="68"/>
      <c r="AV109" s="70"/>
      <c r="BB109" s="68"/>
      <c r="BC109" s="70"/>
      <c r="BD109" s="68"/>
      <c r="BE109" s="68"/>
      <c r="BF109" s="68"/>
      <c r="BG109" s="68"/>
      <c r="BH109" s="68"/>
      <c r="BI109" s="68"/>
      <c r="BJ109" s="70"/>
      <c r="BM109" s="68"/>
      <c r="BN109" s="70"/>
      <c r="BT109" s="68"/>
      <c r="BU109" s="70"/>
      <c r="BZ109" s="10"/>
      <c r="CF109" s="10"/>
      <c r="CI109" s="389"/>
      <c r="CJ109" s="389"/>
      <c r="CK109" s="68"/>
      <c r="CL109" s="70"/>
      <c r="CO109" s="10"/>
      <c r="CU109" s="10"/>
      <c r="DA109" s="10"/>
      <c r="DB109" s="70"/>
      <c r="DC109" s="70"/>
      <c r="DF109" s="68"/>
      <c r="DG109" s="70"/>
      <c r="DH109" s="68"/>
      <c r="DI109" s="386"/>
      <c r="DJ109" s="425"/>
      <c r="DL109" s="68"/>
      <c r="DM109" s="70"/>
      <c r="DQ109" s="68"/>
      <c r="DR109" s="70"/>
      <c r="DS109" s="338"/>
      <c r="DT109" s="338"/>
      <c r="DU109" s="338"/>
      <c r="DW109" s="338"/>
      <c r="DX109" s="338"/>
      <c r="DY109" s="338"/>
      <c r="EA109" s="338"/>
      <c r="EB109" s="338"/>
      <c r="EC109" s="338"/>
      <c r="EE109" s="338"/>
      <c r="EF109" s="338"/>
      <c r="EG109" s="338"/>
      <c r="EI109" s="336"/>
      <c r="EJ109" s="336"/>
      <c r="EK109" s="336"/>
      <c r="EL109" s="336"/>
      <c r="EM109" s="336"/>
      <c r="EN109" s="336"/>
      <c r="EO109" s="337"/>
      <c r="EP109" s="342"/>
      <c r="EQ109" s="336"/>
      <c r="ER109" s="342"/>
      <c r="ES109" s="336"/>
      <c r="ET109" s="342"/>
      <c r="EU109" s="336"/>
      <c r="EV109" s="342"/>
      <c r="EW109" s="336"/>
      <c r="EX109" s="342"/>
      <c r="EY109" s="342"/>
      <c r="EZ109" s="342"/>
      <c r="FA109" s="337"/>
      <c r="FE109" s="338"/>
      <c r="FH109" s="338"/>
      <c r="FI109" s="338"/>
      <c r="FJ109" s="338"/>
      <c r="FK109" s="338"/>
      <c r="FL109" s="338"/>
      <c r="FM109" s="337"/>
      <c r="FN109" s="336"/>
      <c r="FO109" s="336"/>
      <c r="FP109" s="336"/>
      <c r="FQ109" s="336"/>
      <c r="FR109" s="336"/>
      <c r="FS109" s="336"/>
      <c r="FT109" s="336"/>
      <c r="FU109" s="336"/>
      <c r="FV109" s="336"/>
      <c r="FW109" s="337"/>
      <c r="FX109" s="532"/>
      <c r="FY109" s="341"/>
      <c r="FZ109" s="341"/>
      <c r="GA109" s="336"/>
      <c r="GB109" s="341"/>
      <c r="GC109" s="341"/>
      <c r="GD109" s="341"/>
      <c r="GE109" s="336"/>
      <c r="GF109" s="336"/>
      <c r="GG109" s="336"/>
      <c r="GH109" s="336"/>
      <c r="GI109" s="336"/>
      <c r="GJ109" s="337"/>
      <c r="GM109" s="338"/>
      <c r="GN109" s="338"/>
      <c r="GO109" s="338"/>
      <c r="GS109" s="338"/>
      <c r="GT109" s="338"/>
      <c r="GU109" s="338"/>
      <c r="GY109" s="338"/>
      <c r="GZ109" s="338"/>
      <c r="HA109" s="338"/>
      <c r="HE109" s="338"/>
      <c r="HF109" s="338"/>
      <c r="HG109" s="338"/>
      <c r="HN109" s="68"/>
      <c r="HO109" s="68"/>
      <c r="HP109" s="68"/>
      <c r="HQ109" s="336"/>
      <c r="HR109" s="68"/>
      <c r="HS109" s="68"/>
      <c r="HT109" s="10"/>
      <c r="HW109" s="338"/>
      <c r="HX109" s="338"/>
      <c r="HY109" s="338"/>
      <c r="IC109" s="338"/>
      <c r="ID109" s="338"/>
      <c r="IE109" s="338"/>
      <c r="II109" s="338"/>
      <c r="IJ109" s="338"/>
      <c r="IK109" s="338"/>
      <c r="IO109" s="338"/>
      <c r="IP109" s="338"/>
      <c r="IQ109" s="338"/>
      <c r="IX109" s="68"/>
      <c r="IY109" s="68"/>
      <c r="IZ109" s="68"/>
      <c r="JA109" s="68"/>
      <c r="JB109" s="68"/>
      <c r="JC109" s="68"/>
      <c r="JD109" s="10"/>
      <c r="JG109" s="338"/>
      <c r="JH109" s="338"/>
      <c r="JI109" s="338"/>
      <c r="JM109" s="338"/>
      <c r="JN109" s="338"/>
      <c r="JQ109" s="338"/>
      <c r="JR109" s="338"/>
      <c r="JS109" s="338"/>
      <c r="JW109" s="358"/>
      <c r="JX109" s="336"/>
      <c r="JY109" s="336"/>
      <c r="JZ109" s="336"/>
      <c r="KA109" s="336"/>
      <c r="KB109" s="336"/>
      <c r="KC109" s="336"/>
      <c r="KD109" s="336"/>
      <c r="KE109" s="336"/>
      <c r="KF109" s="336"/>
      <c r="KG109" s="337"/>
      <c r="KH109" s="338"/>
      <c r="KI109" s="338"/>
      <c r="KJ109" s="338"/>
      <c r="KK109" s="338"/>
      <c r="KL109" s="338"/>
      <c r="KM109" s="338"/>
      <c r="KN109" s="338"/>
      <c r="KO109" s="338"/>
      <c r="KP109" s="338"/>
      <c r="KQ109" s="338"/>
      <c r="KR109" s="338"/>
      <c r="KS109" s="338"/>
      <c r="KT109" s="338"/>
      <c r="KU109" s="338"/>
      <c r="KV109" s="338"/>
      <c r="KW109" s="337"/>
      <c r="KX109" s="336"/>
      <c r="KY109" s="336"/>
      <c r="KZ109" s="336"/>
      <c r="LA109" s="336"/>
      <c r="LB109" s="336"/>
      <c r="LC109" s="336"/>
      <c r="LD109" s="336"/>
      <c r="LE109" s="336"/>
      <c r="LF109" s="336"/>
      <c r="LG109" s="336"/>
      <c r="LH109" s="336"/>
      <c r="LI109" s="336"/>
      <c r="LJ109" s="336"/>
      <c r="LK109" s="336"/>
      <c r="LL109" s="336"/>
      <c r="LM109" s="336"/>
      <c r="LN109" s="336"/>
      <c r="LO109" s="336"/>
      <c r="LP109" s="336"/>
      <c r="LQ109" s="337"/>
      <c r="MN109" s="10"/>
      <c r="OA109" s="10"/>
    </row>
    <row r="110" spans="1:391" s="370" customFormat="1" x14ac:dyDescent="0.25">
      <c r="A110" s="68"/>
      <c r="B110" s="10"/>
      <c r="C110" s="68"/>
      <c r="D110" s="68"/>
      <c r="E110" s="68"/>
      <c r="F110" s="68"/>
      <c r="G110" s="68"/>
      <c r="H110" s="68"/>
      <c r="I110" s="68"/>
      <c r="J110" s="68"/>
      <c r="K110" s="68"/>
      <c r="L110" s="68"/>
      <c r="M110" s="68"/>
      <c r="N110" s="68"/>
      <c r="O110" s="68"/>
      <c r="P110" s="68"/>
      <c r="Q110" s="68"/>
      <c r="R110" s="68"/>
      <c r="S110" s="68"/>
      <c r="T110" s="70"/>
      <c r="AC110" s="68"/>
      <c r="AD110" s="70"/>
      <c r="AM110" s="68"/>
      <c r="AN110" s="70"/>
      <c r="AU110" s="68"/>
      <c r="AV110" s="70"/>
      <c r="BB110" s="68"/>
      <c r="BC110" s="70"/>
      <c r="BD110" s="68"/>
      <c r="BE110" s="68"/>
      <c r="BF110" s="68"/>
      <c r="BG110" s="68"/>
      <c r="BH110" s="68"/>
      <c r="BI110" s="68"/>
      <c r="BJ110" s="70"/>
      <c r="BM110" s="68"/>
      <c r="BN110" s="70"/>
      <c r="BT110" s="68"/>
      <c r="BU110" s="70"/>
      <c r="BZ110" s="10"/>
      <c r="CF110" s="10"/>
      <c r="CI110" s="389"/>
      <c r="CJ110" s="389"/>
      <c r="CK110" s="68"/>
      <c r="CL110" s="70"/>
      <c r="CO110" s="10"/>
      <c r="CU110" s="10"/>
      <c r="DA110" s="10"/>
      <c r="DB110" s="70"/>
      <c r="DC110" s="70"/>
      <c r="DF110" s="68"/>
      <c r="DG110" s="70"/>
      <c r="DH110" s="68"/>
      <c r="DI110" s="386"/>
      <c r="DJ110" s="425"/>
      <c r="DL110" s="68"/>
      <c r="DM110" s="70"/>
      <c r="DQ110" s="68"/>
      <c r="DR110" s="70"/>
      <c r="DS110" s="338"/>
      <c r="DT110" s="338"/>
      <c r="DU110" s="338"/>
      <c r="DW110" s="338"/>
      <c r="DX110" s="338"/>
      <c r="DY110" s="338"/>
      <c r="EA110" s="338"/>
      <c r="EB110" s="338"/>
      <c r="EC110" s="338"/>
      <c r="EE110" s="338"/>
      <c r="EF110" s="338"/>
      <c r="EG110" s="338"/>
      <c r="EI110" s="336"/>
      <c r="EJ110" s="336"/>
      <c r="EK110" s="336"/>
      <c r="EL110" s="336"/>
      <c r="EM110" s="336"/>
      <c r="EN110" s="336"/>
      <c r="EO110" s="337"/>
      <c r="EP110" s="342"/>
      <c r="EQ110" s="336"/>
      <c r="ER110" s="342"/>
      <c r="ES110" s="336"/>
      <c r="ET110" s="342"/>
      <c r="EU110" s="336"/>
      <c r="EV110" s="342"/>
      <c r="EW110" s="336"/>
      <c r="EX110" s="342"/>
      <c r="EY110" s="342"/>
      <c r="EZ110" s="342"/>
      <c r="FA110" s="337"/>
      <c r="FE110" s="338"/>
      <c r="FH110" s="338"/>
      <c r="FI110" s="338"/>
      <c r="FJ110" s="338"/>
      <c r="FK110" s="338"/>
      <c r="FL110" s="338"/>
      <c r="FM110" s="337"/>
      <c r="FN110" s="336"/>
      <c r="FO110" s="336"/>
      <c r="FP110" s="336"/>
      <c r="FQ110" s="336"/>
      <c r="FR110" s="336"/>
      <c r="FS110" s="336"/>
      <c r="FT110" s="336"/>
      <c r="FU110" s="336"/>
      <c r="FV110" s="336"/>
      <c r="FW110" s="337"/>
      <c r="FX110" s="532"/>
      <c r="FY110" s="341"/>
      <c r="FZ110" s="341"/>
      <c r="GA110" s="336"/>
      <c r="GB110" s="341"/>
      <c r="GC110" s="341"/>
      <c r="GD110" s="341"/>
      <c r="GE110" s="336"/>
      <c r="GF110" s="336"/>
      <c r="GG110" s="336"/>
      <c r="GH110" s="336"/>
      <c r="GI110" s="336"/>
      <c r="GJ110" s="337"/>
      <c r="GM110" s="338"/>
      <c r="GN110" s="338"/>
      <c r="GO110" s="338"/>
      <c r="GS110" s="338"/>
      <c r="GT110" s="338"/>
      <c r="GU110" s="338"/>
      <c r="GY110" s="338"/>
      <c r="GZ110" s="338"/>
      <c r="HA110" s="338"/>
      <c r="HE110" s="338"/>
      <c r="HF110" s="338"/>
      <c r="HG110" s="338"/>
      <c r="HN110" s="68"/>
      <c r="HO110" s="68"/>
      <c r="HP110" s="68"/>
      <c r="HQ110" s="336"/>
      <c r="HR110" s="68"/>
      <c r="HS110" s="68"/>
      <c r="HT110" s="10"/>
      <c r="HW110" s="338"/>
      <c r="HX110" s="338"/>
      <c r="HY110" s="338"/>
      <c r="IC110" s="338"/>
      <c r="ID110" s="338"/>
      <c r="IE110" s="338"/>
      <c r="II110" s="338"/>
      <c r="IJ110" s="338"/>
      <c r="IK110" s="338"/>
      <c r="IO110" s="338"/>
      <c r="IP110" s="338"/>
      <c r="IQ110" s="338"/>
      <c r="IX110" s="68"/>
      <c r="IY110" s="68"/>
      <c r="IZ110" s="68"/>
      <c r="JA110" s="68"/>
      <c r="JB110" s="68"/>
      <c r="JC110" s="68"/>
      <c r="JD110" s="10"/>
      <c r="JG110" s="338"/>
      <c r="JH110" s="338"/>
      <c r="JI110" s="338"/>
      <c r="JM110" s="338"/>
      <c r="JN110" s="338"/>
      <c r="JQ110" s="338"/>
      <c r="JR110" s="338"/>
      <c r="JS110" s="338"/>
      <c r="JW110" s="358"/>
      <c r="JX110" s="336"/>
      <c r="JY110" s="336"/>
      <c r="JZ110" s="336"/>
      <c r="KA110" s="336"/>
      <c r="KB110" s="336"/>
      <c r="KC110" s="336"/>
      <c r="KD110" s="336"/>
      <c r="KE110" s="336"/>
      <c r="KF110" s="336"/>
      <c r="KG110" s="337"/>
      <c r="KH110" s="338"/>
      <c r="KI110" s="338"/>
      <c r="KJ110" s="338"/>
      <c r="KK110" s="338"/>
      <c r="KL110" s="338"/>
      <c r="KM110" s="338"/>
      <c r="KN110" s="338"/>
      <c r="KO110" s="338"/>
      <c r="KP110" s="338"/>
      <c r="KQ110" s="338"/>
      <c r="KR110" s="338"/>
      <c r="KS110" s="338"/>
      <c r="KT110" s="338"/>
      <c r="KU110" s="338"/>
      <c r="KV110" s="338"/>
      <c r="KW110" s="337"/>
      <c r="KX110" s="336"/>
      <c r="KY110" s="336"/>
      <c r="KZ110" s="336"/>
      <c r="LA110" s="336"/>
      <c r="LB110" s="336"/>
      <c r="LC110" s="336"/>
      <c r="LD110" s="336"/>
      <c r="LE110" s="336"/>
      <c r="LF110" s="336"/>
      <c r="LG110" s="336"/>
      <c r="LH110" s="336"/>
      <c r="LI110" s="336"/>
      <c r="LJ110" s="336"/>
      <c r="LK110" s="336"/>
      <c r="LL110" s="336"/>
      <c r="LM110" s="336"/>
      <c r="LN110" s="336"/>
      <c r="LO110" s="336"/>
      <c r="LP110" s="336"/>
      <c r="LQ110" s="337"/>
      <c r="MN110" s="10"/>
      <c r="OA110" s="10"/>
    </row>
    <row r="111" spans="1:391" s="370" customFormat="1" x14ac:dyDescent="0.25">
      <c r="A111" s="68"/>
      <c r="B111" s="10"/>
      <c r="C111" s="68"/>
      <c r="D111" s="68"/>
      <c r="E111" s="68"/>
      <c r="F111" s="68"/>
      <c r="G111" s="68"/>
      <c r="H111" s="68"/>
      <c r="I111" s="68"/>
      <c r="J111" s="68"/>
      <c r="K111" s="68"/>
      <c r="L111" s="68"/>
      <c r="M111" s="68"/>
      <c r="N111" s="68"/>
      <c r="O111" s="68"/>
      <c r="P111" s="68"/>
      <c r="Q111" s="68"/>
      <c r="R111" s="68"/>
      <c r="S111" s="68"/>
      <c r="T111" s="70"/>
      <c r="AC111" s="68"/>
      <c r="AD111" s="70"/>
      <c r="AM111" s="68"/>
      <c r="AN111" s="70"/>
      <c r="AU111" s="68"/>
      <c r="AV111" s="70"/>
      <c r="BB111" s="68"/>
      <c r="BC111" s="70"/>
      <c r="BD111" s="68"/>
      <c r="BE111" s="68"/>
      <c r="BF111" s="68"/>
      <c r="BG111" s="68"/>
      <c r="BH111" s="68"/>
      <c r="BI111" s="68"/>
      <c r="BJ111" s="70"/>
      <c r="BM111" s="68"/>
      <c r="BN111" s="70"/>
      <c r="BT111" s="68"/>
      <c r="BU111" s="70"/>
      <c r="BZ111" s="10"/>
      <c r="CF111" s="10"/>
      <c r="CI111" s="389"/>
      <c r="CJ111" s="389"/>
      <c r="CK111" s="68"/>
      <c r="CL111" s="70"/>
      <c r="CO111" s="10"/>
      <c r="CU111" s="10"/>
      <c r="DA111" s="10"/>
      <c r="DB111" s="70"/>
      <c r="DC111" s="70"/>
      <c r="DF111" s="68"/>
      <c r="DG111" s="70"/>
      <c r="DH111" s="68"/>
      <c r="DI111" s="386"/>
      <c r="DJ111" s="425"/>
      <c r="DL111" s="68"/>
      <c r="DM111" s="70"/>
      <c r="DQ111" s="68"/>
      <c r="DR111" s="70"/>
      <c r="DS111" s="338"/>
      <c r="DT111" s="338"/>
      <c r="DU111" s="338"/>
      <c r="DW111" s="338"/>
      <c r="DX111" s="338"/>
      <c r="DY111" s="338"/>
      <c r="EA111" s="338"/>
      <c r="EB111" s="338"/>
      <c r="EC111" s="338"/>
      <c r="EE111" s="338"/>
      <c r="EF111" s="338"/>
      <c r="EG111" s="338"/>
      <c r="EI111" s="336"/>
      <c r="EJ111" s="336"/>
      <c r="EK111" s="336"/>
      <c r="EL111" s="336"/>
      <c r="EM111" s="336"/>
      <c r="EN111" s="336"/>
      <c r="EO111" s="337"/>
      <c r="EP111" s="342"/>
      <c r="EQ111" s="336"/>
      <c r="ER111" s="342"/>
      <c r="ES111" s="336"/>
      <c r="ET111" s="342"/>
      <c r="EU111" s="336"/>
      <c r="EV111" s="342"/>
      <c r="EW111" s="336"/>
      <c r="EX111" s="342"/>
      <c r="EY111" s="342"/>
      <c r="EZ111" s="342"/>
      <c r="FA111" s="337"/>
      <c r="FE111" s="338"/>
      <c r="FH111" s="338"/>
      <c r="FI111" s="338"/>
      <c r="FJ111" s="338"/>
      <c r="FK111" s="338"/>
      <c r="FL111" s="338"/>
      <c r="FM111" s="337"/>
      <c r="FN111" s="336"/>
      <c r="FO111" s="336"/>
      <c r="FP111" s="336"/>
      <c r="FQ111" s="336"/>
      <c r="FR111" s="336"/>
      <c r="FS111" s="336"/>
      <c r="FT111" s="336"/>
      <c r="FU111" s="336"/>
      <c r="FV111" s="336"/>
      <c r="FW111" s="337"/>
      <c r="FX111" s="532"/>
      <c r="FY111" s="341"/>
      <c r="FZ111" s="341"/>
      <c r="GA111" s="336"/>
      <c r="GB111" s="341"/>
      <c r="GC111" s="341"/>
      <c r="GD111" s="341"/>
      <c r="GE111" s="336"/>
      <c r="GF111" s="336"/>
      <c r="GG111" s="336"/>
      <c r="GH111" s="336"/>
      <c r="GI111" s="336"/>
      <c r="GJ111" s="337"/>
      <c r="GM111" s="338"/>
      <c r="GN111" s="338"/>
      <c r="GO111" s="338"/>
      <c r="GS111" s="338"/>
      <c r="GT111" s="338"/>
      <c r="GU111" s="338"/>
      <c r="GY111" s="338"/>
      <c r="GZ111" s="338"/>
      <c r="HA111" s="338"/>
      <c r="HE111" s="338"/>
      <c r="HF111" s="338"/>
      <c r="HG111" s="338"/>
      <c r="HN111" s="68"/>
      <c r="HO111" s="68"/>
      <c r="HP111" s="68"/>
      <c r="HQ111" s="336"/>
      <c r="HR111" s="68"/>
      <c r="HS111" s="68"/>
      <c r="HT111" s="10"/>
      <c r="HW111" s="338"/>
      <c r="HX111" s="338"/>
      <c r="HY111" s="338"/>
      <c r="IC111" s="338"/>
      <c r="ID111" s="338"/>
      <c r="IE111" s="338"/>
      <c r="II111" s="338"/>
      <c r="IJ111" s="338"/>
      <c r="IK111" s="338"/>
      <c r="IO111" s="338"/>
      <c r="IP111" s="338"/>
      <c r="IQ111" s="338"/>
      <c r="IX111" s="68"/>
      <c r="IY111" s="68"/>
      <c r="IZ111" s="68"/>
      <c r="JA111" s="68"/>
      <c r="JB111" s="68"/>
      <c r="JC111" s="68"/>
      <c r="JD111" s="10"/>
      <c r="JG111" s="338"/>
      <c r="JH111" s="338"/>
      <c r="JI111" s="338"/>
      <c r="JM111" s="338"/>
      <c r="JN111" s="338"/>
      <c r="JQ111" s="338"/>
      <c r="JR111" s="338"/>
      <c r="JS111" s="338"/>
      <c r="JW111" s="358"/>
      <c r="JX111" s="336"/>
      <c r="JY111" s="336"/>
      <c r="JZ111" s="336"/>
      <c r="KA111" s="336"/>
      <c r="KB111" s="336"/>
      <c r="KC111" s="336"/>
      <c r="KD111" s="336"/>
      <c r="KE111" s="336"/>
      <c r="KF111" s="336"/>
      <c r="KG111" s="337"/>
      <c r="KH111" s="338"/>
      <c r="KI111" s="338"/>
      <c r="KJ111" s="338"/>
      <c r="KK111" s="338"/>
      <c r="KL111" s="338"/>
      <c r="KM111" s="338"/>
      <c r="KN111" s="338"/>
      <c r="KO111" s="338"/>
      <c r="KP111" s="338"/>
      <c r="KQ111" s="338"/>
      <c r="KR111" s="338"/>
      <c r="KS111" s="338"/>
      <c r="KT111" s="338"/>
      <c r="KU111" s="338"/>
      <c r="KV111" s="338"/>
      <c r="KW111" s="337"/>
      <c r="KX111" s="336"/>
      <c r="KY111" s="336"/>
      <c r="KZ111" s="336"/>
      <c r="LA111" s="336"/>
      <c r="LB111" s="336"/>
      <c r="LC111" s="336"/>
      <c r="LD111" s="336"/>
      <c r="LE111" s="336"/>
      <c r="LF111" s="336"/>
      <c r="LG111" s="336"/>
      <c r="LH111" s="336"/>
      <c r="LI111" s="336"/>
      <c r="LJ111" s="336"/>
      <c r="LK111" s="336"/>
      <c r="LL111" s="336"/>
      <c r="LM111" s="336"/>
      <c r="LN111" s="336"/>
      <c r="LO111" s="336"/>
      <c r="LP111" s="336"/>
      <c r="LQ111" s="337"/>
      <c r="MN111" s="10"/>
      <c r="OA111" s="10"/>
    </row>
    <row r="112" spans="1:391" s="370" customFormat="1" x14ac:dyDescent="0.25">
      <c r="A112" s="68"/>
      <c r="B112" s="10"/>
      <c r="C112" s="68"/>
      <c r="D112" s="68"/>
      <c r="E112" s="68"/>
      <c r="F112" s="68"/>
      <c r="G112" s="68"/>
      <c r="H112" s="68"/>
      <c r="I112" s="68"/>
      <c r="J112" s="68"/>
      <c r="K112" s="68"/>
      <c r="L112" s="68"/>
      <c r="M112" s="68"/>
      <c r="N112" s="68"/>
      <c r="O112" s="68"/>
      <c r="P112" s="68"/>
      <c r="Q112" s="68"/>
      <c r="R112" s="68"/>
      <c r="S112" s="68"/>
      <c r="T112" s="70"/>
      <c r="AC112" s="68"/>
      <c r="AD112" s="70"/>
      <c r="AM112" s="68"/>
      <c r="AN112" s="70"/>
      <c r="AU112" s="68"/>
      <c r="AV112" s="70"/>
      <c r="BB112" s="68"/>
      <c r="BC112" s="70"/>
      <c r="BD112" s="68"/>
      <c r="BE112" s="68"/>
      <c r="BF112" s="68"/>
      <c r="BG112" s="68"/>
      <c r="BH112" s="68"/>
      <c r="BI112" s="68"/>
      <c r="BJ112" s="70"/>
      <c r="BM112" s="68"/>
      <c r="BN112" s="70"/>
      <c r="BT112" s="68"/>
      <c r="BU112" s="70"/>
      <c r="BZ112" s="10"/>
      <c r="CF112" s="10"/>
      <c r="CI112" s="389"/>
      <c r="CJ112" s="389"/>
      <c r="CK112" s="68"/>
      <c r="CL112" s="70"/>
      <c r="CO112" s="10"/>
      <c r="CU112" s="10"/>
      <c r="DA112" s="10"/>
      <c r="DB112" s="70"/>
      <c r="DC112" s="70"/>
      <c r="DF112" s="68"/>
      <c r="DG112" s="70"/>
      <c r="DH112" s="68"/>
      <c r="DI112" s="386"/>
      <c r="DJ112" s="425"/>
      <c r="DL112" s="68"/>
      <c r="DM112" s="70"/>
      <c r="DQ112" s="68"/>
      <c r="DR112" s="70"/>
      <c r="DS112" s="338"/>
      <c r="DT112" s="338"/>
      <c r="DU112" s="338"/>
      <c r="DW112" s="338"/>
      <c r="DX112" s="338"/>
      <c r="DY112" s="338"/>
      <c r="EA112" s="338"/>
      <c r="EB112" s="338"/>
      <c r="EC112" s="338"/>
      <c r="EE112" s="338"/>
      <c r="EF112" s="338"/>
      <c r="EG112" s="338"/>
      <c r="EI112" s="336"/>
      <c r="EJ112" s="336"/>
      <c r="EK112" s="336"/>
      <c r="EL112" s="336"/>
      <c r="EM112" s="336"/>
      <c r="EN112" s="336"/>
      <c r="EO112" s="337"/>
      <c r="EP112" s="342"/>
      <c r="EQ112" s="336"/>
      <c r="ER112" s="342"/>
      <c r="ES112" s="336"/>
      <c r="ET112" s="342"/>
      <c r="EU112" s="336"/>
      <c r="EV112" s="342"/>
      <c r="EW112" s="336"/>
      <c r="EX112" s="342"/>
      <c r="EY112" s="342"/>
      <c r="EZ112" s="342"/>
      <c r="FA112" s="337"/>
      <c r="FE112" s="338"/>
      <c r="FH112" s="338"/>
      <c r="FI112" s="338"/>
      <c r="FJ112" s="338"/>
      <c r="FK112" s="338"/>
      <c r="FL112" s="338"/>
      <c r="FM112" s="337"/>
      <c r="FN112" s="336"/>
      <c r="FO112" s="336"/>
      <c r="FP112" s="336"/>
      <c r="FQ112" s="336"/>
      <c r="FR112" s="336"/>
      <c r="FS112" s="336"/>
      <c r="FT112" s="336"/>
      <c r="FU112" s="336"/>
      <c r="FV112" s="336"/>
      <c r="FW112" s="337"/>
      <c r="FX112" s="532"/>
      <c r="FY112" s="341"/>
      <c r="FZ112" s="341"/>
      <c r="GA112" s="336"/>
      <c r="GB112" s="341"/>
      <c r="GC112" s="341"/>
      <c r="GD112" s="341"/>
      <c r="GE112" s="336"/>
      <c r="GF112" s="336"/>
      <c r="GG112" s="336"/>
      <c r="GH112" s="336"/>
      <c r="GI112" s="336"/>
      <c r="GJ112" s="337"/>
      <c r="GM112" s="338"/>
      <c r="GN112" s="338"/>
      <c r="GO112" s="338"/>
      <c r="GS112" s="338"/>
      <c r="GT112" s="338"/>
      <c r="GU112" s="338"/>
      <c r="GY112" s="338"/>
      <c r="GZ112" s="338"/>
      <c r="HA112" s="338"/>
      <c r="HE112" s="338"/>
      <c r="HF112" s="338"/>
      <c r="HG112" s="338"/>
      <c r="HN112" s="68"/>
      <c r="HO112" s="68"/>
      <c r="HP112" s="68"/>
      <c r="HQ112" s="336"/>
      <c r="HR112" s="68"/>
      <c r="HS112" s="68"/>
      <c r="HT112" s="10"/>
      <c r="HW112" s="338"/>
      <c r="HX112" s="338"/>
      <c r="HY112" s="338"/>
      <c r="IC112" s="338"/>
      <c r="ID112" s="338"/>
      <c r="IE112" s="338"/>
      <c r="II112" s="338"/>
      <c r="IJ112" s="338"/>
      <c r="IK112" s="338"/>
      <c r="IO112" s="338"/>
      <c r="IP112" s="338"/>
      <c r="IQ112" s="338"/>
      <c r="IX112" s="68"/>
      <c r="IY112" s="68"/>
      <c r="IZ112" s="68"/>
      <c r="JA112" s="68"/>
      <c r="JB112" s="68"/>
      <c r="JC112" s="68"/>
      <c r="JD112" s="10"/>
      <c r="JG112" s="338"/>
      <c r="JH112" s="338"/>
      <c r="JI112" s="338"/>
      <c r="JM112" s="338"/>
      <c r="JN112" s="338"/>
      <c r="JQ112" s="338"/>
      <c r="JR112" s="338"/>
      <c r="JS112" s="338"/>
      <c r="JW112" s="358"/>
      <c r="JX112" s="336"/>
      <c r="JY112" s="336"/>
      <c r="JZ112" s="336"/>
      <c r="KA112" s="336"/>
      <c r="KB112" s="336"/>
      <c r="KC112" s="336"/>
      <c r="KD112" s="336"/>
      <c r="KE112" s="336"/>
      <c r="KF112" s="336"/>
      <c r="KG112" s="337"/>
      <c r="KH112" s="338"/>
      <c r="KI112" s="338"/>
      <c r="KJ112" s="338"/>
      <c r="KK112" s="338"/>
      <c r="KL112" s="338"/>
      <c r="KM112" s="338"/>
      <c r="KN112" s="338"/>
      <c r="KO112" s="338"/>
      <c r="KP112" s="338"/>
      <c r="KQ112" s="338"/>
      <c r="KR112" s="338"/>
      <c r="KS112" s="338"/>
      <c r="KT112" s="338"/>
      <c r="KU112" s="338"/>
      <c r="KV112" s="338"/>
      <c r="KW112" s="337"/>
      <c r="KX112" s="336"/>
      <c r="KY112" s="336"/>
      <c r="KZ112" s="336"/>
      <c r="LA112" s="336"/>
      <c r="LB112" s="336"/>
      <c r="LC112" s="336"/>
      <c r="LD112" s="336"/>
      <c r="LE112" s="336"/>
      <c r="LF112" s="336"/>
      <c r="LG112" s="336"/>
      <c r="LH112" s="336"/>
      <c r="LI112" s="336"/>
      <c r="LJ112" s="336"/>
      <c r="LK112" s="336"/>
      <c r="LL112" s="336"/>
      <c r="LM112" s="336"/>
      <c r="LN112" s="336"/>
      <c r="LO112" s="336"/>
      <c r="LP112" s="336"/>
      <c r="LQ112" s="337"/>
      <c r="MN112" s="10"/>
      <c r="OA112" s="10"/>
    </row>
    <row r="113" spans="1:391" s="370" customFormat="1" x14ac:dyDescent="0.25">
      <c r="A113" s="68"/>
      <c r="B113" s="10"/>
      <c r="C113" s="68"/>
      <c r="D113" s="68"/>
      <c r="E113" s="68"/>
      <c r="F113" s="68"/>
      <c r="G113" s="68"/>
      <c r="H113" s="68"/>
      <c r="I113" s="68"/>
      <c r="J113" s="68"/>
      <c r="K113" s="68"/>
      <c r="L113" s="68"/>
      <c r="M113" s="68"/>
      <c r="N113" s="68"/>
      <c r="O113" s="68"/>
      <c r="P113" s="68"/>
      <c r="Q113" s="68"/>
      <c r="R113" s="68"/>
      <c r="S113" s="68"/>
      <c r="T113" s="70"/>
      <c r="AC113" s="68"/>
      <c r="AD113" s="70"/>
      <c r="AM113" s="68"/>
      <c r="AN113" s="70"/>
      <c r="AU113" s="68"/>
      <c r="AV113" s="70"/>
      <c r="BB113" s="68"/>
      <c r="BC113" s="70"/>
      <c r="BD113" s="68"/>
      <c r="BE113" s="68"/>
      <c r="BF113" s="68"/>
      <c r="BG113" s="68"/>
      <c r="BH113" s="68"/>
      <c r="BI113" s="68"/>
      <c r="BJ113" s="70"/>
      <c r="BM113" s="68"/>
      <c r="BN113" s="70"/>
      <c r="BT113" s="68"/>
      <c r="BU113" s="70"/>
      <c r="BZ113" s="10"/>
      <c r="CF113" s="10"/>
      <c r="CI113" s="389"/>
      <c r="CJ113" s="389"/>
      <c r="CK113" s="68"/>
      <c r="CL113" s="70"/>
      <c r="CO113" s="10"/>
      <c r="CU113" s="10"/>
      <c r="DA113" s="10"/>
      <c r="DB113" s="70"/>
      <c r="DC113" s="70"/>
      <c r="DF113" s="68"/>
      <c r="DG113" s="70"/>
      <c r="DH113" s="68"/>
      <c r="DI113" s="386"/>
      <c r="DJ113" s="425"/>
      <c r="DL113" s="68"/>
      <c r="DM113" s="70"/>
      <c r="DQ113" s="68"/>
      <c r="DR113" s="70"/>
      <c r="DS113" s="338"/>
      <c r="DT113" s="338"/>
      <c r="DU113" s="338"/>
      <c r="DW113" s="338"/>
      <c r="DX113" s="338"/>
      <c r="DY113" s="338"/>
      <c r="EA113" s="338"/>
      <c r="EB113" s="338"/>
      <c r="EC113" s="338"/>
      <c r="EE113" s="338"/>
      <c r="EF113" s="338"/>
      <c r="EG113" s="338"/>
      <c r="EI113" s="336"/>
      <c r="EJ113" s="336"/>
      <c r="EK113" s="336"/>
      <c r="EL113" s="336"/>
      <c r="EM113" s="336"/>
      <c r="EN113" s="336"/>
      <c r="EO113" s="337"/>
      <c r="EP113" s="342"/>
      <c r="EQ113" s="336"/>
      <c r="ER113" s="342"/>
      <c r="ES113" s="336"/>
      <c r="ET113" s="342"/>
      <c r="EU113" s="336"/>
      <c r="EV113" s="342"/>
      <c r="EW113" s="336"/>
      <c r="EX113" s="342"/>
      <c r="EY113" s="342"/>
      <c r="EZ113" s="342"/>
      <c r="FA113" s="337"/>
      <c r="FE113" s="338"/>
      <c r="FH113" s="338"/>
      <c r="FI113" s="338"/>
      <c r="FJ113" s="338"/>
      <c r="FK113" s="338"/>
      <c r="FL113" s="338"/>
      <c r="FM113" s="337"/>
      <c r="FN113" s="336"/>
      <c r="FO113" s="336"/>
      <c r="FP113" s="336"/>
      <c r="FQ113" s="336"/>
      <c r="FR113" s="336"/>
      <c r="FS113" s="336"/>
      <c r="FT113" s="336"/>
      <c r="FU113" s="336"/>
      <c r="FV113" s="336"/>
      <c r="FW113" s="337"/>
      <c r="FX113" s="532"/>
      <c r="FY113" s="341"/>
      <c r="FZ113" s="341"/>
      <c r="GA113" s="336"/>
      <c r="GB113" s="341"/>
      <c r="GC113" s="341"/>
      <c r="GD113" s="341"/>
      <c r="GE113" s="336"/>
      <c r="GF113" s="336"/>
      <c r="GG113" s="336"/>
      <c r="GH113" s="336"/>
      <c r="GI113" s="336"/>
      <c r="GJ113" s="337"/>
      <c r="GM113" s="338"/>
      <c r="GN113" s="338"/>
      <c r="GO113" s="338"/>
      <c r="GS113" s="338"/>
      <c r="GT113" s="338"/>
      <c r="GU113" s="338"/>
      <c r="GY113" s="338"/>
      <c r="GZ113" s="338"/>
      <c r="HA113" s="338"/>
      <c r="HE113" s="338"/>
      <c r="HF113" s="338"/>
      <c r="HG113" s="338"/>
      <c r="HN113" s="68"/>
      <c r="HO113" s="68"/>
      <c r="HP113" s="68"/>
      <c r="HQ113" s="336"/>
      <c r="HR113" s="68"/>
      <c r="HS113" s="68"/>
      <c r="HT113" s="10"/>
      <c r="HW113" s="338"/>
      <c r="HX113" s="338"/>
      <c r="HY113" s="338"/>
      <c r="IC113" s="338"/>
      <c r="ID113" s="338"/>
      <c r="IE113" s="338"/>
      <c r="II113" s="338"/>
      <c r="IJ113" s="338"/>
      <c r="IK113" s="338"/>
      <c r="IO113" s="338"/>
      <c r="IP113" s="338"/>
      <c r="IQ113" s="338"/>
      <c r="IX113" s="68"/>
      <c r="IY113" s="68"/>
      <c r="IZ113" s="68"/>
      <c r="JA113" s="68"/>
      <c r="JB113" s="68"/>
      <c r="JC113" s="68"/>
      <c r="JD113" s="10"/>
      <c r="JG113" s="338"/>
      <c r="JH113" s="338"/>
      <c r="JI113" s="338"/>
      <c r="JM113" s="338"/>
      <c r="JN113" s="338"/>
      <c r="JQ113" s="338"/>
      <c r="JR113" s="338"/>
      <c r="JS113" s="338"/>
      <c r="JW113" s="358"/>
      <c r="JX113" s="336"/>
      <c r="JY113" s="336"/>
      <c r="JZ113" s="336"/>
      <c r="KA113" s="336"/>
      <c r="KB113" s="336"/>
      <c r="KC113" s="336"/>
      <c r="KD113" s="336"/>
      <c r="KE113" s="336"/>
      <c r="KF113" s="336"/>
      <c r="KG113" s="337"/>
      <c r="KH113" s="338"/>
      <c r="KI113" s="338"/>
      <c r="KJ113" s="338"/>
      <c r="KK113" s="338"/>
      <c r="KL113" s="338"/>
      <c r="KM113" s="338"/>
      <c r="KN113" s="338"/>
      <c r="KO113" s="338"/>
      <c r="KP113" s="338"/>
      <c r="KQ113" s="338"/>
      <c r="KR113" s="338"/>
      <c r="KS113" s="338"/>
      <c r="KT113" s="338"/>
      <c r="KU113" s="338"/>
      <c r="KV113" s="338"/>
      <c r="KW113" s="337"/>
      <c r="KX113" s="336"/>
      <c r="KY113" s="336"/>
      <c r="KZ113" s="336"/>
      <c r="LA113" s="336"/>
      <c r="LB113" s="336"/>
      <c r="LC113" s="336"/>
      <c r="LD113" s="336"/>
      <c r="LE113" s="336"/>
      <c r="LF113" s="336"/>
      <c r="LG113" s="336"/>
      <c r="LH113" s="336"/>
      <c r="LI113" s="336"/>
      <c r="LJ113" s="336"/>
      <c r="LK113" s="336"/>
      <c r="LL113" s="336"/>
      <c r="LM113" s="336"/>
      <c r="LN113" s="336"/>
      <c r="LO113" s="336"/>
      <c r="LP113" s="336"/>
      <c r="LQ113" s="337"/>
      <c r="MN113" s="10"/>
      <c r="OA113" s="10"/>
    </row>
    <row r="114" spans="1:391" s="370" customFormat="1" x14ac:dyDescent="0.25">
      <c r="A114" s="68"/>
      <c r="B114" s="10"/>
      <c r="C114" s="68"/>
      <c r="D114" s="68"/>
      <c r="E114" s="68"/>
      <c r="F114" s="68"/>
      <c r="G114" s="68"/>
      <c r="H114" s="68"/>
      <c r="I114" s="68"/>
      <c r="J114" s="68"/>
      <c r="K114" s="68"/>
      <c r="L114" s="68"/>
      <c r="M114" s="68"/>
      <c r="N114" s="68"/>
      <c r="O114" s="68"/>
      <c r="P114" s="68"/>
      <c r="Q114" s="68"/>
      <c r="R114" s="68"/>
      <c r="S114" s="68"/>
      <c r="T114" s="70"/>
      <c r="AC114" s="68"/>
      <c r="AD114" s="70"/>
      <c r="AM114" s="68"/>
      <c r="AN114" s="70"/>
      <c r="AU114" s="68"/>
      <c r="AV114" s="70"/>
      <c r="BB114" s="68"/>
      <c r="BC114" s="70"/>
      <c r="BD114" s="68"/>
      <c r="BE114" s="68"/>
      <c r="BF114" s="68"/>
      <c r="BG114" s="68"/>
      <c r="BH114" s="68"/>
      <c r="BI114" s="68"/>
      <c r="BJ114" s="70"/>
      <c r="BM114" s="68"/>
      <c r="BN114" s="70"/>
      <c r="BT114" s="68"/>
      <c r="BU114" s="70"/>
      <c r="BZ114" s="10"/>
      <c r="CF114" s="10"/>
      <c r="CI114" s="389"/>
      <c r="CJ114" s="389"/>
      <c r="CK114" s="68"/>
      <c r="CL114" s="70"/>
      <c r="CO114" s="10"/>
      <c r="CU114" s="10"/>
      <c r="DA114" s="10"/>
      <c r="DB114" s="70"/>
      <c r="DC114" s="70"/>
      <c r="DF114" s="68"/>
      <c r="DG114" s="70"/>
      <c r="DH114" s="68"/>
      <c r="DI114" s="386"/>
      <c r="DJ114" s="425"/>
      <c r="DL114" s="68"/>
      <c r="DM114" s="70"/>
      <c r="DQ114" s="68"/>
      <c r="DR114" s="70"/>
      <c r="DS114" s="338"/>
      <c r="DT114" s="338"/>
      <c r="DU114" s="338"/>
      <c r="DW114" s="338"/>
      <c r="DX114" s="338"/>
      <c r="DY114" s="338"/>
      <c r="EA114" s="338"/>
      <c r="EB114" s="338"/>
      <c r="EC114" s="338"/>
      <c r="EE114" s="338"/>
      <c r="EF114" s="338"/>
      <c r="EG114" s="338"/>
      <c r="EI114" s="336"/>
      <c r="EJ114" s="336"/>
      <c r="EK114" s="336"/>
      <c r="EL114" s="336"/>
      <c r="EM114" s="336"/>
      <c r="EN114" s="336"/>
      <c r="EO114" s="337"/>
      <c r="EP114" s="342"/>
      <c r="EQ114" s="336"/>
      <c r="ER114" s="342"/>
      <c r="ES114" s="336"/>
      <c r="ET114" s="342"/>
      <c r="EU114" s="336"/>
      <c r="EV114" s="342"/>
      <c r="EW114" s="336"/>
      <c r="EX114" s="342"/>
      <c r="EY114" s="342"/>
      <c r="EZ114" s="342"/>
      <c r="FA114" s="337"/>
      <c r="FE114" s="338"/>
      <c r="FH114" s="338"/>
      <c r="FI114" s="338"/>
      <c r="FJ114" s="338"/>
      <c r="FK114" s="338"/>
      <c r="FL114" s="338"/>
      <c r="FM114" s="337"/>
      <c r="FN114" s="336"/>
      <c r="FO114" s="336"/>
      <c r="FP114" s="336"/>
      <c r="FQ114" s="336"/>
      <c r="FR114" s="336"/>
      <c r="FS114" s="336"/>
      <c r="FT114" s="336"/>
      <c r="FU114" s="336"/>
      <c r="FV114" s="336"/>
      <c r="FW114" s="337"/>
      <c r="FX114" s="532"/>
      <c r="FY114" s="341"/>
      <c r="FZ114" s="341"/>
      <c r="GA114" s="336"/>
      <c r="GB114" s="341"/>
      <c r="GC114" s="341"/>
      <c r="GD114" s="341"/>
      <c r="GE114" s="336"/>
      <c r="GF114" s="336"/>
      <c r="GG114" s="336"/>
      <c r="GH114" s="336"/>
      <c r="GI114" s="336"/>
      <c r="GJ114" s="337"/>
      <c r="GM114" s="338"/>
      <c r="GN114" s="338"/>
      <c r="GO114" s="338"/>
      <c r="GS114" s="338"/>
      <c r="GT114" s="338"/>
      <c r="GU114" s="338"/>
      <c r="GY114" s="338"/>
      <c r="GZ114" s="338"/>
      <c r="HA114" s="338"/>
      <c r="HE114" s="338"/>
      <c r="HF114" s="338"/>
      <c r="HG114" s="338"/>
      <c r="HN114" s="68"/>
      <c r="HO114" s="68"/>
      <c r="HP114" s="68"/>
      <c r="HQ114" s="336"/>
      <c r="HR114" s="68"/>
      <c r="HS114" s="68"/>
      <c r="HT114" s="10"/>
      <c r="HW114" s="338"/>
      <c r="HX114" s="338"/>
      <c r="HY114" s="338"/>
      <c r="IC114" s="338"/>
      <c r="ID114" s="338"/>
      <c r="IE114" s="338"/>
      <c r="II114" s="338"/>
      <c r="IJ114" s="338"/>
      <c r="IK114" s="338"/>
      <c r="IO114" s="338"/>
      <c r="IP114" s="338"/>
      <c r="IQ114" s="338"/>
      <c r="IX114" s="68"/>
      <c r="IY114" s="68"/>
      <c r="IZ114" s="68"/>
      <c r="JA114" s="68"/>
      <c r="JB114" s="68"/>
      <c r="JC114" s="68"/>
      <c r="JD114" s="10"/>
      <c r="JG114" s="338"/>
      <c r="JH114" s="338"/>
      <c r="JI114" s="338"/>
      <c r="JM114" s="338"/>
      <c r="JN114" s="338"/>
      <c r="JQ114" s="338"/>
      <c r="JR114" s="338"/>
      <c r="JS114" s="338"/>
      <c r="JW114" s="358"/>
      <c r="JX114" s="336"/>
      <c r="JY114" s="336"/>
      <c r="JZ114" s="336"/>
      <c r="KA114" s="336"/>
      <c r="KB114" s="336"/>
      <c r="KC114" s="336"/>
      <c r="KD114" s="336"/>
      <c r="KE114" s="336"/>
      <c r="KF114" s="336"/>
      <c r="KG114" s="337"/>
      <c r="KH114" s="338"/>
      <c r="KI114" s="338"/>
      <c r="KJ114" s="338"/>
      <c r="KK114" s="338"/>
      <c r="KL114" s="338"/>
      <c r="KM114" s="338"/>
      <c r="KN114" s="338"/>
      <c r="KO114" s="338"/>
      <c r="KP114" s="338"/>
      <c r="KQ114" s="338"/>
      <c r="KR114" s="338"/>
      <c r="KS114" s="338"/>
      <c r="KT114" s="338"/>
      <c r="KU114" s="338"/>
      <c r="KV114" s="338"/>
      <c r="KW114" s="337"/>
      <c r="KX114" s="336"/>
      <c r="KY114" s="336"/>
      <c r="KZ114" s="336"/>
      <c r="LA114" s="336"/>
      <c r="LB114" s="336"/>
      <c r="LC114" s="336"/>
      <c r="LD114" s="336"/>
      <c r="LE114" s="336"/>
      <c r="LF114" s="336"/>
      <c r="LG114" s="336"/>
      <c r="LH114" s="336"/>
      <c r="LI114" s="336"/>
      <c r="LJ114" s="336"/>
      <c r="LK114" s="336"/>
      <c r="LL114" s="336"/>
      <c r="LM114" s="336"/>
      <c r="LN114" s="336"/>
      <c r="LO114" s="336"/>
      <c r="LP114" s="336"/>
      <c r="LQ114" s="337"/>
      <c r="MN114" s="10"/>
      <c r="OA114" s="10"/>
    </row>
    <row r="115" spans="1:391" s="370" customFormat="1" x14ac:dyDescent="0.25">
      <c r="A115" s="68"/>
      <c r="B115" s="10"/>
      <c r="C115" s="68"/>
      <c r="D115" s="68"/>
      <c r="E115" s="68"/>
      <c r="F115" s="68"/>
      <c r="G115" s="68"/>
      <c r="H115" s="68"/>
      <c r="I115" s="68"/>
      <c r="J115" s="68"/>
      <c r="K115" s="68"/>
      <c r="L115" s="68"/>
      <c r="M115" s="68"/>
      <c r="N115" s="68"/>
      <c r="O115" s="68"/>
      <c r="P115" s="68"/>
      <c r="Q115" s="68"/>
      <c r="R115" s="68"/>
      <c r="S115" s="68"/>
      <c r="T115" s="70"/>
      <c r="AC115" s="68"/>
      <c r="AD115" s="70"/>
      <c r="AM115" s="68"/>
      <c r="AN115" s="70"/>
      <c r="AU115" s="68"/>
      <c r="AV115" s="70"/>
      <c r="BB115" s="68"/>
      <c r="BC115" s="70"/>
      <c r="BD115" s="68"/>
      <c r="BE115" s="68"/>
      <c r="BF115" s="68"/>
      <c r="BG115" s="68"/>
      <c r="BH115" s="68"/>
      <c r="BI115" s="68"/>
      <c r="BJ115" s="70"/>
      <c r="BM115" s="68"/>
      <c r="BN115" s="70"/>
      <c r="BT115" s="68"/>
      <c r="BU115" s="70"/>
      <c r="BZ115" s="10"/>
      <c r="CF115" s="10"/>
      <c r="CI115" s="389"/>
      <c r="CJ115" s="389"/>
      <c r="CK115" s="68"/>
      <c r="CL115" s="70"/>
      <c r="CO115" s="10"/>
      <c r="CU115" s="10"/>
      <c r="DA115" s="10"/>
      <c r="DB115" s="70"/>
      <c r="DC115" s="70"/>
      <c r="DF115" s="68"/>
      <c r="DG115" s="70"/>
      <c r="DH115" s="68"/>
      <c r="DI115" s="386"/>
      <c r="DJ115" s="425"/>
      <c r="DL115" s="68"/>
      <c r="DM115" s="70"/>
      <c r="DQ115" s="68"/>
      <c r="DR115" s="70"/>
      <c r="DS115" s="338"/>
      <c r="DT115" s="338"/>
      <c r="DU115" s="338"/>
      <c r="DW115" s="338"/>
      <c r="DX115" s="338"/>
      <c r="DY115" s="338"/>
      <c r="EA115" s="338"/>
      <c r="EB115" s="338"/>
      <c r="EC115" s="338"/>
      <c r="EE115" s="338"/>
      <c r="EF115" s="338"/>
      <c r="EG115" s="338"/>
      <c r="EI115" s="336"/>
      <c r="EJ115" s="336"/>
      <c r="EK115" s="336"/>
      <c r="EL115" s="336"/>
      <c r="EM115" s="336"/>
      <c r="EN115" s="336"/>
      <c r="EO115" s="337"/>
      <c r="EP115" s="342"/>
      <c r="EQ115" s="336"/>
      <c r="ER115" s="342"/>
      <c r="ES115" s="336"/>
      <c r="ET115" s="342"/>
      <c r="EU115" s="336"/>
      <c r="EV115" s="342"/>
      <c r="EW115" s="336"/>
      <c r="EX115" s="342"/>
      <c r="EY115" s="342"/>
      <c r="EZ115" s="342"/>
      <c r="FA115" s="337"/>
      <c r="FE115" s="338"/>
      <c r="FH115" s="338"/>
      <c r="FI115" s="338"/>
      <c r="FJ115" s="338"/>
      <c r="FK115" s="338"/>
      <c r="FL115" s="338"/>
      <c r="FM115" s="337"/>
      <c r="FN115" s="336"/>
      <c r="FO115" s="336"/>
      <c r="FP115" s="336"/>
      <c r="FQ115" s="336"/>
      <c r="FR115" s="336"/>
      <c r="FS115" s="336"/>
      <c r="FT115" s="336"/>
      <c r="FU115" s="336"/>
      <c r="FV115" s="336"/>
      <c r="FW115" s="337"/>
      <c r="FX115" s="532"/>
      <c r="FY115" s="341"/>
      <c r="FZ115" s="341"/>
      <c r="GA115" s="336"/>
      <c r="GB115" s="341"/>
      <c r="GC115" s="341"/>
      <c r="GD115" s="341"/>
      <c r="GE115" s="336"/>
      <c r="GF115" s="336"/>
      <c r="GG115" s="336"/>
      <c r="GH115" s="336"/>
      <c r="GI115" s="336"/>
      <c r="GJ115" s="337"/>
      <c r="GM115" s="338"/>
      <c r="GN115" s="338"/>
      <c r="GO115" s="338"/>
      <c r="GS115" s="338"/>
      <c r="GT115" s="338"/>
      <c r="GU115" s="338"/>
      <c r="GY115" s="338"/>
      <c r="GZ115" s="338"/>
      <c r="HA115" s="338"/>
      <c r="HE115" s="338"/>
      <c r="HF115" s="338"/>
      <c r="HG115" s="338"/>
      <c r="HN115" s="68"/>
      <c r="HO115" s="68"/>
      <c r="HP115" s="68"/>
      <c r="HQ115" s="336"/>
      <c r="HR115" s="68"/>
      <c r="HS115" s="68"/>
      <c r="HT115" s="10"/>
      <c r="HW115" s="338"/>
      <c r="HX115" s="338"/>
      <c r="HY115" s="338"/>
      <c r="IC115" s="338"/>
      <c r="ID115" s="338"/>
      <c r="IE115" s="338"/>
      <c r="II115" s="338"/>
      <c r="IJ115" s="338"/>
      <c r="IK115" s="338"/>
      <c r="IO115" s="338"/>
      <c r="IP115" s="338"/>
      <c r="IQ115" s="338"/>
      <c r="IX115" s="68"/>
      <c r="IY115" s="68"/>
      <c r="IZ115" s="68"/>
      <c r="JA115" s="68"/>
      <c r="JB115" s="68"/>
      <c r="JC115" s="68"/>
      <c r="JD115" s="10"/>
      <c r="JG115" s="338"/>
      <c r="JH115" s="338"/>
      <c r="JI115" s="338"/>
      <c r="JM115" s="338"/>
      <c r="JN115" s="338"/>
      <c r="JQ115" s="338"/>
      <c r="JR115" s="338"/>
      <c r="JS115" s="338"/>
      <c r="JW115" s="358"/>
      <c r="JX115" s="336"/>
      <c r="JY115" s="336"/>
      <c r="JZ115" s="336"/>
      <c r="KA115" s="336"/>
      <c r="KB115" s="336"/>
      <c r="KC115" s="336"/>
      <c r="KD115" s="336"/>
      <c r="KE115" s="336"/>
      <c r="KF115" s="336"/>
      <c r="KG115" s="337"/>
      <c r="KH115" s="338"/>
      <c r="KI115" s="338"/>
      <c r="KJ115" s="338"/>
      <c r="KK115" s="338"/>
      <c r="KL115" s="338"/>
      <c r="KM115" s="338"/>
      <c r="KN115" s="338"/>
      <c r="KO115" s="338"/>
      <c r="KP115" s="338"/>
      <c r="KQ115" s="338"/>
      <c r="KR115" s="338"/>
      <c r="KS115" s="338"/>
      <c r="KT115" s="338"/>
      <c r="KU115" s="338"/>
      <c r="KV115" s="338"/>
      <c r="KW115" s="337"/>
      <c r="KX115" s="336"/>
      <c r="KY115" s="336"/>
      <c r="KZ115" s="336"/>
      <c r="LA115" s="336"/>
      <c r="LB115" s="336"/>
      <c r="LC115" s="336"/>
      <c r="LD115" s="336"/>
      <c r="LE115" s="336"/>
      <c r="LF115" s="336"/>
      <c r="LG115" s="336"/>
      <c r="LH115" s="336"/>
      <c r="LI115" s="336"/>
      <c r="LJ115" s="336"/>
      <c r="LK115" s="336"/>
      <c r="LL115" s="336"/>
      <c r="LM115" s="336"/>
      <c r="LN115" s="336"/>
      <c r="LO115" s="336"/>
      <c r="LP115" s="336"/>
      <c r="LQ115" s="337"/>
      <c r="MN115" s="10"/>
      <c r="OA115" s="10"/>
    </row>
    <row r="116" spans="1:391" s="370" customFormat="1" x14ac:dyDescent="0.25">
      <c r="A116" s="68"/>
      <c r="B116" s="10"/>
      <c r="C116" s="68"/>
      <c r="D116" s="68"/>
      <c r="E116" s="68"/>
      <c r="F116" s="68"/>
      <c r="G116" s="68"/>
      <c r="H116" s="68"/>
      <c r="I116" s="68"/>
      <c r="J116" s="68"/>
      <c r="K116" s="68"/>
      <c r="L116" s="68"/>
      <c r="M116" s="68"/>
      <c r="N116" s="68"/>
      <c r="O116" s="68"/>
      <c r="P116" s="68"/>
      <c r="Q116" s="68"/>
      <c r="R116" s="68"/>
      <c r="S116" s="68"/>
      <c r="T116" s="70"/>
      <c r="AC116" s="68"/>
      <c r="AD116" s="70"/>
      <c r="AM116" s="68"/>
      <c r="AN116" s="70"/>
      <c r="AU116" s="68"/>
      <c r="AV116" s="70"/>
      <c r="BB116" s="68"/>
      <c r="BC116" s="70"/>
      <c r="BD116" s="68"/>
      <c r="BE116" s="68"/>
      <c r="BF116" s="68"/>
      <c r="BG116" s="68"/>
      <c r="BH116" s="68"/>
      <c r="BI116" s="68"/>
      <c r="BJ116" s="70"/>
      <c r="BM116" s="68"/>
      <c r="BN116" s="70"/>
      <c r="BT116" s="68"/>
      <c r="BU116" s="70"/>
      <c r="BZ116" s="10"/>
      <c r="CF116" s="10"/>
      <c r="CI116" s="389"/>
      <c r="CJ116" s="389"/>
      <c r="CK116" s="68"/>
      <c r="CL116" s="70"/>
      <c r="CO116" s="10"/>
      <c r="CU116" s="10"/>
      <c r="DA116" s="10"/>
      <c r="DB116" s="70"/>
      <c r="DC116" s="70"/>
      <c r="DF116" s="68"/>
      <c r="DG116" s="70"/>
      <c r="DH116" s="68"/>
      <c r="DI116" s="386"/>
      <c r="DJ116" s="425"/>
      <c r="DL116" s="68"/>
      <c r="DM116" s="70"/>
      <c r="DQ116" s="68"/>
      <c r="DR116" s="70"/>
      <c r="DS116" s="338"/>
      <c r="DT116" s="338"/>
      <c r="DU116" s="338"/>
      <c r="DW116" s="338"/>
      <c r="DX116" s="338"/>
      <c r="DY116" s="338"/>
      <c r="EA116" s="338"/>
      <c r="EB116" s="338"/>
      <c r="EC116" s="338"/>
      <c r="EE116" s="338"/>
      <c r="EF116" s="338"/>
      <c r="EG116" s="338"/>
      <c r="EI116" s="336"/>
      <c r="EJ116" s="336"/>
      <c r="EK116" s="336"/>
      <c r="EL116" s="336"/>
      <c r="EM116" s="336"/>
      <c r="EN116" s="336"/>
      <c r="EO116" s="337"/>
      <c r="EP116" s="342"/>
      <c r="EQ116" s="336"/>
      <c r="ER116" s="342"/>
      <c r="ES116" s="336"/>
      <c r="ET116" s="342"/>
      <c r="EU116" s="336"/>
      <c r="EV116" s="342"/>
      <c r="EW116" s="336"/>
      <c r="EX116" s="342"/>
      <c r="EY116" s="342"/>
      <c r="EZ116" s="342"/>
      <c r="FA116" s="337"/>
      <c r="FE116" s="338"/>
      <c r="FH116" s="338"/>
      <c r="FI116" s="338"/>
      <c r="FJ116" s="338"/>
      <c r="FK116" s="338"/>
      <c r="FL116" s="338"/>
      <c r="FM116" s="337"/>
      <c r="FN116" s="336"/>
      <c r="FO116" s="336"/>
      <c r="FP116" s="336"/>
      <c r="FQ116" s="336"/>
      <c r="FR116" s="336"/>
      <c r="FS116" s="336"/>
      <c r="FT116" s="336"/>
      <c r="FU116" s="336"/>
      <c r="FV116" s="336"/>
      <c r="FW116" s="337"/>
      <c r="FX116" s="532"/>
      <c r="FY116" s="341"/>
      <c r="FZ116" s="341"/>
      <c r="GA116" s="336"/>
      <c r="GB116" s="341"/>
      <c r="GC116" s="341"/>
      <c r="GD116" s="341"/>
      <c r="GE116" s="336"/>
      <c r="GF116" s="336"/>
      <c r="GG116" s="336"/>
      <c r="GH116" s="336"/>
      <c r="GI116" s="336"/>
      <c r="GJ116" s="337"/>
      <c r="GM116" s="338"/>
      <c r="GN116" s="338"/>
      <c r="GO116" s="338"/>
      <c r="GS116" s="338"/>
      <c r="GT116" s="338"/>
      <c r="GU116" s="338"/>
      <c r="GY116" s="338"/>
      <c r="GZ116" s="338"/>
      <c r="HA116" s="338"/>
      <c r="HE116" s="338"/>
      <c r="HF116" s="338"/>
      <c r="HG116" s="338"/>
      <c r="HN116" s="68"/>
      <c r="HO116" s="68"/>
      <c r="HP116" s="68"/>
      <c r="HQ116" s="336"/>
      <c r="HR116" s="68"/>
      <c r="HS116" s="68"/>
      <c r="HT116" s="10"/>
      <c r="HW116" s="338"/>
      <c r="HX116" s="338"/>
      <c r="HY116" s="338"/>
      <c r="IC116" s="338"/>
      <c r="ID116" s="338"/>
      <c r="IE116" s="338"/>
      <c r="II116" s="338"/>
      <c r="IJ116" s="338"/>
      <c r="IK116" s="338"/>
      <c r="IO116" s="338"/>
      <c r="IP116" s="338"/>
      <c r="IQ116" s="338"/>
      <c r="IX116" s="68"/>
      <c r="IY116" s="68"/>
      <c r="IZ116" s="68"/>
      <c r="JA116" s="68"/>
      <c r="JB116" s="68"/>
      <c r="JC116" s="68"/>
      <c r="JD116" s="10"/>
      <c r="JG116" s="338"/>
      <c r="JH116" s="338"/>
      <c r="JI116" s="338"/>
      <c r="JM116" s="338"/>
      <c r="JN116" s="338"/>
      <c r="JQ116" s="338"/>
      <c r="JR116" s="338"/>
      <c r="JS116" s="338"/>
      <c r="JW116" s="358"/>
      <c r="JX116" s="336"/>
      <c r="JY116" s="336"/>
      <c r="JZ116" s="336"/>
      <c r="KA116" s="336"/>
      <c r="KB116" s="336"/>
      <c r="KC116" s="336"/>
      <c r="KD116" s="336"/>
      <c r="KE116" s="336"/>
      <c r="KF116" s="336"/>
      <c r="KG116" s="337"/>
      <c r="KH116" s="338"/>
      <c r="KI116" s="338"/>
      <c r="KJ116" s="338"/>
      <c r="KK116" s="338"/>
      <c r="KL116" s="338"/>
      <c r="KM116" s="338"/>
      <c r="KN116" s="338"/>
      <c r="KO116" s="338"/>
      <c r="KP116" s="338"/>
      <c r="KQ116" s="338"/>
      <c r="KR116" s="338"/>
      <c r="KS116" s="338"/>
      <c r="KT116" s="338"/>
      <c r="KU116" s="338"/>
      <c r="KV116" s="338"/>
      <c r="KW116" s="337"/>
      <c r="KX116" s="336"/>
      <c r="KY116" s="336"/>
      <c r="KZ116" s="336"/>
      <c r="LA116" s="336"/>
      <c r="LB116" s="336"/>
      <c r="LC116" s="336"/>
      <c r="LD116" s="336"/>
      <c r="LE116" s="336"/>
      <c r="LF116" s="336"/>
      <c r="LG116" s="336"/>
      <c r="LH116" s="336"/>
      <c r="LI116" s="336"/>
      <c r="LJ116" s="336"/>
      <c r="LK116" s="336"/>
      <c r="LL116" s="336"/>
      <c r="LM116" s="336"/>
      <c r="LN116" s="336"/>
      <c r="LO116" s="336"/>
      <c r="LP116" s="336"/>
      <c r="LQ116" s="337"/>
      <c r="MN116" s="10"/>
      <c r="OA116" s="10"/>
    </row>
    <row r="117" spans="1:391" s="370" customFormat="1" x14ac:dyDescent="0.25">
      <c r="A117" s="68"/>
      <c r="B117" s="10"/>
      <c r="C117" s="68"/>
      <c r="D117" s="68"/>
      <c r="E117" s="68"/>
      <c r="F117" s="68"/>
      <c r="G117" s="68"/>
      <c r="H117" s="68"/>
      <c r="I117" s="68"/>
      <c r="J117" s="68"/>
      <c r="K117" s="68"/>
      <c r="L117" s="68"/>
      <c r="M117" s="68"/>
      <c r="N117" s="68"/>
      <c r="O117" s="68"/>
      <c r="P117" s="68"/>
      <c r="Q117" s="68"/>
      <c r="R117" s="68"/>
      <c r="S117" s="68"/>
      <c r="T117" s="70"/>
      <c r="AC117" s="68"/>
      <c r="AD117" s="70"/>
      <c r="AM117" s="68"/>
      <c r="AN117" s="70"/>
      <c r="AU117" s="68"/>
      <c r="AV117" s="70"/>
      <c r="BB117" s="68"/>
      <c r="BC117" s="70"/>
      <c r="BD117" s="68"/>
      <c r="BE117" s="68"/>
      <c r="BF117" s="68"/>
      <c r="BG117" s="68"/>
      <c r="BH117" s="68"/>
      <c r="BI117" s="68"/>
      <c r="BJ117" s="70"/>
      <c r="BM117" s="68"/>
      <c r="BN117" s="70"/>
      <c r="BT117" s="68"/>
      <c r="BU117" s="70"/>
      <c r="BZ117" s="10"/>
      <c r="CF117" s="10"/>
      <c r="CI117" s="389"/>
      <c r="CJ117" s="389"/>
      <c r="CK117" s="68"/>
      <c r="CL117" s="70"/>
      <c r="CO117" s="10"/>
      <c r="CU117" s="10"/>
      <c r="DA117" s="10"/>
      <c r="DB117" s="70"/>
      <c r="DC117" s="70"/>
      <c r="DF117" s="68"/>
      <c r="DG117" s="70"/>
      <c r="DH117" s="68"/>
      <c r="DI117" s="386"/>
      <c r="DJ117" s="425"/>
      <c r="DL117" s="68"/>
      <c r="DM117" s="70"/>
      <c r="DQ117" s="68"/>
      <c r="DR117" s="70"/>
      <c r="DS117" s="338"/>
      <c r="DT117" s="338"/>
      <c r="DU117" s="338"/>
      <c r="DW117" s="338"/>
      <c r="DX117" s="338"/>
      <c r="DY117" s="338"/>
      <c r="EA117" s="338"/>
      <c r="EB117" s="338"/>
      <c r="EC117" s="338"/>
      <c r="EE117" s="338"/>
      <c r="EF117" s="338"/>
      <c r="EG117" s="338"/>
      <c r="EI117" s="336"/>
      <c r="EJ117" s="336"/>
      <c r="EK117" s="336"/>
      <c r="EL117" s="336"/>
      <c r="EM117" s="336"/>
      <c r="EN117" s="336"/>
      <c r="EO117" s="337"/>
      <c r="EP117" s="342"/>
      <c r="EQ117" s="336"/>
      <c r="ER117" s="342"/>
      <c r="ES117" s="336"/>
      <c r="ET117" s="342"/>
      <c r="EU117" s="336"/>
      <c r="EV117" s="342"/>
      <c r="EW117" s="336"/>
      <c r="EX117" s="342"/>
      <c r="EY117" s="342"/>
      <c r="EZ117" s="342"/>
      <c r="FA117" s="337"/>
      <c r="FE117" s="338"/>
      <c r="FH117" s="338"/>
      <c r="FI117" s="338"/>
      <c r="FJ117" s="338"/>
      <c r="FK117" s="338"/>
      <c r="FL117" s="338"/>
      <c r="FM117" s="337"/>
      <c r="FN117" s="336"/>
      <c r="FO117" s="336"/>
      <c r="FP117" s="336"/>
      <c r="FQ117" s="336"/>
      <c r="FR117" s="336"/>
      <c r="FS117" s="336"/>
      <c r="FT117" s="336"/>
      <c r="FU117" s="336"/>
      <c r="FV117" s="336"/>
      <c r="FW117" s="337"/>
      <c r="FX117" s="532"/>
      <c r="FY117" s="341"/>
      <c r="FZ117" s="341"/>
      <c r="GA117" s="336"/>
      <c r="GB117" s="341"/>
      <c r="GC117" s="341"/>
      <c r="GD117" s="341"/>
      <c r="GE117" s="336"/>
      <c r="GF117" s="336"/>
      <c r="GG117" s="336"/>
      <c r="GH117" s="336"/>
      <c r="GI117" s="336"/>
      <c r="GJ117" s="337"/>
      <c r="GM117" s="338"/>
      <c r="GN117" s="338"/>
      <c r="GO117" s="338"/>
      <c r="GS117" s="338"/>
      <c r="GT117" s="338"/>
      <c r="GU117" s="338"/>
      <c r="GY117" s="338"/>
      <c r="GZ117" s="338"/>
      <c r="HA117" s="338"/>
      <c r="HE117" s="338"/>
      <c r="HF117" s="338"/>
      <c r="HG117" s="338"/>
      <c r="HN117" s="68"/>
      <c r="HO117" s="68"/>
      <c r="HP117" s="68"/>
      <c r="HQ117" s="336"/>
      <c r="HR117" s="68"/>
      <c r="HS117" s="68"/>
      <c r="HT117" s="10"/>
      <c r="HW117" s="338"/>
      <c r="HX117" s="338"/>
      <c r="HY117" s="338"/>
      <c r="IC117" s="338"/>
      <c r="ID117" s="338"/>
      <c r="IE117" s="338"/>
      <c r="II117" s="338"/>
      <c r="IJ117" s="338"/>
      <c r="IK117" s="338"/>
      <c r="IO117" s="338"/>
      <c r="IP117" s="338"/>
      <c r="IQ117" s="338"/>
      <c r="IX117" s="68"/>
      <c r="IY117" s="68"/>
      <c r="IZ117" s="68"/>
      <c r="JA117" s="68"/>
      <c r="JB117" s="68"/>
      <c r="JC117" s="68"/>
      <c r="JD117" s="10"/>
      <c r="JG117" s="338"/>
      <c r="JH117" s="338"/>
      <c r="JI117" s="338"/>
      <c r="JM117" s="338"/>
      <c r="JN117" s="338"/>
      <c r="JQ117" s="338"/>
      <c r="JR117" s="338"/>
      <c r="JS117" s="338"/>
      <c r="JW117" s="358"/>
      <c r="JX117" s="336"/>
      <c r="JY117" s="336"/>
      <c r="JZ117" s="336"/>
      <c r="KA117" s="336"/>
      <c r="KB117" s="336"/>
      <c r="KC117" s="336"/>
      <c r="KD117" s="336"/>
      <c r="KE117" s="336"/>
      <c r="KF117" s="336"/>
      <c r="KG117" s="337"/>
      <c r="KH117" s="338"/>
      <c r="KI117" s="338"/>
      <c r="KJ117" s="338"/>
      <c r="KK117" s="338"/>
      <c r="KL117" s="338"/>
      <c r="KM117" s="338"/>
      <c r="KN117" s="338"/>
      <c r="KO117" s="338"/>
      <c r="KP117" s="338"/>
      <c r="KQ117" s="338"/>
      <c r="KR117" s="338"/>
      <c r="KS117" s="338"/>
      <c r="KT117" s="338"/>
      <c r="KU117" s="338"/>
      <c r="KV117" s="338"/>
      <c r="KW117" s="337"/>
      <c r="KX117" s="336"/>
      <c r="KY117" s="336"/>
      <c r="KZ117" s="336"/>
      <c r="LA117" s="336"/>
      <c r="LB117" s="336"/>
      <c r="LC117" s="336"/>
      <c r="LD117" s="336"/>
      <c r="LE117" s="336"/>
      <c r="LF117" s="336"/>
      <c r="LG117" s="336"/>
      <c r="LH117" s="336"/>
      <c r="LI117" s="336"/>
      <c r="LJ117" s="336"/>
      <c r="LK117" s="336"/>
      <c r="LL117" s="336"/>
      <c r="LM117" s="336"/>
      <c r="LN117" s="336"/>
      <c r="LO117" s="336"/>
      <c r="LP117" s="336"/>
      <c r="LQ117" s="337"/>
      <c r="MN117" s="10"/>
      <c r="OA117" s="10"/>
    </row>
    <row r="118" spans="1:391" s="370" customFormat="1" x14ac:dyDescent="0.25">
      <c r="A118" s="68"/>
      <c r="B118" s="10"/>
      <c r="C118" s="68"/>
      <c r="D118" s="68"/>
      <c r="E118" s="68"/>
      <c r="F118" s="68"/>
      <c r="G118" s="68"/>
      <c r="H118" s="68"/>
      <c r="I118" s="68"/>
      <c r="J118" s="68"/>
      <c r="K118" s="68"/>
      <c r="L118" s="68"/>
      <c r="M118" s="68"/>
      <c r="N118" s="68"/>
      <c r="O118" s="68"/>
      <c r="P118" s="68"/>
      <c r="Q118" s="68"/>
      <c r="R118" s="68"/>
      <c r="S118" s="68"/>
      <c r="T118" s="70"/>
      <c r="AC118" s="68"/>
      <c r="AD118" s="70"/>
      <c r="AM118" s="68"/>
      <c r="AN118" s="70"/>
      <c r="AU118" s="68"/>
      <c r="AV118" s="70"/>
      <c r="BB118" s="68"/>
      <c r="BC118" s="70"/>
      <c r="BD118" s="68"/>
      <c r="BE118" s="68"/>
      <c r="BF118" s="68"/>
      <c r="BG118" s="68"/>
      <c r="BH118" s="68"/>
      <c r="BI118" s="68"/>
      <c r="BJ118" s="70"/>
      <c r="BM118" s="68"/>
      <c r="BN118" s="70"/>
      <c r="BT118" s="68"/>
      <c r="BU118" s="70"/>
      <c r="BZ118" s="10"/>
      <c r="CF118" s="10"/>
      <c r="CI118" s="389"/>
      <c r="CJ118" s="389"/>
      <c r="CK118" s="68"/>
      <c r="CL118" s="70"/>
      <c r="CO118" s="10"/>
      <c r="CU118" s="10"/>
      <c r="DA118" s="10"/>
      <c r="DB118" s="70"/>
      <c r="DC118" s="70"/>
      <c r="DF118" s="68"/>
      <c r="DG118" s="70"/>
      <c r="DH118" s="68"/>
      <c r="DI118" s="386"/>
      <c r="DJ118" s="425"/>
      <c r="DL118" s="68"/>
      <c r="DM118" s="70"/>
      <c r="DQ118" s="68"/>
      <c r="DR118" s="70"/>
      <c r="DS118" s="338"/>
      <c r="DT118" s="338"/>
      <c r="DU118" s="338"/>
      <c r="DW118" s="338"/>
      <c r="DX118" s="338"/>
      <c r="DY118" s="338"/>
      <c r="EA118" s="338"/>
      <c r="EB118" s="338"/>
      <c r="EC118" s="338"/>
      <c r="EE118" s="338"/>
      <c r="EF118" s="338"/>
      <c r="EG118" s="338"/>
      <c r="EI118" s="336"/>
      <c r="EJ118" s="336"/>
      <c r="EK118" s="336"/>
      <c r="EL118" s="336"/>
      <c r="EM118" s="336"/>
      <c r="EN118" s="336"/>
      <c r="EO118" s="337"/>
      <c r="EP118" s="342"/>
      <c r="EQ118" s="336"/>
      <c r="ER118" s="342"/>
      <c r="ES118" s="336"/>
      <c r="ET118" s="342"/>
      <c r="EU118" s="336"/>
      <c r="EV118" s="342"/>
      <c r="EW118" s="336"/>
      <c r="EX118" s="342"/>
      <c r="EY118" s="342"/>
      <c r="EZ118" s="342"/>
      <c r="FA118" s="337"/>
      <c r="FE118" s="338"/>
      <c r="FH118" s="338"/>
      <c r="FI118" s="338"/>
      <c r="FJ118" s="338"/>
      <c r="FK118" s="338"/>
      <c r="FL118" s="338"/>
      <c r="FM118" s="337"/>
      <c r="FN118" s="336"/>
      <c r="FO118" s="336"/>
      <c r="FP118" s="336"/>
      <c r="FQ118" s="336"/>
      <c r="FR118" s="336"/>
      <c r="FS118" s="336"/>
      <c r="FT118" s="336"/>
      <c r="FU118" s="336"/>
      <c r="FV118" s="336"/>
      <c r="FW118" s="337"/>
      <c r="FX118" s="532"/>
      <c r="FY118" s="341"/>
      <c r="FZ118" s="341"/>
      <c r="GA118" s="336"/>
      <c r="GB118" s="341"/>
      <c r="GC118" s="341"/>
      <c r="GD118" s="341"/>
      <c r="GE118" s="336"/>
      <c r="GF118" s="336"/>
      <c r="GG118" s="336"/>
      <c r="GH118" s="336"/>
      <c r="GI118" s="336"/>
      <c r="GJ118" s="337"/>
      <c r="GM118" s="338"/>
      <c r="GN118" s="338"/>
      <c r="GO118" s="338"/>
      <c r="GS118" s="338"/>
      <c r="GT118" s="338"/>
      <c r="GU118" s="338"/>
      <c r="GY118" s="338"/>
      <c r="GZ118" s="338"/>
      <c r="HA118" s="338"/>
      <c r="HE118" s="338"/>
      <c r="HF118" s="338"/>
      <c r="HG118" s="338"/>
      <c r="HN118" s="68"/>
      <c r="HO118" s="68"/>
      <c r="HP118" s="68"/>
      <c r="HQ118" s="336"/>
      <c r="HR118" s="68"/>
      <c r="HS118" s="68"/>
      <c r="HT118" s="10"/>
      <c r="HW118" s="338"/>
      <c r="HX118" s="338"/>
      <c r="HY118" s="338"/>
      <c r="IC118" s="338"/>
      <c r="ID118" s="338"/>
      <c r="IE118" s="338"/>
      <c r="II118" s="338"/>
      <c r="IJ118" s="338"/>
      <c r="IK118" s="338"/>
      <c r="IO118" s="338"/>
      <c r="IP118" s="338"/>
      <c r="IQ118" s="338"/>
      <c r="IX118" s="68"/>
      <c r="IY118" s="68"/>
      <c r="IZ118" s="68"/>
      <c r="JA118" s="68"/>
      <c r="JB118" s="68"/>
      <c r="JC118" s="68"/>
      <c r="JD118" s="10"/>
      <c r="JG118" s="338"/>
      <c r="JH118" s="338"/>
      <c r="JI118" s="338"/>
      <c r="JM118" s="338"/>
      <c r="JN118" s="338"/>
      <c r="JQ118" s="338"/>
      <c r="JR118" s="338"/>
      <c r="JS118" s="338"/>
      <c r="JW118" s="358"/>
      <c r="JX118" s="336"/>
      <c r="JY118" s="336"/>
      <c r="JZ118" s="336"/>
      <c r="KA118" s="336"/>
      <c r="KB118" s="336"/>
      <c r="KC118" s="336"/>
      <c r="KD118" s="336"/>
      <c r="KE118" s="336"/>
      <c r="KF118" s="336"/>
      <c r="KG118" s="337"/>
      <c r="KH118" s="338"/>
      <c r="KI118" s="338"/>
      <c r="KJ118" s="338"/>
      <c r="KK118" s="338"/>
      <c r="KL118" s="338"/>
      <c r="KM118" s="338"/>
      <c r="KN118" s="338"/>
      <c r="KO118" s="338"/>
      <c r="KP118" s="338"/>
      <c r="KQ118" s="338"/>
      <c r="KR118" s="338"/>
      <c r="KS118" s="338"/>
      <c r="KT118" s="338"/>
      <c r="KU118" s="338"/>
      <c r="KV118" s="338"/>
      <c r="KW118" s="337"/>
      <c r="KX118" s="336"/>
      <c r="KY118" s="336"/>
      <c r="KZ118" s="336"/>
      <c r="LA118" s="336"/>
      <c r="LB118" s="336"/>
      <c r="LC118" s="336"/>
      <c r="LD118" s="336"/>
      <c r="LE118" s="336"/>
      <c r="LF118" s="336"/>
      <c r="LG118" s="336"/>
      <c r="LH118" s="336"/>
      <c r="LI118" s="336"/>
      <c r="LJ118" s="336"/>
      <c r="LK118" s="336"/>
      <c r="LL118" s="336"/>
      <c r="LM118" s="336"/>
      <c r="LN118" s="336"/>
      <c r="LO118" s="336"/>
      <c r="LP118" s="336"/>
      <c r="LQ118" s="337"/>
      <c r="MN118" s="10"/>
      <c r="OA118" s="10"/>
    </row>
    <row r="119" spans="1:391" s="370" customFormat="1" x14ac:dyDescent="0.25">
      <c r="A119" s="68"/>
      <c r="B119" s="10"/>
      <c r="C119" s="68"/>
      <c r="D119" s="68"/>
      <c r="E119" s="68"/>
      <c r="F119" s="68"/>
      <c r="G119" s="68"/>
      <c r="H119" s="68"/>
      <c r="I119" s="68"/>
      <c r="J119" s="68"/>
      <c r="K119" s="68"/>
      <c r="L119" s="68"/>
      <c r="M119" s="68"/>
      <c r="N119" s="68"/>
      <c r="O119" s="68"/>
      <c r="P119" s="68"/>
      <c r="Q119" s="68"/>
      <c r="R119" s="68"/>
      <c r="S119" s="68"/>
      <c r="T119" s="70"/>
      <c r="AC119" s="68"/>
      <c r="AD119" s="70"/>
      <c r="AM119" s="68"/>
      <c r="AN119" s="70"/>
      <c r="AU119" s="68"/>
      <c r="AV119" s="70"/>
      <c r="BB119" s="68"/>
      <c r="BC119" s="70"/>
      <c r="BD119" s="68"/>
      <c r="BE119" s="68"/>
      <c r="BF119" s="68"/>
      <c r="BG119" s="68"/>
      <c r="BH119" s="68"/>
      <c r="BI119" s="68"/>
      <c r="BJ119" s="70"/>
      <c r="BM119" s="68"/>
      <c r="BN119" s="70"/>
      <c r="BT119" s="68"/>
      <c r="BU119" s="70"/>
      <c r="BZ119" s="10"/>
      <c r="CF119" s="10"/>
      <c r="CI119" s="389"/>
      <c r="CJ119" s="389"/>
      <c r="CK119" s="68"/>
      <c r="CL119" s="70"/>
      <c r="CO119" s="10"/>
      <c r="CU119" s="10"/>
      <c r="DA119" s="10"/>
      <c r="DB119" s="70"/>
      <c r="DC119" s="70"/>
      <c r="DF119" s="68"/>
      <c r="DG119" s="70"/>
      <c r="DH119" s="68"/>
      <c r="DI119" s="386"/>
      <c r="DJ119" s="425"/>
      <c r="DL119" s="68"/>
      <c r="DM119" s="70"/>
      <c r="DQ119" s="68"/>
      <c r="DR119" s="70"/>
      <c r="DS119" s="338"/>
      <c r="DT119" s="338"/>
      <c r="DU119" s="338"/>
      <c r="DW119" s="338"/>
      <c r="DX119" s="338"/>
      <c r="DY119" s="338"/>
      <c r="EA119" s="338"/>
      <c r="EB119" s="338"/>
      <c r="EC119" s="338"/>
      <c r="EE119" s="338"/>
      <c r="EF119" s="338"/>
      <c r="EG119" s="338"/>
      <c r="EI119" s="336"/>
      <c r="EJ119" s="336"/>
      <c r="EK119" s="336"/>
      <c r="EL119" s="336"/>
      <c r="EM119" s="336"/>
      <c r="EN119" s="336"/>
      <c r="EO119" s="337"/>
      <c r="EP119" s="342"/>
      <c r="EQ119" s="336"/>
      <c r="ER119" s="342"/>
      <c r="ES119" s="336"/>
      <c r="ET119" s="342"/>
      <c r="EU119" s="336"/>
      <c r="EV119" s="342"/>
      <c r="EW119" s="336"/>
      <c r="EX119" s="342"/>
      <c r="EY119" s="342"/>
      <c r="EZ119" s="342"/>
      <c r="FA119" s="337"/>
      <c r="FE119" s="338"/>
      <c r="FH119" s="338"/>
      <c r="FI119" s="338"/>
      <c r="FJ119" s="338"/>
      <c r="FK119" s="338"/>
      <c r="FL119" s="338"/>
      <c r="FM119" s="337"/>
      <c r="FN119" s="336"/>
      <c r="FO119" s="336"/>
      <c r="FP119" s="336"/>
      <c r="FQ119" s="336"/>
      <c r="FR119" s="336"/>
      <c r="FS119" s="336"/>
      <c r="FT119" s="336"/>
      <c r="FU119" s="336"/>
      <c r="FV119" s="336"/>
      <c r="FW119" s="337"/>
      <c r="FX119" s="532"/>
      <c r="FY119" s="341"/>
      <c r="FZ119" s="341"/>
      <c r="GA119" s="336"/>
      <c r="GB119" s="341"/>
      <c r="GC119" s="341"/>
      <c r="GD119" s="341"/>
      <c r="GE119" s="336"/>
      <c r="GF119" s="336"/>
      <c r="GG119" s="336"/>
      <c r="GH119" s="336"/>
      <c r="GI119" s="336"/>
      <c r="GJ119" s="337"/>
      <c r="GM119" s="338"/>
      <c r="GN119" s="338"/>
      <c r="GO119" s="338"/>
      <c r="GS119" s="338"/>
      <c r="GT119" s="338"/>
      <c r="GU119" s="338"/>
      <c r="GY119" s="338"/>
      <c r="GZ119" s="338"/>
      <c r="HA119" s="338"/>
      <c r="HE119" s="338"/>
      <c r="HF119" s="338"/>
      <c r="HG119" s="338"/>
      <c r="HN119" s="68"/>
      <c r="HO119" s="68"/>
      <c r="HP119" s="68"/>
      <c r="HQ119" s="336"/>
      <c r="HR119" s="68"/>
      <c r="HS119" s="68"/>
      <c r="HT119" s="10"/>
      <c r="HW119" s="338"/>
      <c r="HX119" s="338"/>
      <c r="HY119" s="338"/>
      <c r="IC119" s="338"/>
      <c r="ID119" s="338"/>
      <c r="IE119" s="338"/>
      <c r="II119" s="338"/>
      <c r="IJ119" s="338"/>
      <c r="IK119" s="338"/>
      <c r="IO119" s="338"/>
      <c r="IP119" s="338"/>
      <c r="IQ119" s="338"/>
      <c r="IX119" s="68"/>
      <c r="IY119" s="68"/>
      <c r="IZ119" s="68"/>
      <c r="JA119" s="68"/>
      <c r="JB119" s="68"/>
      <c r="JC119" s="68"/>
      <c r="JD119" s="10"/>
      <c r="JG119" s="338"/>
      <c r="JH119" s="338"/>
      <c r="JI119" s="338"/>
      <c r="JM119" s="338"/>
      <c r="JN119" s="338"/>
      <c r="JQ119" s="338"/>
      <c r="JR119" s="338"/>
      <c r="JS119" s="338"/>
      <c r="JW119" s="358"/>
      <c r="JX119" s="336"/>
      <c r="JY119" s="336"/>
      <c r="JZ119" s="336"/>
      <c r="KA119" s="336"/>
      <c r="KB119" s="336"/>
      <c r="KC119" s="336"/>
      <c r="KD119" s="336"/>
      <c r="KE119" s="336"/>
      <c r="KF119" s="336"/>
      <c r="KG119" s="337"/>
      <c r="KH119" s="338"/>
      <c r="KI119" s="338"/>
      <c r="KJ119" s="338"/>
      <c r="KK119" s="338"/>
      <c r="KL119" s="338"/>
      <c r="KM119" s="338"/>
      <c r="KN119" s="338"/>
      <c r="KO119" s="338"/>
      <c r="KP119" s="338"/>
      <c r="KQ119" s="338"/>
      <c r="KR119" s="338"/>
      <c r="KS119" s="338"/>
      <c r="KT119" s="338"/>
      <c r="KU119" s="338"/>
      <c r="KV119" s="338"/>
      <c r="KW119" s="337"/>
      <c r="KX119" s="336"/>
      <c r="KY119" s="336"/>
      <c r="KZ119" s="336"/>
      <c r="LA119" s="336"/>
      <c r="LB119" s="336"/>
      <c r="LC119" s="336"/>
      <c r="LD119" s="336"/>
      <c r="LE119" s="336"/>
      <c r="LF119" s="336"/>
      <c r="LG119" s="336"/>
      <c r="LH119" s="336"/>
      <c r="LI119" s="336"/>
      <c r="LJ119" s="336"/>
      <c r="LK119" s="336"/>
      <c r="LL119" s="336"/>
      <c r="LM119" s="336"/>
      <c r="LN119" s="336"/>
      <c r="LO119" s="336"/>
      <c r="LP119" s="336"/>
      <c r="LQ119" s="337"/>
      <c r="MN119" s="10"/>
      <c r="OA119" s="10"/>
    </row>
    <row r="120" spans="1:391" s="370" customFormat="1" x14ac:dyDescent="0.25">
      <c r="A120" s="68"/>
      <c r="B120" s="10"/>
      <c r="C120" s="68"/>
      <c r="D120" s="68"/>
      <c r="E120" s="68"/>
      <c r="F120" s="68"/>
      <c r="G120" s="68"/>
      <c r="H120" s="68"/>
      <c r="I120" s="68"/>
      <c r="J120" s="68"/>
      <c r="K120" s="68"/>
      <c r="L120" s="68"/>
      <c r="M120" s="68"/>
      <c r="N120" s="68"/>
      <c r="O120" s="68"/>
      <c r="P120" s="68"/>
      <c r="Q120" s="68"/>
      <c r="R120" s="68"/>
      <c r="S120" s="68"/>
      <c r="T120" s="70"/>
      <c r="AC120" s="68"/>
      <c r="AD120" s="70"/>
      <c r="AM120" s="68"/>
      <c r="AN120" s="70"/>
      <c r="AU120" s="68"/>
      <c r="AV120" s="70"/>
      <c r="BB120" s="68"/>
      <c r="BC120" s="70"/>
      <c r="BD120" s="68"/>
      <c r="BE120" s="68"/>
      <c r="BF120" s="68"/>
      <c r="BG120" s="68"/>
      <c r="BH120" s="68"/>
      <c r="BI120" s="68"/>
      <c r="BJ120" s="70"/>
      <c r="BM120" s="68"/>
      <c r="BN120" s="70"/>
      <c r="BT120" s="68"/>
      <c r="BU120" s="70"/>
      <c r="BZ120" s="10"/>
      <c r="CF120" s="10"/>
      <c r="CI120" s="389"/>
      <c r="CJ120" s="389"/>
      <c r="CK120" s="68"/>
      <c r="CL120" s="70"/>
      <c r="CO120" s="10"/>
      <c r="CU120" s="10"/>
      <c r="DA120" s="10"/>
      <c r="DB120" s="70"/>
      <c r="DC120" s="70"/>
      <c r="DF120" s="68"/>
      <c r="DG120" s="70"/>
      <c r="DH120" s="68"/>
      <c r="DI120" s="386"/>
      <c r="DJ120" s="425"/>
      <c r="DL120" s="68"/>
      <c r="DM120" s="70"/>
      <c r="DQ120" s="68"/>
      <c r="DR120" s="70"/>
      <c r="DS120" s="338"/>
      <c r="DT120" s="338"/>
      <c r="DU120" s="338"/>
      <c r="DW120" s="338"/>
      <c r="DX120" s="338"/>
      <c r="DY120" s="338"/>
      <c r="EA120" s="338"/>
      <c r="EB120" s="338"/>
      <c r="EC120" s="338"/>
      <c r="EE120" s="338"/>
      <c r="EF120" s="338"/>
      <c r="EG120" s="338"/>
      <c r="EI120" s="336"/>
      <c r="EJ120" s="336"/>
      <c r="EK120" s="336"/>
      <c r="EL120" s="336"/>
      <c r="EM120" s="336"/>
      <c r="EN120" s="336"/>
      <c r="EO120" s="337"/>
      <c r="EP120" s="342"/>
      <c r="EQ120" s="336"/>
      <c r="ER120" s="342"/>
      <c r="ES120" s="336"/>
      <c r="ET120" s="342"/>
      <c r="EU120" s="336"/>
      <c r="EV120" s="342"/>
      <c r="EW120" s="336"/>
      <c r="EX120" s="342"/>
      <c r="EY120" s="342"/>
      <c r="EZ120" s="342"/>
      <c r="FA120" s="337"/>
      <c r="FE120" s="338"/>
      <c r="FH120" s="338"/>
      <c r="FI120" s="338"/>
      <c r="FJ120" s="338"/>
      <c r="FK120" s="338"/>
      <c r="FL120" s="338"/>
      <c r="FM120" s="337"/>
      <c r="FN120" s="336"/>
      <c r="FO120" s="336"/>
      <c r="FP120" s="336"/>
      <c r="FQ120" s="336"/>
      <c r="FR120" s="336"/>
      <c r="FS120" s="336"/>
      <c r="FT120" s="336"/>
      <c r="FU120" s="336"/>
      <c r="FV120" s="336"/>
      <c r="FW120" s="337"/>
      <c r="FX120" s="532"/>
      <c r="FY120" s="341"/>
      <c r="FZ120" s="341"/>
      <c r="GA120" s="336"/>
      <c r="GB120" s="341"/>
      <c r="GC120" s="341"/>
      <c r="GD120" s="341"/>
      <c r="GE120" s="336"/>
      <c r="GF120" s="336"/>
      <c r="GG120" s="336"/>
      <c r="GH120" s="336"/>
      <c r="GI120" s="336"/>
      <c r="GJ120" s="337"/>
      <c r="GM120" s="338"/>
      <c r="GN120" s="338"/>
      <c r="GO120" s="338"/>
      <c r="GS120" s="338"/>
      <c r="GT120" s="338"/>
      <c r="GU120" s="338"/>
      <c r="GY120" s="338"/>
      <c r="GZ120" s="338"/>
      <c r="HA120" s="338"/>
      <c r="HE120" s="338"/>
      <c r="HF120" s="338"/>
      <c r="HG120" s="338"/>
      <c r="HN120" s="68"/>
      <c r="HO120" s="68"/>
      <c r="HP120" s="68"/>
      <c r="HQ120" s="336"/>
      <c r="HR120" s="68"/>
      <c r="HS120" s="68"/>
      <c r="HT120" s="10"/>
      <c r="HW120" s="338"/>
      <c r="HX120" s="338"/>
      <c r="HY120" s="338"/>
      <c r="IC120" s="338"/>
      <c r="ID120" s="338"/>
      <c r="IE120" s="338"/>
      <c r="II120" s="338"/>
      <c r="IJ120" s="338"/>
      <c r="IK120" s="338"/>
      <c r="IO120" s="338"/>
      <c r="IP120" s="338"/>
      <c r="IQ120" s="338"/>
      <c r="IX120" s="68"/>
      <c r="IY120" s="68"/>
      <c r="IZ120" s="68"/>
      <c r="JA120" s="68"/>
      <c r="JB120" s="68"/>
      <c r="JC120" s="68"/>
      <c r="JD120" s="10"/>
      <c r="JG120" s="338"/>
      <c r="JH120" s="338"/>
      <c r="JI120" s="338"/>
      <c r="JM120" s="338"/>
      <c r="JN120" s="338"/>
      <c r="JQ120" s="338"/>
      <c r="JR120" s="338"/>
      <c r="JS120" s="338"/>
      <c r="JW120" s="358"/>
      <c r="JX120" s="336"/>
      <c r="JY120" s="336"/>
      <c r="JZ120" s="336"/>
      <c r="KA120" s="336"/>
      <c r="KB120" s="336"/>
      <c r="KC120" s="336"/>
      <c r="KD120" s="336"/>
      <c r="KE120" s="336"/>
      <c r="KF120" s="336"/>
      <c r="KG120" s="337"/>
      <c r="KH120" s="338"/>
      <c r="KI120" s="338"/>
      <c r="KJ120" s="338"/>
      <c r="KK120" s="338"/>
      <c r="KL120" s="338"/>
      <c r="KM120" s="338"/>
      <c r="KN120" s="338"/>
      <c r="KO120" s="338"/>
      <c r="KP120" s="338"/>
      <c r="KQ120" s="338"/>
      <c r="KR120" s="338"/>
      <c r="KS120" s="338"/>
      <c r="KT120" s="338"/>
      <c r="KU120" s="338"/>
      <c r="KV120" s="338"/>
      <c r="KW120" s="337"/>
      <c r="KX120" s="336"/>
      <c r="KY120" s="336"/>
      <c r="KZ120" s="336"/>
      <c r="LA120" s="336"/>
      <c r="LB120" s="336"/>
      <c r="LC120" s="336"/>
      <c r="LD120" s="336"/>
      <c r="LE120" s="336"/>
      <c r="LF120" s="336"/>
      <c r="LG120" s="336"/>
      <c r="LH120" s="336"/>
      <c r="LI120" s="336"/>
      <c r="LJ120" s="336"/>
      <c r="LK120" s="336"/>
      <c r="LL120" s="336"/>
      <c r="LM120" s="336"/>
      <c r="LN120" s="336"/>
      <c r="LO120" s="336"/>
      <c r="LP120" s="336"/>
      <c r="LQ120" s="337"/>
      <c r="MN120" s="10"/>
      <c r="OA120" s="10"/>
    </row>
    <row r="121" spans="1:391" s="370" customFormat="1" x14ac:dyDescent="0.25">
      <c r="A121" s="68"/>
      <c r="B121" s="10"/>
      <c r="C121" s="68"/>
      <c r="D121" s="68"/>
      <c r="E121" s="68"/>
      <c r="F121" s="68"/>
      <c r="G121" s="68"/>
      <c r="H121" s="68"/>
      <c r="I121" s="68"/>
      <c r="J121" s="68"/>
      <c r="K121" s="68"/>
      <c r="L121" s="68"/>
      <c r="M121" s="68"/>
      <c r="N121" s="68"/>
      <c r="O121" s="68"/>
      <c r="P121" s="68"/>
      <c r="Q121" s="68"/>
      <c r="R121" s="68"/>
      <c r="S121" s="68"/>
      <c r="T121" s="70"/>
      <c r="AC121" s="68"/>
      <c r="AD121" s="70"/>
      <c r="AM121" s="68"/>
      <c r="AN121" s="70"/>
      <c r="AU121" s="68"/>
      <c r="AV121" s="70"/>
      <c r="BB121" s="68"/>
      <c r="BC121" s="70"/>
      <c r="BD121" s="68"/>
      <c r="BE121" s="68"/>
      <c r="BF121" s="68"/>
      <c r="BG121" s="68"/>
      <c r="BH121" s="68"/>
      <c r="BI121" s="68"/>
      <c r="BJ121" s="70"/>
      <c r="BM121" s="68"/>
      <c r="BN121" s="70"/>
      <c r="BT121" s="68"/>
      <c r="BU121" s="70"/>
      <c r="BZ121" s="10"/>
      <c r="CF121" s="10"/>
      <c r="CI121" s="389"/>
      <c r="CJ121" s="389"/>
      <c r="CK121" s="68"/>
      <c r="CL121" s="70"/>
      <c r="CO121" s="10"/>
      <c r="CU121" s="10"/>
      <c r="DA121" s="10"/>
      <c r="DB121" s="70"/>
      <c r="DC121" s="70"/>
      <c r="DF121" s="68"/>
      <c r="DG121" s="70"/>
      <c r="DH121" s="68"/>
      <c r="DI121" s="386"/>
      <c r="DJ121" s="425"/>
      <c r="DL121" s="68"/>
      <c r="DM121" s="70"/>
      <c r="DQ121" s="68"/>
      <c r="DR121" s="70"/>
      <c r="DS121" s="338"/>
      <c r="DT121" s="338"/>
      <c r="DU121" s="338"/>
      <c r="DW121" s="338"/>
      <c r="DX121" s="338"/>
      <c r="DY121" s="338"/>
      <c r="EA121" s="338"/>
      <c r="EB121" s="338"/>
      <c r="EC121" s="338"/>
      <c r="EE121" s="338"/>
      <c r="EF121" s="338"/>
      <c r="EG121" s="338"/>
      <c r="EI121" s="336"/>
      <c r="EJ121" s="336"/>
      <c r="EK121" s="336"/>
      <c r="EL121" s="336"/>
      <c r="EM121" s="336"/>
      <c r="EN121" s="336"/>
      <c r="EO121" s="337"/>
      <c r="EP121" s="342"/>
      <c r="EQ121" s="336"/>
      <c r="ER121" s="342"/>
      <c r="ES121" s="336"/>
      <c r="ET121" s="342"/>
      <c r="EU121" s="336"/>
      <c r="EV121" s="342"/>
      <c r="EW121" s="336"/>
      <c r="EX121" s="342"/>
      <c r="EY121" s="342"/>
      <c r="EZ121" s="342"/>
      <c r="FA121" s="337"/>
      <c r="FE121" s="338"/>
      <c r="FH121" s="338"/>
      <c r="FI121" s="338"/>
      <c r="FJ121" s="338"/>
      <c r="FK121" s="338"/>
      <c r="FL121" s="338"/>
      <c r="FM121" s="337"/>
      <c r="FN121" s="336"/>
      <c r="FO121" s="336"/>
      <c r="FP121" s="336"/>
      <c r="FQ121" s="336"/>
      <c r="FR121" s="336"/>
      <c r="FS121" s="336"/>
      <c r="FT121" s="336"/>
      <c r="FU121" s="336"/>
      <c r="FV121" s="336"/>
      <c r="FW121" s="337"/>
      <c r="FX121" s="532"/>
      <c r="FY121" s="341"/>
      <c r="FZ121" s="341"/>
      <c r="GA121" s="336"/>
      <c r="GB121" s="341"/>
      <c r="GC121" s="341"/>
      <c r="GD121" s="341"/>
      <c r="GE121" s="336"/>
      <c r="GF121" s="336"/>
      <c r="GG121" s="336"/>
      <c r="GH121" s="336"/>
      <c r="GI121" s="336"/>
      <c r="GJ121" s="337"/>
      <c r="GM121" s="338"/>
      <c r="GN121" s="338"/>
      <c r="GO121" s="338"/>
      <c r="GS121" s="338"/>
      <c r="GT121" s="338"/>
      <c r="GU121" s="338"/>
      <c r="GY121" s="338"/>
      <c r="GZ121" s="338"/>
      <c r="HA121" s="338"/>
      <c r="HE121" s="338"/>
      <c r="HF121" s="338"/>
      <c r="HG121" s="338"/>
      <c r="HN121" s="68"/>
      <c r="HO121" s="68"/>
      <c r="HP121" s="68"/>
      <c r="HQ121" s="336"/>
      <c r="HR121" s="68"/>
      <c r="HS121" s="68"/>
      <c r="HT121" s="10"/>
      <c r="HW121" s="338"/>
      <c r="HX121" s="338"/>
      <c r="HY121" s="338"/>
      <c r="IC121" s="338"/>
      <c r="ID121" s="338"/>
      <c r="IE121" s="338"/>
      <c r="II121" s="338"/>
      <c r="IJ121" s="338"/>
      <c r="IK121" s="338"/>
      <c r="IO121" s="338"/>
      <c r="IP121" s="338"/>
      <c r="IQ121" s="338"/>
      <c r="IX121" s="68"/>
      <c r="IY121" s="68"/>
      <c r="IZ121" s="68"/>
      <c r="JA121" s="68"/>
      <c r="JB121" s="68"/>
      <c r="JC121" s="68"/>
      <c r="JD121" s="10"/>
      <c r="JG121" s="338"/>
      <c r="JH121" s="338"/>
      <c r="JI121" s="338"/>
      <c r="JM121" s="338"/>
      <c r="JN121" s="338"/>
      <c r="JQ121" s="338"/>
      <c r="JR121" s="338"/>
      <c r="JS121" s="338"/>
      <c r="JW121" s="358"/>
      <c r="JX121" s="336"/>
      <c r="JY121" s="336"/>
      <c r="JZ121" s="336"/>
      <c r="KA121" s="336"/>
      <c r="KB121" s="336"/>
      <c r="KC121" s="336"/>
      <c r="KD121" s="336"/>
      <c r="KE121" s="336"/>
      <c r="KF121" s="336"/>
      <c r="KG121" s="337"/>
      <c r="KH121" s="338"/>
      <c r="KI121" s="338"/>
      <c r="KJ121" s="338"/>
      <c r="KK121" s="338"/>
      <c r="KL121" s="338"/>
      <c r="KM121" s="338"/>
      <c r="KN121" s="338"/>
      <c r="KO121" s="338"/>
      <c r="KP121" s="338"/>
      <c r="KQ121" s="338"/>
      <c r="KR121" s="338"/>
      <c r="KS121" s="338"/>
      <c r="KT121" s="338"/>
      <c r="KU121" s="338"/>
      <c r="KV121" s="338"/>
      <c r="KW121" s="337"/>
      <c r="KX121" s="336"/>
      <c r="KY121" s="336"/>
      <c r="KZ121" s="336"/>
      <c r="LA121" s="336"/>
      <c r="LB121" s="336"/>
      <c r="LC121" s="336"/>
      <c r="LD121" s="336"/>
      <c r="LE121" s="336"/>
      <c r="LF121" s="336"/>
      <c r="LG121" s="336"/>
      <c r="LH121" s="336"/>
      <c r="LI121" s="336"/>
      <c r="LJ121" s="336"/>
      <c r="LK121" s="336"/>
      <c r="LL121" s="336"/>
      <c r="LM121" s="336"/>
      <c r="LN121" s="336"/>
      <c r="LO121" s="336"/>
      <c r="LP121" s="336"/>
      <c r="LQ121" s="337"/>
      <c r="MN121" s="10"/>
      <c r="OA121" s="10"/>
    </row>
    <row r="122" spans="1:391" s="370" customFormat="1" x14ac:dyDescent="0.25">
      <c r="A122" s="68"/>
      <c r="B122" s="10"/>
      <c r="C122" s="68"/>
      <c r="D122" s="68"/>
      <c r="E122" s="68"/>
      <c r="F122" s="68"/>
      <c r="G122" s="68"/>
      <c r="H122" s="68"/>
      <c r="I122" s="68"/>
      <c r="J122" s="68"/>
      <c r="K122" s="68"/>
      <c r="L122" s="68"/>
      <c r="M122" s="68"/>
      <c r="N122" s="68"/>
      <c r="O122" s="68"/>
      <c r="P122" s="68"/>
      <c r="Q122" s="68"/>
      <c r="R122" s="68"/>
      <c r="S122" s="68"/>
      <c r="T122" s="70"/>
      <c r="AC122" s="68"/>
      <c r="AD122" s="70"/>
      <c r="AM122" s="68"/>
      <c r="AN122" s="70"/>
      <c r="AU122" s="68"/>
      <c r="AV122" s="70"/>
      <c r="BB122" s="68"/>
      <c r="BC122" s="70"/>
      <c r="BD122" s="68"/>
      <c r="BE122" s="68"/>
      <c r="BF122" s="68"/>
      <c r="BG122" s="68"/>
      <c r="BH122" s="68"/>
      <c r="BI122" s="68"/>
      <c r="BJ122" s="70"/>
      <c r="BM122" s="68"/>
      <c r="BN122" s="70"/>
      <c r="BT122" s="68"/>
      <c r="BU122" s="70"/>
      <c r="BZ122" s="10"/>
      <c r="CF122" s="10"/>
      <c r="CI122" s="389"/>
      <c r="CJ122" s="389"/>
      <c r="CK122" s="68"/>
      <c r="CL122" s="70"/>
      <c r="CO122" s="10"/>
      <c r="CU122" s="10"/>
      <c r="DA122" s="10"/>
      <c r="DB122" s="70"/>
      <c r="DC122" s="70"/>
      <c r="DF122" s="68"/>
      <c r="DG122" s="70"/>
      <c r="DH122" s="68"/>
      <c r="DI122" s="386"/>
      <c r="DJ122" s="425"/>
      <c r="DL122" s="68"/>
      <c r="DM122" s="70"/>
      <c r="DQ122" s="68"/>
      <c r="DR122" s="70"/>
      <c r="DS122" s="338"/>
      <c r="DT122" s="338"/>
      <c r="DU122" s="338"/>
      <c r="DW122" s="338"/>
      <c r="DX122" s="338"/>
      <c r="DY122" s="338"/>
      <c r="EA122" s="338"/>
      <c r="EB122" s="338"/>
      <c r="EC122" s="338"/>
      <c r="EE122" s="338"/>
      <c r="EF122" s="338"/>
      <c r="EG122" s="338"/>
      <c r="EI122" s="336"/>
      <c r="EJ122" s="336"/>
      <c r="EK122" s="336"/>
      <c r="EL122" s="336"/>
      <c r="EM122" s="336"/>
      <c r="EN122" s="336"/>
      <c r="EO122" s="337"/>
      <c r="EP122" s="342"/>
      <c r="EQ122" s="336"/>
      <c r="ER122" s="342"/>
      <c r="ES122" s="336"/>
      <c r="ET122" s="342"/>
      <c r="EU122" s="336"/>
      <c r="EV122" s="342"/>
      <c r="EW122" s="336"/>
      <c r="EX122" s="342"/>
      <c r="EY122" s="342"/>
      <c r="EZ122" s="342"/>
      <c r="FA122" s="337"/>
      <c r="FE122" s="338"/>
      <c r="FH122" s="338"/>
      <c r="FI122" s="338"/>
      <c r="FJ122" s="338"/>
      <c r="FK122" s="338"/>
      <c r="FL122" s="338"/>
      <c r="FM122" s="337"/>
      <c r="FN122" s="336"/>
      <c r="FO122" s="336"/>
      <c r="FP122" s="336"/>
      <c r="FQ122" s="336"/>
      <c r="FR122" s="336"/>
      <c r="FS122" s="336"/>
      <c r="FT122" s="336"/>
      <c r="FU122" s="336"/>
      <c r="FV122" s="336"/>
      <c r="FW122" s="337"/>
      <c r="FX122" s="532"/>
      <c r="FY122" s="341"/>
      <c r="FZ122" s="341"/>
      <c r="GA122" s="336"/>
      <c r="GB122" s="341"/>
      <c r="GC122" s="341"/>
      <c r="GD122" s="341"/>
      <c r="GE122" s="336"/>
      <c r="GF122" s="336"/>
      <c r="GG122" s="336"/>
      <c r="GH122" s="336"/>
      <c r="GI122" s="336"/>
      <c r="GJ122" s="337"/>
      <c r="GM122" s="338"/>
      <c r="GN122" s="338"/>
      <c r="GO122" s="338"/>
      <c r="GS122" s="338"/>
      <c r="GT122" s="338"/>
      <c r="GU122" s="338"/>
      <c r="GY122" s="338"/>
      <c r="GZ122" s="338"/>
      <c r="HA122" s="338"/>
      <c r="HE122" s="338"/>
      <c r="HF122" s="338"/>
      <c r="HG122" s="338"/>
      <c r="HN122" s="68"/>
      <c r="HO122" s="68"/>
      <c r="HP122" s="68"/>
      <c r="HQ122" s="336"/>
      <c r="HR122" s="68"/>
      <c r="HS122" s="68"/>
      <c r="HT122" s="10"/>
      <c r="HW122" s="338"/>
      <c r="HX122" s="338"/>
      <c r="HY122" s="338"/>
      <c r="IC122" s="338"/>
      <c r="ID122" s="338"/>
      <c r="IE122" s="338"/>
      <c r="II122" s="338"/>
      <c r="IJ122" s="338"/>
      <c r="IK122" s="338"/>
      <c r="IO122" s="338"/>
      <c r="IP122" s="338"/>
      <c r="IQ122" s="338"/>
      <c r="IX122" s="68"/>
      <c r="IY122" s="68"/>
      <c r="IZ122" s="68"/>
      <c r="JA122" s="68"/>
      <c r="JB122" s="68"/>
      <c r="JC122" s="68"/>
      <c r="JD122" s="10"/>
      <c r="JG122" s="338"/>
      <c r="JH122" s="338"/>
      <c r="JI122" s="338"/>
      <c r="JM122" s="338"/>
      <c r="JN122" s="338"/>
      <c r="JQ122" s="338"/>
      <c r="JR122" s="338"/>
      <c r="JS122" s="338"/>
      <c r="JW122" s="358"/>
      <c r="JX122" s="336"/>
      <c r="JY122" s="336"/>
      <c r="JZ122" s="336"/>
      <c r="KA122" s="336"/>
      <c r="KB122" s="336"/>
      <c r="KC122" s="336"/>
      <c r="KD122" s="336"/>
      <c r="KE122" s="336"/>
      <c r="KF122" s="336"/>
      <c r="KG122" s="337"/>
      <c r="KH122" s="338"/>
      <c r="KI122" s="338"/>
      <c r="KJ122" s="338"/>
      <c r="KK122" s="338"/>
      <c r="KL122" s="338"/>
      <c r="KM122" s="338"/>
      <c r="KN122" s="338"/>
      <c r="KO122" s="338"/>
      <c r="KP122" s="338"/>
      <c r="KQ122" s="338"/>
      <c r="KR122" s="338"/>
      <c r="KS122" s="338"/>
      <c r="KT122" s="338"/>
      <c r="KU122" s="338"/>
      <c r="KV122" s="338"/>
      <c r="KW122" s="337"/>
      <c r="KX122" s="336"/>
      <c r="KY122" s="336"/>
      <c r="KZ122" s="336"/>
      <c r="LA122" s="336"/>
      <c r="LB122" s="336"/>
      <c r="LC122" s="336"/>
      <c r="LD122" s="336"/>
      <c r="LE122" s="336"/>
      <c r="LF122" s="336"/>
      <c r="LG122" s="336"/>
      <c r="LH122" s="336"/>
      <c r="LI122" s="336"/>
      <c r="LJ122" s="336"/>
      <c r="LK122" s="336"/>
      <c r="LL122" s="336"/>
      <c r="LM122" s="336"/>
      <c r="LN122" s="336"/>
      <c r="LO122" s="336"/>
      <c r="LP122" s="336"/>
      <c r="LQ122" s="337"/>
      <c r="MN122" s="10"/>
      <c r="OA122" s="10"/>
    </row>
    <row r="123" spans="1:391" s="370" customFormat="1" x14ac:dyDescent="0.25">
      <c r="A123" s="68"/>
      <c r="B123" s="10"/>
      <c r="C123" s="68"/>
      <c r="D123" s="68"/>
      <c r="E123" s="68"/>
      <c r="F123" s="68"/>
      <c r="G123" s="68"/>
      <c r="H123" s="68"/>
      <c r="I123" s="68"/>
      <c r="J123" s="68"/>
      <c r="K123" s="68"/>
      <c r="L123" s="68"/>
      <c r="M123" s="68"/>
      <c r="N123" s="68"/>
      <c r="O123" s="68"/>
      <c r="P123" s="68"/>
      <c r="Q123" s="68"/>
      <c r="R123" s="68"/>
      <c r="S123" s="68"/>
      <c r="T123" s="70"/>
      <c r="AC123" s="68"/>
      <c r="AD123" s="70"/>
      <c r="AM123" s="68"/>
      <c r="AN123" s="70"/>
      <c r="AU123" s="68"/>
      <c r="AV123" s="70"/>
      <c r="BB123" s="68"/>
      <c r="BC123" s="70"/>
      <c r="BD123" s="68"/>
      <c r="BE123" s="68"/>
      <c r="BF123" s="68"/>
      <c r="BG123" s="68"/>
      <c r="BH123" s="68"/>
      <c r="BI123" s="68"/>
      <c r="BJ123" s="70"/>
      <c r="BM123" s="68"/>
      <c r="BN123" s="70"/>
      <c r="BT123" s="68"/>
      <c r="BU123" s="70"/>
      <c r="BZ123" s="10"/>
      <c r="CF123" s="10"/>
      <c r="CI123" s="389"/>
      <c r="CJ123" s="389"/>
      <c r="CK123" s="68"/>
      <c r="CL123" s="70"/>
      <c r="CO123" s="10"/>
      <c r="CU123" s="10"/>
      <c r="DA123" s="10"/>
      <c r="DB123" s="70"/>
      <c r="DC123" s="70"/>
      <c r="DF123" s="68"/>
      <c r="DG123" s="70"/>
      <c r="DH123" s="68"/>
      <c r="DI123" s="386"/>
      <c r="DJ123" s="425"/>
      <c r="DL123" s="68"/>
      <c r="DM123" s="70"/>
      <c r="DQ123" s="68"/>
      <c r="DR123" s="70"/>
      <c r="DS123" s="338"/>
      <c r="DT123" s="338"/>
      <c r="DU123" s="338"/>
      <c r="DW123" s="338"/>
      <c r="DX123" s="338"/>
      <c r="DY123" s="338"/>
      <c r="EA123" s="338"/>
      <c r="EB123" s="338"/>
      <c r="EC123" s="338"/>
      <c r="EE123" s="338"/>
      <c r="EF123" s="338"/>
      <c r="EG123" s="338"/>
      <c r="EI123" s="336"/>
      <c r="EJ123" s="336"/>
      <c r="EK123" s="336"/>
      <c r="EL123" s="336"/>
      <c r="EM123" s="336"/>
      <c r="EN123" s="336"/>
      <c r="EO123" s="337"/>
      <c r="EP123" s="342"/>
      <c r="EQ123" s="336"/>
      <c r="ER123" s="342"/>
      <c r="ES123" s="336"/>
      <c r="ET123" s="342"/>
      <c r="EU123" s="336"/>
      <c r="EV123" s="342"/>
      <c r="EW123" s="336"/>
      <c r="EX123" s="342"/>
      <c r="EY123" s="342"/>
      <c r="EZ123" s="342"/>
      <c r="FA123" s="337"/>
      <c r="FE123" s="338"/>
      <c r="FH123" s="338"/>
      <c r="FI123" s="338"/>
      <c r="FJ123" s="338"/>
      <c r="FK123" s="338"/>
      <c r="FL123" s="338"/>
      <c r="FM123" s="337"/>
      <c r="FN123" s="336"/>
      <c r="FO123" s="336"/>
      <c r="FP123" s="336"/>
      <c r="FQ123" s="336"/>
      <c r="FR123" s="336"/>
      <c r="FS123" s="336"/>
      <c r="FT123" s="336"/>
      <c r="FU123" s="336"/>
      <c r="FV123" s="336"/>
      <c r="FW123" s="337"/>
      <c r="FX123" s="532"/>
      <c r="FY123" s="341"/>
      <c r="FZ123" s="341"/>
      <c r="GA123" s="336"/>
      <c r="GB123" s="341"/>
      <c r="GC123" s="341"/>
      <c r="GD123" s="341"/>
      <c r="GE123" s="336"/>
      <c r="GF123" s="336"/>
      <c r="GG123" s="336"/>
      <c r="GH123" s="336"/>
      <c r="GI123" s="336"/>
      <c r="GJ123" s="337"/>
      <c r="GM123" s="338"/>
      <c r="GN123" s="338"/>
      <c r="GO123" s="338"/>
      <c r="GS123" s="338"/>
      <c r="GT123" s="338"/>
      <c r="GU123" s="338"/>
      <c r="GY123" s="338"/>
      <c r="GZ123" s="338"/>
      <c r="HA123" s="338"/>
      <c r="HE123" s="338"/>
      <c r="HF123" s="338"/>
      <c r="HG123" s="338"/>
      <c r="HN123" s="68"/>
      <c r="HO123" s="68"/>
      <c r="HP123" s="68"/>
      <c r="HQ123" s="336"/>
      <c r="HR123" s="68"/>
      <c r="HS123" s="68"/>
      <c r="HT123" s="10"/>
      <c r="HW123" s="338"/>
      <c r="HX123" s="338"/>
      <c r="HY123" s="338"/>
      <c r="IC123" s="338"/>
      <c r="ID123" s="338"/>
      <c r="IE123" s="338"/>
      <c r="II123" s="338"/>
      <c r="IJ123" s="338"/>
      <c r="IK123" s="338"/>
      <c r="IO123" s="338"/>
      <c r="IP123" s="338"/>
      <c r="IQ123" s="338"/>
      <c r="IX123" s="68"/>
      <c r="IY123" s="68"/>
      <c r="IZ123" s="68"/>
      <c r="JA123" s="68"/>
      <c r="JB123" s="68"/>
      <c r="JC123" s="68"/>
      <c r="JD123" s="10"/>
      <c r="JG123" s="338"/>
      <c r="JH123" s="338"/>
      <c r="JI123" s="338"/>
      <c r="JM123" s="338"/>
      <c r="JN123" s="338"/>
      <c r="JQ123" s="338"/>
      <c r="JR123" s="338"/>
      <c r="JS123" s="338"/>
      <c r="JW123" s="358"/>
      <c r="JX123" s="336"/>
      <c r="JY123" s="336"/>
      <c r="JZ123" s="336"/>
      <c r="KA123" s="336"/>
      <c r="KB123" s="336"/>
      <c r="KC123" s="336"/>
      <c r="KD123" s="336"/>
      <c r="KE123" s="336"/>
      <c r="KF123" s="336"/>
      <c r="KG123" s="337"/>
      <c r="KH123" s="338"/>
      <c r="KI123" s="338"/>
      <c r="KJ123" s="338"/>
      <c r="KK123" s="338"/>
      <c r="KL123" s="338"/>
      <c r="KM123" s="338"/>
      <c r="KN123" s="338"/>
      <c r="KO123" s="338"/>
      <c r="KP123" s="338"/>
      <c r="KQ123" s="338"/>
      <c r="KR123" s="338"/>
      <c r="KS123" s="338"/>
      <c r="KT123" s="338"/>
      <c r="KU123" s="338"/>
      <c r="KV123" s="338"/>
      <c r="KW123" s="337"/>
      <c r="KX123" s="336"/>
      <c r="KY123" s="336"/>
      <c r="KZ123" s="336"/>
      <c r="LA123" s="336"/>
      <c r="LB123" s="336"/>
      <c r="LC123" s="336"/>
      <c r="LD123" s="336"/>
      <c r="LE123" s="336"/>
      <c r="LF123" s="336"/>
      <c r="LG123" s="336"/>
      <c r="LH123" s="336"/>
      <c r="LI123" s="336"/>
      <c r="LJ123" s="336"/>
      <c r="LK123" s="336"/>
      <c r="LL123" s="336"/>
      <c r="LM123" s="336"/>
      <c r="LN123" s="336"/>
      <c r="LO123" s="336"/>
      <c r="LP123" s="336"/>
      <c r="LQ123" s="337"/>
      <c r="MN123" s="10"/>
      <c r="OA123" s="10"/>
    </row>
    <row r="124" spans="1:391" s="370" customFormat="1" x14ac:dyDescent="0.25">
      <c r="A124" s="68"/>
      <c r="B124" s="10"/>
      <c r="C124" s="68"/>
      <c r="D124" s="68"/>
      <c r="E124" s="68"/>
      <c r="F124" s="68"/>
      <c r="G124" s="68"/>
      <c r="H124" s="68"/>
      <c r="I124" s="68"/>
      <c r="J124" s="68"/>
      <c r="K124" s="68"/>
      <c r="L124" s="68"/>
      <c r="M124" s="68"/>
      <c r="N124" s="68"/>
      <c r="O124" s="68"/>
      <c r="P124" s="68"/>
      <c r="Q124" s="68"/>
      <c r="R124" s="68"/>
      <c r="S124" s="68"/>
      <c r="T124" s="70"/>
      <c r="AC124" s="68"/>
      <c r="AD124" s="70"/>
      <c r="AM124" s="68"/>
      <c r="AN124" s="70"/>
      <c r="AU124" s="68"/>
      <c r="AV124" s="70"/>
      <c r="BB124" s="68"/>
      <c r="BC124" s="70"/>
      <c r="BD124" s="68"/>
      <c r="BE124" s="68"/>
      <c r="BF124" s="68"/>
      <c r="BG124" s="68"/>
      <c r="BH124" s="68"/>
      <c r="BI124" s="68"/>
      <c r="BJ124" s="70"/>
      <c r="BM124" s="68"/>
      <c r="BN124" s="70"/>
      <c r="BT124" s="68"/>
      <c r="BU124" s="70"/>
      <c r="BZ124" s="10"/>
      <c r="CF124" s="10"/>
      <c r="CI124" s="389"/>
      <c r="CJ124" s="389"/>
      <c r="CK124" s="68"/>
      <c r="CL124" s="70"/>
      <c r="CO124" s="10"/>
      <c r="CU124" s="10"/>
      <c r="DA124" s="10"/>
      <c r="DB124" s="70"/>
      <c r="DC124" s="70"/>
      <c r="DF124" s="68"/>
      <c r="DG124" s="70"/>
      <c r="DH124" s="68"/>
      <c r="DI124" s="386"/>
      <c r="DJ124" s="425"/>
      <c r="DL124" s="68"/>
      <c r="DM124" s="70"/>
      <c r="DQ124" s="68"/>
      <c r="DR124" s="70"/>
      <c r="DS124" s="338"/>
      <c r="DT124" s="338"/>
      <c r="DU124" s="338"/>
      <c r="DW124" s="338"/>
      <c r="DX124" s="338"/>
      <c r="DY124" s="338"/>
      <c r="EA124" s="338"/>
      <c r="EB124" s="338"/>
      <c r="EC124" s="338"/>
      <c r="EE124" s="338"/>
      <c r="EF124" s="338"/>
      <c r="EG124" s="338"/>
      <c r="EI124" s="336"/>
      <c r="EJ124" s="336"/>
      <c r="EK124" s="336"/>
      <c r="EL124" s="336"/>
      <c r="EM124" s="336"/>
      <c r="EN124" s="336"/>
      <c r="EO124" s="337"/>
      <c r="EP124" s="342"/>
      <c r="EQ124" s="336"/>
      <c r="ER124" s="342"/>
      <c r="ES124" s="336"/>
      <c r="ET124" s="342"/>
      <c r="EU124" s="336"/>
      <c r="EV124" s="342"/>
      <c r="EW124" s="336"/>
      <c r="EX124" s="342"/>
      <c r="EY124" s="342"/>
      <c r="EZ124" s="342"/>
      <c r="FA124" s="337"/>
      <c r="FE124" s="338"/>
      <c r="FH124" s="338"/>
      <c r="FI124" s="338"/>
      <c r="FJ124" s="338"/>
      <c r="FK124" s="338"/>
      <c r="FL124" s="338"/>
      <c r="FM124" s="337"/>
      <c r="FN124" s="336"/>
      <c r="FO124" s="336"/>
      <c r="FP124" s="336"/>
      <c r="FQ124" s="336"/>
      <c r="FR124" s="336"/>
      <c r="FS124" s="336"/>
      <c r="FT124" s="336"/>
      <c r="FU124" s="336"/>
      <c r="FV124" s="336"/>
      <c r="FW124" s="337"/>
      <c r="FX124" s="532"/>
      <c r="FY124" s="341"/>
      <c r="FZ124" s="341"/>
      <c r="GA124" s="336"/>
      <c r="GB124" s="341"/>
      <c r="GC124" s="341"/>
      <c r="GD124" s="341"/>
      <c r="GE124" s="336"/>
      <c r="GF124" s="336"/>
      <c r="GG124" s="336"/>
      <c r="GH124" s="336"/>
      <c r="GI124" s="336"/>
      <c r="GJ124" s="337"/>
      <c r="GM124" s="338"/>
      <c r="GN124" s="338"/>
      <c r="GO124" s="338"/>
      <c r="GS124" s="338"/>
      <c r="GT124" s="338"/>
      <c r="GU124" s="338"/>
      <c r="GY124" s="338"/>
      <c r="GZ124" s="338"/>
      <c r="HA124" s="338"/>
      <c r="HE124" s="338"/>
      <c r="HF124" s="338"/>
      <c r="HG124" s="338"/>
      <c r="HN124" s="68"/>
      <c r="HO124" s="68"/>
      <c r="HP124" s="68"/>
      <c r="HQ124" s="336"/>
      <c r="HR124" s="68"/>
      <c r="HS124" s="68"/>
      <c r="HT124" s="10"/>
      <c r="HW124" s="338"/>
      <c r="HX124" s="338"/>
      <c r="HY124" s="338"/>
      <c r="IC124" s="338"/>
      <c r="ID124" s="338"/>
      <c r="IE124" s="338"/>
      <c r="II124" s="338"/>
      <c r="IJ124" s="338"/>
      <c r="IK124" s="338"/>
      <c r="IO124" s="338"/>
      <c r="IP124" s="338"/>
      <c r="IQ124" s="338"/>
      <c r="IX124" s="68"/>
      <c r="IY124" s="68"/>
      <c r="IZ124" s="68"/>
      <c r="JA124" s="68"/>
      <c r="JB124" s="68"/>
      <c r="JC124" s="68"/>
      <c r="JD124" s="10"/>
      <c r="JG124" s="338"/>
      <c r="JH124" s="338"/>
      <c r="JI124" s="338"/>
      <c r="JM124" s="338"/>
      <c r="JN124" s="338"/>
      <c r="JQ124" s="338"/>
      <c r="JR124" s="338"/>
      <c r="JS124" s="338"/>
      <c r="JW124" s="358"/>
      <c r="JX124" s="336"/>
      <c r="JY124" s="336"/>
      <c r="JZ124" s="336"/>
      <c r="KA124" s="336"/>
      <c r="KB124" s="336"/>
      <c r="KC124" s="336"/>
      <c r="KD124" s="336"/>
      <c r="KE124" s="336"/>
      <c r="KF124" s="336"/>
      <c r="KG124" s="337"/>
      <c r="KH124" s="338"/>
      <c r="KI124" s="338"/>
      <c r="KJ124" s="338"/>
      <c r="KK124" s="338"/>
      <c r="KL124" s="338"/>
      <c r="KM124" s="338"/>
      <c r="KN124" s="338"/>
      <c r="KO124" s="338"/>
      <c r="KP124" s="338"/>
      <c r="KQ124" s="338"/>
      <c r="KR124" s="338"/>
      <c r="KS124" s="338"/>
      <c r="KT124" s="338"/>
      <c r="KU124" s="338"/>
      <c r="KV124" s="338"/>
      <c r="KW124" s="337"/>
      <c r="KX124" s="336"/>
      <c r="KY124" s="336"/>
      <c r="KZ124" s="336"/>
      <c r="LA124" s="336"/>
      <c r="LB124" s="336"/>
      <c r="LC124" s="336"/>
      <c r="LD124" s="336"/>
      <c r="LE124" s="336"/>
      <c r="LF124" s="336"/>
      <c r="LG124" s="336"/>
      <c r="LH124" s="336"/>
      <c r="LI124" s="336"/>
      <c r="LJ124" s="336"/>
      <c r="LK124" s="336"/>
      <c r="LL124" s="336"/>
      <c r="LM124" s="336"/>
      <c r="LN124" s="336"/>
      <c r="LO124" s="336"/>
      <c r="LP124" s="336"/>
      <c r="LQ124" s="337"/>
      <c r="MN124" s="10"/>
      <c r="OA124" s="10"/>
    </row>
    <row r="125" spans="1:391" s="370" customFormat="1" x14ac:dyDescent="0.25">
      <c r="A125" s="68"/>
      <c r="B125" s="10"/>
      <c r="C125" s="68"/>
      <c r="D125" s="68"/>
      <c r="E125" s="68"/>
      <c r="F125" s="68"/>
      <c r="G125" s="68"/>
      <c r="H125" s="68"/>
      <c r="I125" s="68"/>
      <c r="J125" s="68"/>
      <c r="K125" s="68"/>
      <c r="L125" s="68"/>
      <c r="M125" s="68"/>
      <c r="N125" s="68"/>
      <c r="O125" s="68"/>
      <c r="P125" s="68"/>
      <c r="Q125" s="68"/>
      <c r="R125" s="68"/>
      <c r="S125" s="68"/>
      <c r="T125" s="70"/>
      <c r="AC125" s="68"/>
      <c r="AD125" s="70"/>
      <c r="AM125" s="68"/>
      <c r="AN125" s="70"/>
      <c r="AU125" s="68"/>
      <c r="AV125" s="70"/>
      <c r="BB125" s="68"/>
      <c r="BC125" s="70"/>
      <c r="BD125" s="68"/>
      <c r="BE125" s="68"/>
      <c r="BF125" s="68"/>
      <c r="BG125" s="68"/>
      <c r="BH125" s="68"/>
      <c r="BI125" s="68"/>
      <c r="BJ125" s="70"/>
      <c r="BM125" s="68"/>
      <c r="BN125" s="70"/>
      <c r="BT125" s="68"/>
      <c r="BU125" s="70"/>
      <c r="BZ125" s="10"/>
      <c r="CF125" s="10"/>
      <c r="CI125" s="389"/>
      <c r="CJ125" s="389"/>
      <c r="CK125" s="68"/>
      <c r="CL125" s="70"/>
      <c r="CO125" s="10"/>
      <c r="CU125" s="10"/>
      <c r="DA125" s="10"/>
      <c r="DB125" s="70"/>
      <c r="DC125" s="70"/>
      <c r="DF125" s="68"/>
      <c r="DG125" s="70"/>
      <c r="DH125" s="68"/>
      <c r="DI125" s="386"/>
      <c r="DJ125" s="425"/>
      <c r="DL125" s="68"/>
      <c r="DM125" s="70"/>
      <c r="DQ125" s="68"/>
      <c r="DR125" s="70"/>
      <c r="DS125" s="338"/>
      <c r="DT125" s="338"/>
      <c r="DU125" s="338"/>
      <c r="DW125" s="338"/>
      <c r="DX125" s="338"/>
      <c r="DY125" s="338"/>
      <c r="EA125" s="338"/>
      <c r="EB125" s="338"/>
      <c r="EC125" s="338"/>
      <c r="EE125" s="338"/>
      <c r="EF125" s="338"/>
      <c r="EG125" s="338"/>
      <c r="EI125" s="336"/>
      <c r="EJ125" s="336"/>
      <c r="EK125" s="336"/>
      <c r="EL125" s="336"/>
      <c r="EM125" s="336"/>
      <c r="EN125" s="336"/>
      <c r="EO125" s="337"/>
      <c r="EP125" s="342"/>
      <c r="EQ125" s="336"/>
      <c r="ER125" s="342"/>
      <c r="ES125" s="336"/>
      <c r="ET125" s="342"/>
      <c r="EU125" s="336"/>
      <c r="EV125" s="342"/>
      <c r="EW125" s="336"/>
      <c r="EX125" s="342"/>
      <c r="EY125" s="342"/>
      <c r="EZ125" s="342"/>
      <c r="FA125" s="337"/>
      <c r="FE125" s="338"/>
      <c r="FH125" s="338"/>
      <c r="FI125" s="338"/>
      <c r="FJ125" s="338"/>
      <c r="FK125" s="338"/>
      <c r="FL125" s="338"/>
      <c r="FM125" s="337"/>
      <c r="FN125" s="336"/>
      <c r="FO125" s="336"/>
      <c r="FP125" s="336"/>
      <c r="FQ125" s="336"/>
      <c r="FR125" s="336"/>
      <c r="FS125" s="336"/>
      <c r="FT125" s="336"/>
      <c r="FU125" s="336"/>
      <c r="FV125" s="336"/>
      <c r="FW125" s="337"/>
      <c r="FX125" s="532"/>
      <c r="FY125" s="341"/>
      <c r="FZ125" s="341"/>
      <c r="GA125" s="336"/>
      <c r="GB125" s="341"/>
      <c r="GC125" s="341"/>
      <c r="GD125" s="341"/>
      <c r="GE125" s="336"/>
      <c r="GF125" s="336"/>
      <c r="GG125" s="336"/>
      <c r="GH125" s="336"/>
      <c r="GI125" s="336"/>
      <c r="GJ125" s="337"/>
      <c r="GM125" s="338"/>
      <c r="GN125" s="338"/>
      <c r="GO125" s="338"/>
      <c r="GS125" s="338"/>
      <c r="GT125" s="338"/>
      <c r="GU125" s="338"/>
      <c r="GY125" s="338"/>
      <c r="GZ125" s="338"/>
      <c r="HA125" s="338"/>
      <c r="HE125" s="338"/>
      <c r="HF125" s="338"/>
      <c r="HG125" s="338"/>
      <c r="HN125" s="68"/>
      <c r="HO125" s="68"/>
      <c r="HP125" s="68"/>
      <c r="HQ125" s="336"/>
      <c r="HR125" s="68"/>
      <c r="HS125" s="68"/>
      <c r="HT125" s="10"/>
      <c r="HW125" s="338"/>
      <c r="HX125" s="338"/>
      <c r="HY125" s="338"/>
      <c r="IC125" s="338"/>
      <c r="ID125" s="338"/>
      <c r="IE125" s="338"/>
      <c r="II125" s="338"/>
      <c r="IJ125" s="338"/>
      <c r="IK125" s="338"/>
      <c r="IO125" s="338"/>
      <c r="IP125" s="338"/>
      <c r="IQ125" s="338"/>
      <c r="IX125" s="68"/>
      <c r="IY125" s="68"/>
      <c r="IZ125" s="68"/>
      <c r="JA125" s="68"/>
      <c r="JB125" s="68"/>
      <c r="JC125" s="68"/>
      <c r="JD125" s="10"/>
      <c r="JG125" s="338"/>
      <c r="JH125" s="338"/>
      <c r="JI125" s="338"/>
      <c r="JM125" s="338"/>
      <c r="JN125" s="338"/>
      <c r="JQ125" s="338"/>
      <c r="JR125" s="338"/>
      <c r="JS125" s="338"/>
      <c r="JW125" s="358"/>
      <c r="JX125" s="336"/>
      <c r="JY125" s="336"/>
      <c r="JZ125" s="336"/>
      <c r="KA125" s="336"/>
      <c r="KB125" s="336"/>
      <c r="KC125" s="336"/>
      <c r="KD125" s="336"/>
      <c r="KE125" s="336"/>
      <c r="KF125" s="336"/>
      <c r="KG125" s="337"/>
      <c r="KH125" s="338"/>
      <c r="KI125" s="338"/>
      <c r="KJ125" s="338"/>
      <c r="KK125" s="338"/>
      <c r="KL125" s="338"/>
      <c r="KM125" s="338"/>
      <c r="KN125" s="338"/>
      <c r="KO125" s="338"/>
      <c r="KP125" s="338"/>
      <c r="KQ125" s="338"/>
      <c r="KR125" s="338"/>
      <c r="KS125" s="338"/>
      <c r="KT125" s="338"/>
      <c r="KU125" s="338"/>
      <c r="KV125" s="338"/>
      <c r="KW125" s="337"/>
      <c r="KX125" s="336"/>
      <c r="KY125" s="336"/>
      <c r="KZ125" s="336"/>
      <c r="LA125" s="336"/>
      <c r="LB125" s="336"/>
      <c r="LC125" s="336"/>
      <c r="LD125" s="336"/>
      <c r="LE125" s="336"/>
      <c r="LF125" s="336"/>
      <c r="LG125" s="336"/>
      <c r="LH125" s="336"/>
      <c r="LI125" s="336"/>
      <c r="LJ125" s="336"/>
      <c r="LK125" s="336"/>
      <c r="LL125" s="336"/>
      <c r="LM125" s="336"/>
      <c r="LN125" s="336"/>
      <c r="LO125" s="336"/>
      <c r="LP125" s="336"/>
      <c r="LQ125" s="337"/>
      <c r="MN125" s="10"/>
      <c r="OA125" s="10"/>
    </row>
    <row r="126" spans="1:391" s="370" customFormat="1" x14ac:dyDescent="0.25">
      <c r="A126" s="68"/>
      <c r="B126" s="10"/>
      <c r="C126" s="68"/>
      <c r="D126" s="68"/>
      <c r="E126" s="68"/>
      <c r="F126" s="68"/>
      <c r="G126" s="68"/>
      <c r="H126" s="68"/>
      <c r="I126" s="68"/>
      <c r="J126" s="68"/>
      <c r="K126" s="68"/>
      <c r="L126" s="68"/>
      <c r="M126" s="68"/>
      <c r="N126" s="68"/>
      <c r="O126" s="68"/>
      <c r="P126" s="68"/>
      <c r="Q126" s="68"/>
      <c r="R126" s="68"/>
      <c r="S126" s="68"/>
      <c r="T126" s="70"/>
      <c r="AC126" s="68"/>
      <c r="AD126" s="70"/>
      <c r="AM126" s="68"/>
      <c r="AN126" s="70"/>
      <c r="AU126" s="68"/>
      <c r="AV126" s="70"/>
      <c r="BB126" s="68"/>
      <c r="BC126" s="70"/>
      <c r="BD126" s="68"/>
      <c r="BE126" s="68"/>
      <c r="BF126" s="68"/>
      <c r="BG126" s="68"/>
      <c r="BH126" s="68"/>
      <c r="BI126" s="68"/>
      <c r="BJ126" s="70"/>
      <c r="BM126" s="68"/>
      <c r="BN126" s="70"/>
      <c r="BT126" s="68"/>
      <c r="BU126" s="70"/>
      <c r="BZ126" s="10"/>
      <c r="CF126" s="10"/>
      <c r="CI126" s="389"/>
      <c r="CJ126" s="389"/>
      <c r="CK126" s="68"/>
      <c r="CL126" s="70"/>
      <c r="CO126" s="10"/>
      <c r="CU126" s="10"/>
      <c r="DA126" s="10"/>
      <c r="DB126" s="70"/>
      <c r="DC126" s="70"/>
      <c r="DF126" s="68"/>
      <c r="DG126" s="70"/>
      <c r="DH126" s="68"/>
      <c r="DI126" s="386"/>
      <c r="DJ126" s="425"/>
      <c r="DL126" s="68"/>
      <c r="DM126" s="70"/>
      <c r="DQ126" s="68"/>
      <c r="DR126" s="70"/>
      <c r="DS126" s="338"/>
      <c r="DT126" s="338"/>
      <c r="DU126" s="338"/>
      <c r="DW126" s="338"/>
      <c r="DX126" s="338"/>
      <c r="DY126" s="338"/>
      <c r="EA126" s="338"/>
      <c r="EB126" s="338"/>
      <c r="EC126" s="338"/>
      <c r="EE126" s="338"/>
      <c r="EF126" s="338"/>
      <c r="EG126" s="338"/>
      <c r="EI126" s="336"/>
      <c r="EJ126" s="336"/>
      <c r="EK126" s="336"/>
      <c r="EL126" s="336"/>
      <c r="EM126" s="336"/>
      <c r="EN126" s="336"/>
      <c r="EO126" s="337"/>
      <c r="EP126" s="342"/>
      <c r="EQ126" s="336"/>
      <c r="ER126" s="342"/>
      <c r="ES126" s="336"/>
      <c r="ET126" s="342"/>
      <c r="EU126" s="336"/>
      <c r="EV126" s="342"/>
      <c r="EW126" s="336"/>
      <c r="EX126" s="342"/>
      <c r="EY126" s="342"/>
      <c r="EZ126" s="342"/>
      <c r="FA126" s="337"/>
      <c r="FE126" s="338"/>
      <c r="FH126" s="338"/>
      <c r="FI126" s="338"/>
      <c r="FJ126" s="338"/>
      <c r="FK126" s="338"/>
      <c r="FL126" s="338"/>
      <c r="FM126" s="337"/>
      <c r="FN126" s="336"/>
      <c r="FO126" s="336"/>
      <c r="FP126" s="336"/>
      <c r="FQ126" s="336"/>
      <c r="FR126" s="336"/>
      <c r="FS126" s="336"/>
      <c r="FT126" s="336"/>
      <c r="FU126" s="336"/>
      <c r="FV126" s="336"/>
      <c r="FW126" s="337"/>
      <c r="FX126" s="532"/>
      <c r="FY126" s="341"/>
      <c r="FZ126" s="341"/>
      <c r="GA126" s="336"/>
      <c r="GB126" s="341"/>
      <c r="GC126" s="341"/>
      <c r="GD126" s="341"/>
      <c r="GE126" s="336"/>
      <c r="GF126" s="336"/>
      <c r="GG126" s="336"/>
      <c r="GH126" s="336"/>
      <c r="GI126" s="336"/>
      <c r="GJ126" s="337"/>
      <c r="GM126" s="338"/>
      <c r="GN126" s="338"/>
      <c r="GO126" s="338"/>
      <c r="GS126" s="338"/>
      <c r="GT126" s="338"/>
      <c r="GU126" s="338"/>
      <c r="GY126" s="338"/>
      <c r="GZ126" s="338"/>
      <c r="HA126" s="338"/>
      <c r="HE126" s="338"/>
      <c r="HF126" s="338"/>
      <c r="HG126" s="338"/>
      <c r="HN126" s="68"/>
      <c r="HO126" s="68"/>
      <c r="HP126" s="68"/>
      <c r="HQ126" s="336"/>
      <c r="HR126" s="68"/>
      <c r="HS126" s="68"/>
      <c r="HT126" s="10"/>
      <c r="HW126" s="338"/>
      <c r="HX126" s="338"/>
      <c r="HY126" s="338"/>
      <c r="IC126" s="338"/>
      <c r="ID126" s="338"/>
      <c r="IE126" s="338"/>
      <c r="II126" s="338"/>
      <c r="IJ126" s="338"/>
      <c r="IK126" s="338"/>
      <c r="IO126" s="338"/>
      <c r="IP126" s="338"/>
      <c r="IQ126" s="338"/>
      <c r="IX126" s="68"/>
      <c r="IY126" s="68"/>
      <c r="IZ126" s="68"/>
      <c r="JA126" s="68"/>
      <c r="JB126" s="68"/>
      <c r="JC126" s="68"/>
      <c r="JD126" s="10"/>
      <c r="JG126" s="338"/>
      <c r="JH126" s="338"/>
      <c r="JI126" s="338"/>
      <c r="JM126" s="338"/>
      <c r="JN126" s="338"/>
      <c r="JQ126" s="338"/>
      <c r="JR126" s="338"/>
      <c r="JS126" s="338"/>
      <c r="JW126" s="358"/>
      <c r="JX126" s="336"/>
      <c r="JY126" s="336"/>
      <c r="JZ126" s="336"/>
      <c r="KA126" s="336"/>
      <c r="KB126" s="336"/>
      <c r="KC126" s="336"/>
      <c r="KD126" s="336"/>
      <c r="KE126" s="336"/>
      <c r="KF126" s="336"/>
      <c r="KG126" s="337"/>
      <c r="KH126" s="338"/>
      <c r="KI126" s="338"/>
      <c r="KJ126" s="338"/>
      <c r="KK126" s="338"/>
      <c r="KL126" s="338"/>
      <c r="KM126" s="338"/>
      <c r="KN126" s="338"/>
      <c r="KO126" s="338"/>
      <c r="KP126" s="338"/>
      <c r="KQ126" s="338"/>
      <c r="KR126" s="338"/>
      <c r="KS126" s="338"/>
      <c r="KT126" s="338"/>
      <c r="KU126" s="338"/>
      <c r="KV126" s="338"/>
      <c r="KW126" s="337"/>
      <c r="KX126" s="336"/>
      <c r="KY126" s="336"/>
      <c r="KZ126" s="336"/>
      <c r="LA126" s="336"/>
      <c r="LB126" s="336"/>
      <c r="LC126" s="336"/>
      <c r="LD126" s="336"/>
      <c r="LE126" s="336"/>
      <c r="LF126" s="336"/>
      <c r="LG126" s="336"/>
      <c r="LH126" s="336"/>
      <c r="LI126" s="336"/>
      <c r="LJ126" s="336"/>
      <c r="LK126" s="336"/>
      <c r="LL126" s="336"/>
      <c r="LM126" s="336"/>
      <c r="LN126" s="336"/>
      <c r="LO126" s="336"/>
      <c r="LP126" s="336"/>
      <c r="LQ126" s="337"/>
      <c r="MN126" s="10"/>
      <c r="OA126" s="10"/>
    </row>
    <row r="127" spans="1:391" s="370" customFormat="1" x14ac:dyDescent="0.25">
      <c r="A127" s="68"/>
      <c r="B127" s="10"/>
      <c r="C127" s="68"/>
      <c r="D127" s="68"/>
      <c r="E127" s="68"/>
      <c r="F127" s="68"/>
      <c r="G127" s="68"/>
      <c r="H127" s="68"/>
      <c r="I127" s="68"/>
      <c r="J127" s="68"/>
      <c r="K127" s="68"/>
      <c r="L127" s="68"/>
      <c r="M127" s="68"/>
      <c r="N127" s="68"/>
      <c r="O127" s="68"/>
      <c r="P127" s="68"/>
      <c r="Q127" s="68"/>
      <c r="R127" s="68"/>
      <c r="S127" s="68"/>
      <c r="T127" s="70"/>
      <c r="AC127" s="68"/>
      <c r="AD127" s="70"/>
      <c r="AM127" s="68"/>
      <c r="AN127" s="70"/>
      <c r="AU127" s="68"/>
      <c r="AV127" s="70"/>
      <c r="BB127" s="68"/>
      <c r="BC127" s="70"/>
      <c r="BD127" s="68"/>
      <c r="BE127" s="68"/>
      <c r="BF127" s="68"/>
      <c r="BG127" s="68"/>
      <c r="BH127" s="68"/>
      <c r="BI127" s="68"/>
      <c r="BJ127" s="70"/>
      <c r="BM127" s="68"/>
      <c r="BN127" s="70"/>
      <c r="BT127" s="68"/>
      <c r="BU127" s="70"/>
      <c r="BZ127" s="10"/>
      <c r="CF127" s="10"/>
      <c r="CI127" s="389"/>
      <c r="CJ127" s="389"/>
      <c r="CK127" s="68"/>
      <c r="CL127" s="70"/>
      <c r="CO127" s="10"/>
      <c r="CU127" s="10"/>
      <c r="DA127" s="10"/>
      <c r="DB127" s="70"/>
      <c r="DC127" s="70"/>
      <c r="DF127" s="68"/>
      <c r="DG127" s="70"/>
      <c r="DH127" s="68"/>
      <c r="DI127" s="386"/>
      <c r="DJ127" s="425"/>
      <c r="DL127" s="68"/>
      <c r="DM127" s="70"/>
      <c r="DQ127" s="68"/>
      <c r="DR127" s="70"/>
      <c r="DS127" s="338"/>
      <c r="DT127" s="338"/>
      <c r="DU127" s="338"/>
      <c r="DW127" s="338"/>
      <c r="DX127" s="338"/>
      <c r="DY127" s="338"/>
      <c r="EA127" s="338"/>
      <c r="EB127" s="338"/>
      <c r="EC127" s="338"/>
      <c r="EE127" s="338"/>
      <c r="EF127" s="338"/>
      <c r="EG127" s="338"/>
      <c r="EI127" s="336"/>
      <c r="EJ127" s="336"/>
      <c r="EK127" s="336"/>
      <c r="EL127" s="336"/>
      <c r="EM127" s="336"/>
      <c r="EN127" s="336"/>
      <c r="EO127" s="337"/>
      <c r="EP127" s="342"/>
      <c r="EQ127" s="336"/>
      <c r="ER127" s="342"/>
      <c r="ES127" s="336"/>
      <c r="ET127" s="342"/>
      <c r="EU127" s="336"/>
      <c r="EV127" s="342"/>
      <c r="EW127" s="336"/>
      <c r="EX127" s="342"/>
      <c r="EY127" s="342"/>
      <c r="EZ127" s="342"/>
      <c r="FA127" s="337"/>
      <c r="FE127" s="338"/>
      <c r="FH127" s="338"/>
      <c r="FI127" s="338"/>
      <c r="FJ127" s="338"/>
      <c r="FK127" s="338"/>
      <c r="FL127" s="338"/>
      <c r="FM127" s="337"/>
      <c r="FN127" s="336"/>
      <c r="FO127" s="336"/>
      <c r="FP127" s="336"/>
      <c r="FQ127" s="336"/>
      <c r="FR127" s="336"/>
      <c r="FS127" s="336"/>
      <c r="FT127" s="336"/>
      <c r="FU127" s="336"/>
      <c r="FV127" s="336"/>
      <c r="FW127" s="337"/>
      <c r="FX127" s="532"/>
      <c r="FY127" s="341"/>
      <c r="FZ127" s="341"/>
      <c r="GA127" s="336"/>
      <c r="GB127" s="341"/>
      <c r="GC127" s="341"/>
      <c r="GD127" s="341"/>
      <c r="GE127" s="336"/>
      <c r="GF127" s="336"/>
      <c r="GG127" s="336"/>
      <c r="GH127" s="336"/>
      <c r="GI127" s="336"/>
      <c r="GJ127" s="337"/>
      <c r="GM127" s="338"/>
      <c r="GN127" s="338"/>
      <c r="GO127" s="338"/>
      <c r="GS127" s="338"/>
      <c r="GT127" s="338"/>
      <c r="GU127" s="338"/>
      <c r="GY127" s="338"/>
      <c r="GZ127" s="338"/>
      <c r="HA127" s="338"/>
      <c r="HE127" s="338"/>
      <c r="HF127" s="338"/>
      <c r="HG127" s="338"/>
      <c r="HN127" s="68"/>
      <c r="HO127" s="68"/>
      <c r="HP127" s="68"/>
      <c r="HQ127" s="336"/>
      <c r="HR127" s="68"/>
      <c r="HS127" s="68"/>
      <c r="HT127" s="10"/>
      <c r="HW127" s="338"/>
      <c r="HX127" s="338"/>
      <c r="HY127" s="338"/>
      <c r="IC127" s="338"/>
      <c r="ID127" s="338"/>
      <c r="IE127" s="338"/>
      <c r="II127" s="338"/>
      <c r="IJ127" s="338"/>
      <c r="IK127" s="338"/>
      <c r="IO127" s="338"/>
      <c r="IP127" s="338"/>
      <c r="IQ127" s="338"/>
      <c r="IX127" s="68"/>
      <c r="IY127" s="68"/>
      <c r="IZ127" s="68"/>
      <c r="JA127" s="68"/>
      <c r="JB127" s="68"/>
      <c r="JC127" s="68"/>
      <c r="JD127" s="10"/>
      <c r="JG127" s="338"/>
      <c r="JH127" s="338"/>
      <c r="JI127" s="338"/>
      <c r="JM127" s="338"/>
      <c r="JN127" s="338"/>
      <c r="JQ127" s="338"/>
      <c r="JR127" s="338"/>
      <c r="JS127" s="338"/>
      <c r="JW127" s="358"/>
      <c r="JX127" s="336"/>
      <c r="JY127" s="336"/>
      <c r="JZ127" s="336"/>
      <c r="KA127" s="336"/>
      <c r="KB127" s="336"/>
      <c r="KC127" s="336"/>
      <c r="KD127" s="336"/>
      <c r="KE127" s="336"/>
      <c r="KF127" s="336"/>
      <c r="KG127" s="337"/>
      <c r="KH127" s="338"/>
      <c r="KI127" s="338"/>
      <c r="KJ127" s="338"/>
      <c r="KK127" s="338"/>
      <c r="KL127" s="338"/>
      <c r="KM127" s="338"/>
      <c r="KN127" s="338"/>
      <c r="KO127" s="338"/>
      <c r="KP127" s="338"/>
      <c r="KQ127" s="338"/>
      <c r="KR127" s="338"/>
      <c r="KS127" s="338"/>
      <c r="KT127" s="338"/>
      <c r="KU127" s="338"/>
      <c r="KV127" s="338"/>
      <c r="KW127" s="337"/>
      <c r="KX127" s="336"/>
      <c r="KY127" s="336"/>
      <c r="KZ127" s="336"/>
      <c r="LA127" s="336"/>
      <c r="LB127" s="336"/>
      <c r="LC127" s="336"/>
      <c r="LD127" s="336"/>
      <c r="LE127" s="336"/>
      <c r="LF127" s="336"/>
      <c r="LG127" s="336"/>
      <c r="LH127" s="336"/>
      <c r="LI127" s="336"/>
      <c r="LJ127" s="336"/>
      <c r="LK127" s="336"/>
      <c r="LL127" s="336"/>
      <c r="LM127" s="336"/>
      <c r="LN127" s="336"/>
      <c r="LO127" s="336"/>
      <c r="LP127" s="336"/>
      <c r="LQ127" s="337"/>
      <c r="MN127" s="10"/>
      <c r="OA127" s="10"/>
    </row>
    <row r="128" spans="1:391" s="370" customFormat="1" x14ac:dyDescent="0.25">
      <c r="A128" s="68"/>
      <c r="B128" s="10"/>
      <c r="C128" s="68"/>
      <c r="D128" s="68"/>
      <c r="E128" s="68"/>
      <c r="F128" s="68"/>
      <c r="G128" s="68"/>
      <c r="H128" s="68"/>
      <c r="I128" s="68"/>
      <c r="J128" s="68"/>
      <c r="K128" s="68"/>
      <c r="L128" s="68"/>
      <c r="M128" s="68"/>
      <c r="N128" s="68"/>
      <c r="O128" s="68"/>
      <c r="P128" s="68"/>
      <c r="Q128" s="68"/>
      <c r="R128" s="68"/>
      <c r="S128" s="68"/>
      <c r="T128" s="70"/>
      <c r="AC128" s="68"/>
      <c r="AD128" s="70"/>
      <c r="AM128" s="68"/>
      <c r="AN128" s="70"/>
      <c r="AU128" s="68"/>
      <c r="AV128" s="70"/>
      <c r="BB128" s="68"/>
      <c r="BC128" s="70"/>
      <c r="BD128" s="68"/>
      <c r="BE128" s="68"/>
      <c r="BF128" s="68"/>
      <c r="BG128" s="68"/>
      <c r="BH128" s="68"/>
      <c r="BI128" s="68"/>
      <c r="BJ128" s="70"/>
      <c r="BM128" s="68"/>
      <c r="BN128" s="70"/>
      <c r="BT128" s="68"/>
      <c r="BU128" s="70"/>
      <c r="BZ128" s="10"/>
      <c r="CF128" s="10"/>
      <c r="CI128" s="389"/>
      <c r="CJ128" s="389"/>
      <c r="CK128" s="68"/>
      <c r="CL128" s="70"/>
      <c r="CO128" s="10"/>
      <c r="CU128" s="10"/>
      <c r="DA128" s="10"/>
      <c r="DB128" s="70"/>
      <c r="DC128" s="70"/>
      <c r="DF128" s="68"/>
      <c r="DG128" s="70"/>
      <c r="DH128" s="68"/>
      <c r="DI128" s="386"/>
      <c r="DJ128" s="425"/>
      <c r="DL128" s="68"/>
      <c r="DM128" s="70"/>
      <c r="DQ128" s="68"/>
      <c r="DR128" s="70"/>
      <c r="DS128" s="338"/>
      <c r="DT128" s="338"/>
      <c r="DU128" s="338"/>
      <c r="DW128" s="338"/>
      <c r="DX128" s="338"/>
      <c r="DY128" s="338"/>
      <c r="EA128" s="338"/>
      <c r="EB128" s="338"/>
      <c r="EC128" s="338"/>
      <c r="EE128" s="338"/>
      <c r="EF128" s="338"/>
      <c r="EG128" s="338"/>
      <c r="EI128" s="336"/>
      <c r="EJ128" s="336"/>
      <c r="EK128" s="336"/>
      <c r="EL128" s="336"/>
      <c r="EM128" s="336"/>
      <c r="EN128" s="336"/>
      <c r="EO128" s="337"/>
      <c r="EP128" s="342"/>
      <c r="EQ128" s="336"/>
      <c r="ER128" s="342"/>
      <c r="ES128" s="336"/>
      <c r="ET128" s="342"/>
      <c r="EU128" s="336"/>
      <c r="EV128" s="342"/>
      <c r="EW128" s="336"/>
      <c r="EX128" s="342"/>
      <c r="EY128" s="342"/>
      <c r="EZ128" s="342"/>
      <c r="FA128" s="337"/>
      <c r="FE128" s="338"/>
      <c r="FH128" s="338"/>
      <c r="FI128" s="338"/>
      <c r="FJ128" s="338"/>
      <c r="FK128" s="338"/>
      <c r="FL128" s="338"/>
      <c r="FM128" s="337"/>
      <c r="FN128" s="336"/>
      <c r="FO128" s="336"/>
      <c r="FP128" s="336"/>
      <c r="FQ128" s="336"/>
      <c r="FR128" s="336"/>
      <c r="FS128" s="336"/>
      <c r="FT128" s="336"/>
      <c r="FU128" s="336"/>
      <c r="FV128" s="336"/>
      <c r="FW128" s="337"/>
      <c r="FX128" s="532"/>
      <c r="FY128" s="341"/>
      <c r="FZ128" s="341"/>
      <c r="GA128" s="336"/>
      <c r="GB128" s="341"/>
      <c r="GC128" s="341"/>
      <c r="GD128" s="341"/>
      <c r="GE128" s="336"/>
      <c r="GF128" s="336"/>
      <c r="GG128" s="336"/>
      <c r="GH128" s="336"/>
      <c r="GI128" s="336"/>
      <c r="GJ128" s="337"/>
      <c r="GM128" s="338"/>
      <c r="GN128" s="338"/>
      <c r="GO128" s="338"/>
      <c r="GS128" s="338"/>
      <c r="GT128" s="338"/>
      <c r="GU128" s="338"/>
      <c r="GY128" s="338"/>
      <c r="GZ128" s="338"/>
      <c r="HA128" s="338"/>
      <c r="HE128" s="338"/>
      <c r="HF128" s="338"/>
      <c r="HG128" s="338"/>
      <c r="HN128" s="68"/>
      <c r="HO128" s="68"/>
      <c r="HP128" s="68"/>
      <c r="HQ128" s="336"/>
      <c r="HR128" s="68"/>
      <c r="HS128" s="68"/>
      <c r="HT128" s="10"/>
      <c r="HW128" s="338"/>
      <c r="HX128" s="338"/>
      <c r="HY128" s="338"/>
      <c r="IC128" s="338"/>
      <c r="ID128" s="338"/>
      <c r="IE128" s="338"/>
      <c r="II128" s="338"/>
      <c r="IJ128" s="338"/>
      <c r="IK128" s="338"/>
      <c r="IO128" s="338"/>
      <c r="IP128" s="338"/>
      <c r="IQ128" s="338"/>
      <c r="IX128" s="68"/>
      <c r="IY128" s="68"/>
      <c r="IZ128" s="68"/>
      <c r="JA128" s="68"/>
      <c r="JB128" s="68"/>
      <c r="JC128" s="68"/>
      <c r="JD128" s="10"/>
      <c r="JG128" s="338"/>
      <c r="JH128" s="338"/>
      <c r="JI128" s="338"/>
      <c r="JM128" s="338"/>
      <c r="JN128" s="338"/>
      <c r="JQ128" s="338"/>
      <c r="JR128" s="338"/>
      <c r="JS128" s="338"/>
      <c r="JW128" s="358"/>
      <c r="JX128" s="336"/>
      <c r="JY128" s="336"/>
      <c r="JZ128" s="336"/>
      <c r="KA128" s="336"/>
      <c r="KB128" s="336"/>
      <c r="KC128" s="336"/>
      <c r="KD128" s="336"/>
      <c r="KE128" s="336"/>
      <c r="KF128" s="336"/>
      <c r="KG128" s="337"/>
      <c r="KH128" s="338"/>
      <c r="KI128" s="338"/>
      <c r="KJ128" s="338"/>
      <c r="KK128" s="338"/>
      <c r="KL128" s="338"/>
      <c r="KM128" s="338"/>
      <c r="KN128" s="338"/>
      <c r="KO128" s="338"/>
      <c r="KP128" s="338"/>
      <c r="KQ128" s="338"/>
      <c r="KR128" s="338"/>
      <c r="KS128" s="338"/>
      <c r="KT128" s="338"/>
      <c r="KU128" s="338"/>
      <c r="KV128" s="338"/>
      <c r="KW128" s="337"/>
      <c r="KX128" s="336"/>
      <c r="KY128" s="336"/>
      <c r="KZ128" s="336"/>
      <c r="LA128" s="336"/>
      <c r="LB128" s="336"/>
      <c r="LC128" s="336"/>
      <c r="LD128" s="336"/>
      <c r="LE128" s="336"/>
      <c r="LF128" s="336"/>
      <c r="LG128" s="336"/>
      <c r="LH128" s="336"/>
      <c r="LI128" s="336"/>
      <c r="LJ128" s="336"/>
      <c r="LK128" s="336"/>
      <c r="LL128" s="336"/>
      <c r="LM128" s="336"/>
      <c r="LN128" s="336"/>
      <c r="LO128" s="336"/>
      <c r="LP128" s="336"/>
      <c r="LQ128" s="337"/>
      <c r="MN128" s="10"/>
      <c r="OA128" s="10"/>
    </row>
    <row r="129" spans="1:391" s="370" customFormat="1" x14ac:dyDescent="0.25">
      <c r="A129" s="68"/>
      <c r="B129" s="10"/>
      <c r="C129" s="68"/>
      <c r="D129" s="68"/>
      <c r="E129" s="68"/>
      <c r="F129" s="68"/>
      <c r="G129" s="68"/>
      <c r="H129" s="68"/>
      <c r="I129" s="68"/>
      <c r="J129" s="68"/>
      <c r="K129" s="68"/>
      <c r="L129" s="68"/>
      <c r="M129" s="68"/>
      <c r="N129" s="68"/>
      <c r="O129" s="68"/>
      <c r="P129" s="68"/>
      <c r="Q129" s="68"/>
      <c r="R129" s="68"/>
      <c r="S129" s="68"/>
      <c r="T129" s="70"/>
      <c r="AC129" s="68"/>
      <c r="AD129" s="70"/>
      <c r="AM129" s="68"/>
      <c r="AN129" s="70"/>
      <c r="AU129" s="68"/>
      <c r="AV129" s="70"/>
      <c r="BB129" s="68"/>
      <c r="BC129" s="70"/>
      <c r="BD129" s="68"/>
      <c r="BE129" s="68"/>
      <c r="BF129" s="68"/>
      <c r="BG129" s="68"/>
      <c r="BH129" s="68"/>
      <c r="BI129" s="68"/>
      <c r="BJ129" s="70"/>
      <c r="BM129" s="68"/>
      <c r="BN129" s="70"/>
      <c r="BT129" s="68"/>
      <c r="BU129" s="70"/>
      <c r="BZ129" s="10"/>
      <c r="CF129" s="10"/>
      <c r="CI129" s="389"/>
      <c r="CJ129" s="389"/>
      <c r="CK129" s="68"/>
      <c r="CL129" s="70"/>
      <c r="CO129" s="10"/>
      <c r="CU129" s="10"/>
      <c r="DA129" s="10"/>
      <c r="DB129" s="70"/>
      <c r="DC129" s="70"/>
      <c r="DF129" s="68"/>
      <c r="DG129" s="70"/>
      <c r="DH129" s="68"/>
      <c r="DI129" s="386"/>
      <c r="DJ129" s="425"/>
      <c r="DL129" s="68"/>
      <c r="DM129" s="70"/>
      <c r="DQ129" s="68"/>
      <c r="DR129" s="70"/>
      <c r="DS129" s="338"/>
      <c r="DT129" s="338"/>
      <c r="DU129" s="338"/>
      <c r="DW129" s="338"/>
      <c r="DX129" s="338"/>
      <c r="DY129" s="338"/>
      <c r="EA129" s="338"/>
      <c r="EB129" s="338"/>
      <c r="EC129" s="338"/>
      <c r="EE129" s="338"/>
      <c r="EF129" s="338"/>
      <c r="EG129" s="338"/>
      <c r="EI129" s="336"/>
      <c r="EJ129" s="336"/>
      <c r="EK129" s="336"/>
      <c r="EL129" s="336"/>
      <c r="EM129" s="336"/>
      <c r="EN129" s="336"/>
      <c r="EO129" s="337"/>
      <c r="EP129" s="342"/>
      <c r="EQ129" s="336"/>
      <c r="ER129" s="342"/>
      <c r="ES129" s="336"/>
      <c r="ET129" s="342"/>
      <c r="EU129" s="336"/>
      <c r="EV129" s="342"/>
      <c r="EW129" s="336"/>
      <c r="EX129" s="342"/>
      <c r="EY129" s="342"/>
      <c r="EZ129" s="342"/>
      <c r="FA129" s="337"/>
      <c r="FE129" s="338"/>
      <c r="FH129" s="338"/>
      <c r="FI129" s="338"/>
      <c r="FJ129" s="338"/>
      <c r="FK129" s="338"/>
      <c r="FL129" s="338"/>
      <c r="FM129" s="337"/>
      <c r="FN129" s="336"/>
      <c r="FO129" s="336"/>
      <c r="FP129" s="336"/>
      <c r="FQ129" s="336"/>
      <c r="FR129" s="336"/>
      <c r="FS129" s="336"/>
      <c r="FT129" s="336"/>
      <c r="FU129" s="336"/>
      <c r="FV129" s="336"/>
      <c r="FW129" s="337"/>
      <c r="FX129" s="532"/>
      <c r="FY129" s="341"/>
      <c r="FZ129" s="341"/>
      <c r="GA129" s="336"/>
      <c r="GB129" s="341"/>
      <c r="GC129" s="341"/>
      <c r="GD129" s="341"/>
      <c r="GE129" s="336"/>
      <c r="GF129" s="336"/>
      <c r="GG129" s="336"/>
      <c r="GH129" s="336"/>
      <c r="GI129" s="336"/>
      <c r="GJ129" s="337"/>
      <c r="GM129" s="338"/>
      <c r="GN129" s="338"/>
      <c r="GO129" s="338"/>
      <c r="GS129" s="338"/>
      <c r="GT129" s="338"/>
      <c r="GU129" s="338"/>
      <c r="GY129" s="338"/>
      <c r="GZ129" s="338"/>
      <c r="HA129" s="338"/>
      <c r="HE129" s="338"/>
      <c r="HF129" s="338"/>
      <c r="HG129" s="338"/>
      <c r="HN129" s="68"/>
      <c r="HO129" s="68"/>
      <c r="HP129" s="68"/>
      <c r="HQ129" s="336"/>
      <c r="HR129" s="68"/>
      <c r="HS129" s="68"/>
      <c r="HT129" s="10"/>
      <c r="HW129" s="338"/>
      <c r="HX129" s="338"/>
      <c r="HY129" s="338"/>
      <c r="IC129" s="338"/>
      <c r="ID129" s="338"/>
      <c r="IE129" s="338"/>
      <c r="II129" s="338"/>
      <c r="IJ129" s="338"/>
      <c r="IK129" s="338"/>
      <c r="IO129" s="338"/>
      <c r="IP129" s="338"/>
      <c r="IQ129" s="338"/>
      <c r="IX129" s="68"/>
      <c r="IY129" s="68"/>
      <c r="IZ129" s="68"/>
      <c r="JA129" s="68"/>
      <c r="JB129" s="68"/>
      <c r="JC129" s="68"/>
      <c r="JD129" s="10"/>
      <c r="JG129" s="338"/>
      <c r="JH129" s="338"/>
      <c r="JI129" s="338"/>
      <c r="JM129" s="338"/>
      <c r="JN129" s="338"/>
      <c r="JQ129" s="338"/>
      <c r="JR129" s="338"/>
      <c r="JS129" s="338"/>
      <c r="JW129" s="358"/>
      <c r="JX129" s="336"/>
      <c r="JY129" s="336"/>
      <c r="JZ129" s="336"/>
      <c r="KA129" s="336"/>
      <c r="KB129" s="336"/>
      <c r="KC129" s="336"/>
      <c r="KD129" s="336"/>
      <c r="KE129" s="336"/>
      <c r="KF129" s="336"/>
      <c r="KG129" s="337"/>
      <c r="KH129" s="338"/>
      <c r="KI129" s="338"/>
      <c r="KJ129" s="338"/>
      <c r="KK129" s="338"/>
      <c r="KL129" s="338"/>
      <c r="KM129" s="338"/>
      <c r="KN129" s="338"/>
      <c r="KO129" s="338"/>
      <c r="KP129" s="338"/>
      <c r="KQ129" s="338"/>
      <c r="KR129" s="338"/>
      <c r="KS129" s="338"/>
      <c r="KT129" s="338"/>
      <c r="KU129" s="338"/>
      <c r="KV129" s="338"/>
      <c r="KW129" s="337"/>
      <c r="KX129" s="336"/>
      <c r="KY129" s="336"/>
      <c r="KZ129" s="336"/>
      <c r="LA129" s="336"/>
      <c r="LB129" s="336"/>
      <c r="LC129" s="336"/>
      <c r="LD129" s="336"/>
      <c r="LE129" s="336"/>
      <c r="LF129" s="336"/>
      <c r="LG129" s="336"/>
      <c r="LH129" s="336"/>
      <c r="LI129" s="336"/>
      <c r="LJ129" s="336"/>
      <c r="LK129" s="336"/>
      <c r="LL129" s="336"/>
      <c r="LM129" s="336"/>
      <c r="LN129" s="336"/>
      <c r="LO129" s="336"/>
      <c r="LP129" s="336"/>
      <c r="LQ129" s="337"/>
      <c r="MN129" s="10"/>
      <c r="OA129" s="10"/>
    </row>
    <row r="130" spans="1:391" s="370" customFormat="1" x14ac:dyDescent="0.25">
      <c r="A130" s="68"/>
      <c r="B130" s="10"/>
      <c r="C130" s="68"/>
      <c r="D130" s="68"/>
      <c r="E130" s="68"/>
      <c r="F130" s="68"/>
      <c r="G130" s="68"/>
      <c r="H130" s="68"/>
      <c r="I130" s="68"/>
      <c r="J130" s="68"/>
      <c r="K130" s="68"/>
      <c r="L130" s="68"/>
      <c r="M130" s="68"/>
      <c r="N130" s="68"/>
      <c r="O130" s="68"/>
      <c r="P130" s="68"/>
      <c r="Q130" s="68"/>
      <c r="R130" s="68"/>
      <c r="S130" s="68"/>
      <c r="T130" s="70"/>
      <c r="AC130" s="68"/>
      <c r="AD130" s="70"/>
      <c r="AM130" s="68"/>
      <c r="AN130" s="70"/>
      <c r="AU130" s="68"/>
      <c r="AV130" s="70"/>
      <c r="BB130" s="68"/>
      <c r="BC130" s="70"/>
      <c r="BD130" s="68"/>
      <c r="BE130" s="68"/>
      <c r="BF130" s="68"/>
      <c r="BG130" s="68"/>
      <c r="BH130" s="68"/>
      <c r="BI130" s="68"/>
      <c r="BJ130" s="70"/>
      <c r="BM130" s="68"/>
      <c r="BN130" s="70"/>
      <c r="BT130" s="68"/>
      <c r="BU130" s="70"/>
      <c r="BZ130" s="10"/>
      <c r="CF130" s="10"/>
      <c r="CI130" s="389"/>
      <c r="CJ130" s="389"/>
      <c r="CK130" s="68"/>
      <c r="CL130" s="70"/>
      <c r="CO130" s="10"/>
      <c r="CU130" s="10"/>
      <c r="DA130" s="10"/>
      <c r="DB130" s="70"/>
      <c r="DC130" s="70"/>
      <c r="DF130" s="68"/>
      <c r="DG130" s="70"/>
      <c r="DH130" s="68"/>
      <c r="DI130" s="386"/>
      <c r="DJ130" s="425"/>
      <c r="DL130" s="68"/>
      <c r="DM130" s="70"/>
      <c r="DQ130" s="68"/>
      <c r="DR130" s="70"/>
      <c r="DS130" s="338"/>
      <c r="DT130" s="338"/>
      <c r="DU130" s="338"/>
      <c r="DW130" s="338"/>
      <c r="DX130" s="338"/>
      <c r="DY130" s="338"/>
      <c r="EA130" s="338"/>
      <c r="EB130" s="338"/>
      <c r="EC130" s="338"/>
      <c r="EE130" s="338"/>
      <c r="EF130" s="338"/>
      <c r="EG130" s="338"/>
      <c r="EI130" s="336"/>
      <c r="EJ130" s="336"/>
      <c r="EK130" s="336"/>
      <c r="EL130" s="336"/>
      <c r="EM130" s="336"/>
      <c r="EN130" s="336"/>
      <c r="EO130" s="337"/>
      <c r="EP130" s="342"/>
      <c r="EQ130" s="336"/>
      <c r="ER130" s="342"/>
      <c r="ES130" s="336"/>
      <c r="ET130" s="342"/>
      <c r="EU130" s="336"/>
      <c r="EV130" s="342"/>
      <c r="EW130" s="336"/>
      <c r="EX130" s="342"/>
      <c r="EY130" s="342"/>
      <c r="EZ130" s="342"/>
      <c r="FA130" s="337"/>
      <c r="FE130" s="338"/>
      <c r="FH130" s="338"/>
      <c r="FI130" s="338"/>
      <c r="FJ130" s="338"/>
      <c r="FK130" s="338"/>
      <c r="FL130" s="338"/>
      <c r="FM130" s="337"/>
      <c r="FN130" s="336"/>
      <c r="FO130" s="336"/>
      <c r="FP130" s="336"/>
      <c r="FQ130" s="336"/>
      <c r="FR130" s="336"/>
      <c r="FS130" s="336"/>
      <c r="FT130" s="336"/>
      <c r="FU130" s="336"/>
      <c r="FV130" s="336"/>
      <c r="FW130" s="337"/>
      <c r="FX130" s="532"/>
      <c r="FY130" s="341"/>
      <c r="FZ130" s="341"/>
      <c r="GA130" s="336"/>
      <c r="GB130" s="341"/>
      <c r="GC130" s="341"/>
      <c r="GD130" s="341"/>
      <c r="GE130" s="336"/>
      <c r="GF130" s="336"/>
      <c r="GG130" s="336"/>
      <c r="GH130" s="336"/>
      <c r="GI130" s="336"/>
      <c r="GJ130" s="337"/>
      <c r="GM130" s="338"/>
      <c r="GN130" s="338"/>
      <c r="GO130" s="338"/>
      <c r="GS130" s="338"/>
      <c r="GT130" s="338"/>
      <c r="GU130" s="338"/>
      <c r="GY130" s="338"/>
      <c r="GZ130" s="338"/>
      <c r="HA130" s="338"/>
      <c r="HE130" s="338"/>
      <c r="HF130" s="338"/>
      <c r="HG130" s="338"/>
      <c r="HN130" s="68"/>
      <c r="HO130" s="68"/>
      <c r="HP130" s="68"/>
      <c r="HQ130" s="336"/>
      <c r="HR130" s="68"/>
      <c r="HS130" s="68"/>
      <c r="HT130" s="10"/>
      <c r="HW130" s="338"/>
      <c r="HX130" s="338"/>
      <c r="HY130" s="338"/>
      <c r="IC130" s="338"/>
      <c r="ID130" s="338"/>
      <c r="IE130" s="338"/>
      <c r="II130" s="338"/>
      <c r="IJ130" s="338"/>
      <c r="IK130" s="338"/>
      <c r="IO130" s="338"/>
      <c r="IP130" s="338"/>
      <c r="IQ130" s="338"/>
      <c r="IX130" s="68"/>
      <c r="IY130" s="68"/>
      <c r="IZ130" s="68"/>
      <c r="JA130" s="68"/>
      <c r="JB130" s="68"/>
      <c r="JC130" s="68"/>
      <c r="JD130" s="10"/>
      <c r="JG130" s="338"/>
      <c r="JH130" s="338"/>
      <c r="JI130" s="338"/>
      <c r="JM130" s="338"/>
      <c r="JN130" s="338"/>
      <c r="JQ130" s="338"/>
      <c r="JR130" s="338"/>
      <c r="JS130" s="338"/>
      <c r="JW130" s="358"/>
      <c r="JX130" s="336"/>
      <c r="JY130" s="336"/>
      <c r="JZ130" s="336"/>
      <c r="KA130" s="336"/>
      <c r="KB130" s="336"/>
      <c r="KC130" s="336"/>
      <c r="KD130" s="336"/>
      <c r="KE130" s="336"/>
      <c r="KF130" s="336"/>
      <c r="KG130" s="337"/>
      <c r="KH130" s="338"/>
      <c r="KI130" s="338"/>
      <c r="KJ130" s="338"/>
      <c r="KK130" s="338"/>
      <c r="KL130" s="338"/>
      <c r="KM130" s="338"/>
      <c r="KN130" s="338"/>
      <c r="KO130" s="338"/>
      <c r="KP130" s="338"/>
      <c r="KQ130" s="338"/>
      <c r="KR130" s="338"/>
      <c r="KS130" s="338"/>
      <c r="KT130" s="338"/>
      <c r="KU130" s="338"/>
      <c r="KV130" s="338"/>
      <c r="KW130" s="337"/>
      <c r="KX130" s="336"/>
      <c r="KY130" s="336"/>
      <c r="KZ130" s="336"/>
      <c r="LA130" s="336"/>
      <c r="LB130" s="336"/>
      <c r="LC130" s="336"/>
      <c r="LD130" s="336"/>
      <c r="LE130" s="336"/>
      <c r="LF130" s="336"/>
      <c r="LG130" s="336"/>
      <c r="LH130" s="336"/>
      <c r="LI130" s="336"/>
      <c r="LJ130" s="336"/>
      <c r="LK130" s="336"/>
      <c r="LL130" s="336"/>
      <c r="LM130" s="336"/>
      <c r="LN130" s="336"/>
      <c r="LO130" s="336"/>
      <c r="LP130" s="336"/>
      <c r="LQ130" s="337"/>
      <c r="MN130" s="10"/>
      <c r="OA130" s="10"/>
    </row>
    <row r="131" spans="1:391" s="370" customFormat="1" x14ac:dyDescent="0.25">
      <c r="A131" s="68"/>
      <c r="B131" s="10"/>
      <c r="C131" s="68"/>
      <c r="D131" s="68"/>
      <c r="E131" s="68"/>
      <c r="F131" s="68"/>
      <c r="G131" s="68"/>
      <c r="H131" s="68"/>
      <c r="I131" s="68"/>
      <c r="J131" s="68"/>
      <c r="K131" s="68"/>
      <c r="L131" s="68"/>
      <c r="M131" s="68"/>
      <c r="N131" s="68"/>
      <c r="O131" s="68"/>
      <c r="P131" s="68"/>
      <c r="Q131" s="68"/>
      <c r="R131" s="68"/>
      <c r="S131" s="68"/>
      <c r="T131" s="70"/>
      <c r="AC131" s="68"/>
      <c r="AD131" s="70"/>
      <c r="AM131" s="68"/>
      <c r="AN131" s="70"/>
      <c r="AU131" s="68"/>
      <c r="AV131" s="70"/>
      <c r="BB131" s="68"/>
      <c r="BC131" s="70"/>
      <c r="BD131" s="68"/>
      <c r="BE131" s="68"/>
      <c r="BF131" s="68"/>
      <c r="BG131" s="68"/>
      <c r="BH131" s="68"/>
      <c r="BI131" s="68"/>
      <c r="BJ131" s="70"/>
      <c r="BM131" s="68"/>
      <c r="BN131" s="70"/>
      <c r="BT131" s="68"/>
      <c r="BU131" s="70"/>
      <c r="BZ131" s="10"/>
      <c r="CF131" s="10"/>
      <c r="CI131" s="389"/>
      <c r="CJ131" s="389"/>
      <c r="CK131" s="68"/>
      <c r="CL131" s="70"/>
      <c r="CO131" s="10"/>
      <c r="CU131" s="10"/>
      <c r="DA131" s="10"/>
      <c r="DB131" s="70"/>
      <c r="DC131" s="70"/>
      <c r="DF131" s="68"/>
      <c r="DG131" s="70"/>
      <c r="DH131" s="68"/>
      <c r="DI131" s="386"/>
      <c r="DJ131" s="425"/>
      <c r="DL131" s="68"/>
      <c r="DM131" s="70"/>
      <c r="DQ131" s="68"/>
      <c r="DR131" s="70"/>
      <c r="DS131" s="338"/>
      <c r="DT131" s="338"/>
      <c r="DU131" s="338"/>
      <c r="DW131" s="338"/>
      <c r="DX131" s="338"/>
      <c r="DY131" s="338"/>
      <c r="EA131" s="338"/>
      <c r="EB131" s="338"/>
      <c r="EC131" s="338"/>
      <c r="EE131" s="338"/>
      <c r="EF131" s="338"/>
      <c r="EG131" s="338"/>
      <c r="EI131" s="336"/>
      <c r="EJ131" s="336"/>
      <c r="EK131" s="336"/>
      <c r="EL131" s="336"/>
      <c r="EM131" s="336"/>
      <c r="EN131" s="336"/>
      <c r="EO131" s="337"/>
      <c r="EP131" s="342"/>
      <c r="EQ131" s="336"/>
      <c r="ER131" s="342"/>
      <c r="ES131" s="336"/>
      <c r="ET131" s="342"/>
      <c r="EU131" s="336"/>
      <c r="EV131" s="342"/>
      <c r="EW131" s="336"/>
      <c r="EX131" s="342"/>
      <c r="EY131" s="342"/>
      <c r="EZ131" s="342"/>
      <c r="FA131" s="337"/>
      <c r="FE131" s="338"/>
      <c r="FH131" s="338"/>
      <c r="FI131" s="338"/>
      <c r="FJ131" s="338"/>
      <c r="FK131" s="338"/>
      <c r="FL131" s="338"/>
      <c r="FM131" s="337"/>
      <c r="FN131" s="336"/>
      <c r="FO131" s="336"/>
      <c r="FP131" s="336"/>
      <c r="FQ131" s="336"/>
      <c r="FR131" s="336"/>
      <c r="FS131" s="336"/>
      <c r="FT131" s="336"/>
      <c r="FU131" s="336"/>
      <c r="FV131" s="336"/>
      <c r="FW131" s="337"/>
      <c r="FX131" s="532"/>
      <c r="FY131" s="341"/>
      <c r="FZ131" s="341"/>
      <c r="GA131" s="336"/>
      <c r="GB131" s="341"/>
      <c r="GC131" s="341"/>
      <c r="GD131" s="341"/>
      <c r="GE131" s="336"/>
      <c r="GF131" s="336"/>
      <c r="GG131" s="336"/>
      <c r="GH131" s="336"/>
      <c r="GI131" s="336"/>
      <c r="GJ131" s="337"/>
      <c r="GM131" s="338"/>
      <c r="GN131" s="338"/>
      <c r="GO131" s="338"/>
      <c r="GS131" s="338"/>
      <c r="GT131" s="338"/>
      <c r="GU131" s="338"/>
      <c r="GY131" s="338"/>
      <c r="GZ131" s="338"/>
      <c r="HA131" s="338"/>
      <c r="HE131" s="338"/>
      <c r="HF131" s="338"/>
      <c r="HG131" s="338"/>
      <c r="HN131" s="68"/>
      <c r="HO131" s="68"/>
      <c r="HP131" s="68"/>
      <c r="HQ131" s="336"/>
      <c r="HR131" s="68"/>
      <c r="HS131" s="68"/>
      <c r="HT131" s="10"/>
      <c r="HW131" s="338"/>
      <c r="HX131" s="338"/>
      <c r="HY131" s="338"/>
      <c r="IC131" s="338"/>
      <c r="ID131" s="338"/>
      <c r="IE131" s="338"/>
      <c r="II131" s="338"/>
      <c r="IJ131" s="338"/>
      <c r="IK131" s="338"/>
      <c r="IO131" s="338"/>
      <c r="IP131" s="338"/>
      <c r="IQ131" s="338"/>
      <c r="IX131" s="68"/>
      <c r="IY131" s="68"/>
      <c r="IZ131" s="68"/>
      <c r="JA131" s="68"/>
      <c r="JB131" s="68"/>
      <c r="JC131" s="68"/>
      <c r="JD131" s="10"/>
      <c r="JG131" s="338"/>
      <c r="JH131" s="338"/>
      <c r="JI131" s="338"/>
      <c r="JM131" s="338"/>
      <c r="JN131" s="338"/>
      <c r="JQ131" s="338"/>
      <c r="JR131" s="338"/>
      <c r="JS131" s="338"/>
      <c r="JW131" s="358"/>
      <c r="JX131" s="336"/>
      <c r="JY131" s="336"/>
      <c r="JZ131" s="336"/>
      <c r="KA131" s="336"/>
      <c r="KB131" s="336"/>
      <c r="KC131" s="336"/>
      <c r="KD131" s="336"/>
      <c r="KE131" s="336"/>
      <c r="KF131" s="336"/>
      <c r="KG131" s="337"/>
      <c r="KH131" s="338"/>
      <c r="KI131" s="338"/>
      <c r="KJ131" s="338"/>
      <c r="KK131" s="338"/>
      <c r="KL131" s="338"/>
      <c r="KM131" s="338"/>
      <c r="KN131" s="338"/>
      <c r="KO131" s="338"/>
      <c r="KP131" s="338"/>
      <c r="KQ131" s="338"/>
      <c r="KR131" s="338"/>
      <c r="KS131" s="338"/>
      <c r="KT131" s="338"/>
      <c r="KU131" s="338"/>
      <c r="KV131" s="338"/>
      <c r="KW131" s="337"/>
      <c r="KX131" s="336"/>
      <c r="KY131" s="336"/>
      <c r="KZ131" s="336"/>
      <c r="LA131" s="336"/>
      <c r="LB131" s="336"/>
      <c r="LC131" s="336"/>
      <c r="LD131" s="336"/>
      <c r="LE131" s="336"/>
      <c r="LF131" s="336"/>
      <c r="LG131" s="336"/>
      <c r="LH131" s="336"/>
      <c r="LI131" s="336"/>
      <c r="LJ131" s="336"/>
      <c r="LK131" s="336"/>
      <c r="LL131" s="336"/>
      <c r="LM131" s="336"/>
      <c r="LN131" s="336"/>
      <c r="LO131" s="336"/>
      <c r="LP131" s="336"/>
      <c r="LQ131" s="337"/>
      <c r="MN131" s="10"/>
      <c r="OA131" s="10"/>
    </row>
    <row r="132" spans="1:391" s="370" customFormat="1" x14ac:dyDescent="0.25">
      <c r="A132" s="68"/>
      <c r="B132" s="10"/>
      <c r="C132" s="68"/>
      <c r="D132" s="68"/>
      <c r="E132" s="68"/>
      <c r="F132" s="68"/>
      <c r="G132" s="68"/>
      <c r="H132" s="68"/>
      <c r="I132" s="68"/>
      <c r="J132" s="68"/>
      <c r="K132" s="68"/>
      <c r="L132" s="68"/>
      <c r="M132" s="68"/>
      <c r="N132" s="68"/>
      <c r="O132" s="68"/>
      <c r="P132" s="68"/>
      <c r="Q132" s="68"/>
      <c r="R132" s="68"/>
      <c r="S132" s="68"/>
      <c r="T132" s="70"/>
      <c r="AC132" s="68"/>
      <c r="AD132" s="70"/>
      <c r="AM132" s="68"/>
      <c r="AN132" s="70"/>
      <c r="AU132" s="68"/>
      <c r="AV132" s="70"/>
      <c r="BB132" s="68"/>
      <c r="BC132" s="70"/>
      <c r="BD132" s="68"/>
      <c r="BE132" s="68"/>
      <c r="BF132" s="68"/>
      <c r="BG132" s="68"/>
      <c r="BH132" s="68"/>
      <c r="BI132" s="68"/>
      <c r="BJ132" s="70"/>
      <c r="BM132" s="68"/>
      <c r="BN132" s="70"/>
      <c r="BT132" s="68"/>
      <c r="BU132" s="70"/>
      <c r="BZ132" s="10"/>
      <c r="CF132" s="10"/>
      <c r="CI132" s="389"/>
      <c r="CJ132" s="389"/>
      <c r="CK132" s="68"/>
      <c r="CL132" s="70"/>
      <c r="CO132" s="10"/>
      <c r="CU132" s="10"/>
      <c r="DA132" s="10"/>
      <c r="DB132" s="70"/>
      <c r="DC132" s="70"/>
      <c r="DF132" s="68"/>
      <c r="DG132" s="70"/>
      <c r="DH132" s="68"/>
      <c r="DI132" s="386"/>
      <c r="DJ132" s="425"/>
      <c r="DL132" s="68"/>
      <c r="DM132" s="70"/>
      <c r="DQ132" s="68"/>
      <c r="DR132" s="70"/>
      <c r="DS132" s="338"/>
      <c r="DT132" s="338"/>
      <c r="DU132" s="338"/>
      <c r="DW132" s="338"/>
      <c r="DX132" s="338"/>
      <c r="DY132" s="338"/>
      <c r="EA132" s="338"/>
      <c r="EB132" s="338"/>
      <c r="EC132" s="338"/>
      <c r="EE132" s="338"/>
      <c r="EF132" s="338"/>
      <c r="EG132" s="338"/>
      <c r="EI132" s="336"/>
      <c r="EJ132" s="336"/>
      <c r="EK132" s="336"/>
      <c r="EL132" s="336"/>
      <c r="EM132" s="336"/>
      <c r="EN132" s="336"/>
      <c r="EO132" s="337"/>
      <c r="EP132" s="342"/>
      <c r="EQ132" s="336"/>
      <c r="ER132" s="342"/>
      <c r="ES132" s="336"/>
      <c r="ET132" s="342"/>
      <c r="EU132" s="336"/>
      <c r="EV132" s="342"/>
      <c r="EW132" s="336"/>
      <c r="EX132" s="342"/>
      <c r="EY132" s="342"/>
      <c r="EZ132" s="342"/>
      <c r="FA132" s="337"/>
      <c r="FE132" s="338"/>
      <c r="FH132" s="338"/>
      <c r="FI132" s="338"/>
      <c r="FJ132" s="338"/>
      <c r="FK132" s="338"/>
      <c r="FL132" s="338"/>
      <c r="FM132" s="337"/>
      <c r="FN132" s="336"/>
      <c r="FO132" s="336"/>
      <c r="FP132" s="336"/>
      <c r="FQ132" s="336"/>
      <c r="FR132" s="336"/>
      <c r="FS132" s="336"/>
      <c r="FT132" s="336"/>
      <c r="FU132" s="336"/>
      <c r="FV132" s="336"/>
      <c r="FW132" s="337"/>
      <c r="FX132" s="532"/>
      <c r="FY132" s="341"/>
      <c r="FZ132" s="341"/>
      <c r="GA132" s="336"/>
      <c r="GB132" s="341"/>
      <c r="GC132" s="341"/>
      <c r="GD132" s="341"/>
      <c r="GE132" s="336"/>
      <c r="GF132" s="336"/>
      <c r="GG132" s="336"/>
      <c r="GH132" s="336"/>
      <c r="GI132" s="336"/>
      <c r="GJ132" s="337"/>
      <c r="GM132" s="338"/>
      <c r="GN132" s="338"/>
      <c r="GO132" s="338"/>
      <c r="GS132" s="338"/>
      <c r="GT132" s="338"/>
      <c r="GU132" s="338"/>
      <c r="GY132" s="338"/>
      <c r="GZ132" s="338"/>
      <c r="HA132" s="338"/>
      <c r="HE132" s="338"/>
      <c r="HF132" s="338"/>
      <c r="HG132" s="338"/>
      <c r="HN132" s="68"/>
      <c r="HO132" s="68"/>
      <c r="HP132" s="68"/>
      <c r="HQ132" s="336"/>
      <c r="HR132" s="68"/>
      <c r="HS132" s="68"/>
      <c r="HT132" s="10"/>
      <c r="HW132" s="338"/>
      <c r="HX132" s="338"/>
      <c r="HY132" s="338"/>
      <c r="IC132" s="338"/>
      <c r="ID132" s="338"/>
      <c r="IE132" s="338"/>
      <c r="II132" s="338"/>
      <c r="IJ132" s="338"/>
      <c r="IK132" s="338"/>
      <c r="IO132" s="338"/>
      <c r="IP132" s="338"/>
      <c r="IQ132" s="338"/>
      <c r="IX132" s="68"/>
      <c r="IY132" s="68"/>
      <c r="IZ132" s="68"/>
      <c r="JA132" s="68"/>
      <c r="JB132" s="68"/>
      <c r="JC132" s="68"/>
      <c r="JD132" s="10"/>
      <c r="JG132" s="338"/>
      <c r="JH132" s="338"/>
      <c r="JI132" s="338"/>
      <c r="JM132" s="338"/>
      <c r="JN132" s="338"/>
      <c r="JQ132" s="338"/>
      <c r="JR132" s="338"/>
      <c r="JS132" s="338"/>
      <c r="JW132" s="358"/>
      <c r="JX132" s="336"/>
      <c r="JY132" s="336"/>
      <c r="JZ132" s="336"/>
      <c r="KA132" s="336"/>
      <c r="KB132" s="336"/>
      <c r="KC132" s="336"/>
      <c r="KD132" s="336"/>
      <c r="KE132" s="336"/>
      <c r="KF132" s="336"/>
      <c r="KG132" s="337"/>
      <c r="KH132" s="338"/>
      <c r="KI132" s="338"/>
      <c r="KJ132" s="338"/>
      <c r="KK132" s="338"/>
      <c r="KL132" s="338"/>
      <c r="KM132" s="338"/>
      <c r="KN132" s="338"/>
      <c r="KO132" s="338"/>
      <c r="KP132" s="338"/>
      <c r="KQ132" s="338"/>
      <c r="KR132" s="338"/>
      <c r="KS132" s="338"/>
      <c r="KT132" s="338"/>
      <c r="KU132" s="338"/>
      <c r="KV132" s="338"/>
      <c r="KW132" s="337"/>
      <c r="KX132" s="336"/>
      <c r="KY132" s="336"/>
      <c r="KZ132" s="336"/>
      <c r="LA132" s="336"/>
      <c r="LB132" s="336"/>
      <c r="LC132" s="336"/>
      <c r="LD132" s="336"/>
      <c r="LE132" s="336"/>
      <c r="LF132" s="336"/>
      <c r="LG132" s="336"/>
      <c r="LH132" s="336"/>
      <c r="LI132" s="336"/>
      <c r="LJ132" s="336"/>
      <c r="LK132" s="336"/>
      <c r="LL132" s="336"/>
      <c r="LM132" s="336"/>
      <c r="LN132" s="336"/>
      <c r="LO132" s="336"/>
      <c r="LP132" s="336"/>
      <c r="LQ132" s="337"/>
      <c r="MN132" s="10"/>
      <c r="OA132" s="10"/>
    </row>
    <row r="133" spans="1:391" s="370" customFormat="1" x14ac:dyDescent="0.25">
      <c r="A133" s="68"/>
      <c r="B133" s="10"/>
      <c r="C133" s="68"/>
      <c r="D133" s="68"/>
      <c r="E133" s="68"/>
      <c r="F133" s="68"/>
      <c r="G133" s="68"/>
      <c r="H133" s="68"/>
      <c r="I133" s="68"/>
      <c r="J133" s="68"/>
      <c r="K133" s="68"/>
      <c r="L133" s="68"/>
      <c r="M133" s="68"/>
      <c r="N133" s="68"/>
      <c r="O133" s="68"/>
      <c r="P133" s="68"/>
      <c r="Q133" s="68"/>
      <c r="R133" s="68"/>
      <c r="S133" s="68"/>
      <c r="T133" s="70"/>
      <c r="AC133" s="68"/>
      <c r="AD133" s="70"/>
      <c r="AM133" s="68"/>
      <c r="AN133" s="70"/>
      <c r="AU133" s="68"/>
      <c r="AV133" s="70"/>
      <c r="BB133" s="68"/>
      <c r="BC133" s="70"/>
      <c r="BD133" s="68"/>
      <c r="BE133" s="68"/>
      <c r="BF133" s="68"/>
      <c r="BG133" s="68"/>
      <c r="BH133" s="68"/>
      <c r="BI133" s="68"/>
      <c r="BJ133" s="70"/>
      <c r="BM133" s="68"/>
      <c r="BN133" s="70"/>
      <c r="BT133" s="68"/>
      <c r="BU133" s="70"/>
      <c r="BZ133" s="10"/>
      <c r="CF133" s="10"/>
      <c r="CI133" s="389"/>
      <c r="CJ133" s="389"/>
      <c r="CK133" s="68"/>
      <c r="CL133" s="70"/>
      <c r="CO133" s="10"/>
      <c r="CU133" s="10"/>
      <c r="DA133" s="10"/>
      <c r="DB133" s="70"/>
      <c r="DC133" s="70"/>
      <c r="DF133" s="68"/>
      <c r="DG133" s="70"/>
      <c r="DH133" s="68"/>
      <c r="DI133" s="386"/>
      <c r="DJ133" s="425"/>
      <c r="DL133" s="68"/>
      <c r="DM133" s="70"/>
      <c r="DQ133" s="68"/>
      <c r="DR133" s="70"/>
      <c r="DS133" s="338"/>
      <c r="DT133" s="338"/>
      <c r="DU133" s="338"/>
      <c r="DW133" s="338"/>
      <c r="DX133" s="338"/>
      <c r="DY133" s="338"/>
      <c r="EA133" s="338"/>
      <c r="EB133" s="338"/>
      <c r="EC133" s="338"/>
      <c r="EE133" s="338"/>
      <c r="EF133" s="338"/>
      <c r="EG133" s="338"/>
      <c r="EI133" s="336"/>
      <c r="EJ133" s="336"/>
      <c r="EK133" s="336"/>
      <c r="EL133" s="336"/>
      <c r="EM133" s="336"/>
      <c r="EN133" s="336"/>
      <c r="EO133" s="337"/>
      <c r="EP133" s="342"/>
      <c r="EQ133" s="336"/>
      <c r="ER133" s="342"/>
      <c r="ES133" s="336"/>
      <c r="ET133" s="342"/>
      <c r="EU133" s="336"/>
      <c r="EV133" s="342"/>
      <c r="EW133" s="336"/>
      <c r="EX133" s="342"/>
      <c r="EY133" s="342"/>
      <c r="EZ133" s="342"/>
      <c r="FA133" s="337"/>
      <c r="FE133" s="338"/>
      <c r="FH133" s="338"/>
      <c r="FI133" s="338"/>
      <c r="FJ133" s="338"/>
      <c r="FK133" s="338"/>
      <c r="FL133" s="338"/>
      <c r="FM133" s="337"/>
      <c r="FN133" s="336"/>
      <c r="FO133" s="336"/>
      <c r="FP133" s="336"/>
      <c r="FQ133" s="336"/>
      <c r="FR133" s="336"/>
      <c r="FS133" s="336"/>
      <c r="FT133" s="336"/>
      <c r="FU133" s="336"/>
      <c r="FV133" s="336"/>
      <c r="FW133" s="337"/>
      <c r="FX133" s="532"/>
      <c r="FY133" s="341"/>
      <c r="FZ133" s="341"/>
      <c r="GA133" s="336"/>
      <c r="GB133" s="341"/>
      <c r="GC133" s="341"/>
      <c r="GD133" s="341"/>
      <c r="GE133" s="336"/>
      <c r="GF133" s="336"/>
      <c r="GG133" s="336"/>
      <c r="GH133" s="336"/>
      <c r="GI133" s="336"/>
      <c r="GJ133" s="337"/>
      <c r="GM133" s="338"/>
      <c r="GN133" s="338"/>
      <c r="GO133" s="338"/>
      <c r="GS133" s="338"/>
      <c r="GT133" s="338"/>
      <c r="GU133" s="338"/>
      <c r="GY133" s="338"/>
      <c r="GZ133" s="338"/>
      <c r="HA133" s="338"/>
      <c r="HE133" s="338"/>
      <c r="HF133" s="338"/>
      <c r="HG133" s="338"/>
      <c r="HN133" s="68"/>
      <c r="HO133" s="68"/>
      <c r="HP133" s="68"/>
      <c r="HQ133" s="336"/>
      <c r="HR133" s="68"/>
      <c r="HS133" s="68"/>
      <c r="HT133" s="10"/>
      <c r="HW133" s="338"/>
      <c r="HX133" s="338"/>
      <c r="HY133" s="338"/>
      <c r="IC133" s="338"/>
      <c r="ID133" s="338"/>
      <c r="IE133" s="338"/>
      <c r="II133" s="338"/>
      <c r="IJ133" s="338"/>
      <c r="IK133" s="338"/>
      <c r="IO133" s="338"/>
      <c r="IP133" s="338"/>
      <c r="IQ133" s="338"/>
      <c r="IX133" s="68"/>
      <c r="IY133" s="68"/>
      <c r="IZ133" s="68"/>
      <c r="JA133" s="68"/>
      <c r="JB133" s="68"/>
      <c r="JC133" s="68"/>
      <c r="JD133" s="10"/>
      <c r="JG133" s="338"/>
      <c r="JH133" s="338"/>
      <c r="JI133" s="338"/>
      <c r="JM133" s="338"/>
      <c r="JN133" s="338"/>
      <c r="JQ133" s="338"/>
      <c r="JR133" s="338"/>
      <c r="JS133" s="338"/>
      <c r="JW133" s="358"/>
      <c r="JX133" s="336"/>
      <c r="JY133" s="336"/>
      <c r="JZ133" s="336"/>
      <c r="KA133" s="336"/>
      <c r="KB133" s="336"/>
      <c r="KC133" s="336"/>
      <c r="KD133" s="336"/>
      <c r="KE133" s="336"/>
      <c r="KF133" s="336"/>
      <c r="KG133" s="337"/>
      <c r="KH133" s="338"/>
      <c r="KI133" s="338"/>
      <c r="KJ133" s="338"/>
      <c r="KK133" s="338"/>
      <c r="KL133" s="338"/>
      <c r="KM133" s="338"/>
      <c r="KN133" s="338"/>
      <c r="KO133" s="338"/>
      <c r="KP133" s="338"/>
      <c r="KQ133" s="338"/>
      <c r="KR133" s="338"/>
      <c r="KS133" s="338"/>
      <c r="KT133" s="338"/>
      <c r="KU133" s="338"/>
      <c r="KV133" s="338"/>
      <c r="KW133" s="337"/>
      <c r="KX133" s="336"/>
      <c r="KY133" s="336"/>
      <c r="KZ133" s="336"/>
      <c r="LA133" s="336"/>
      <c r="LB133" s="336"/>
      <c r="LC133" s="336"/>
      <c r="LD133" s="336"/>
      <c r="LE133" s="336"/>
      <c r="LF133" s="336"/>
      <c r="LG133" s="336"/>
      <c r="LH133" s="336"/>
      <c r="LI133" s="336"/>
      <c r="LJ133" s="336"/>
      <c r="LK133" s="336"/>
      <c r="LL133" s="336"/>
      <c r="LM133" s="336"/>
      <c r="LN133" s="336"/>
      <c r="LO133" s="336"/>
      <c r="LP133" s="336"/>
      <c r="LQ133" s="337"/>
      <c r="MN133" s="10"/>
      <c r="OA133" s="10"/>
    </row>
    <row r="134" spans="1:391" s="370" customFormat="1" x14ac:dyDescent="0.25">
      <c r="A134" s="68"/>
      <c r="B134" s="10"/>
      <c r="C134" s="68"/>
      <c r="D134" s="68"/>
      <c r="E134" s="68"/>
      <c r="F134" s="68"/>
      <c r="G134" s="68"/>
      <c r="H134" s="68"/>
      <c r="I134" s="68"/>
      <c r="J134" s="68"/>
      <c r="K134" s="68"/>
      <c r="L134" s="68"/>
      <c r="M134" s="68"/>
      <c r="N134" s="68"/>
      <c r="O134" s="68"/>
      <c r="P134" s="68"/>
      <c r="Q134" s="68"/>
      <c r="R134" s="68"/>
      <c r="S134" s="68"/>
      <c r="T134" s="70"/>
      <c r="AC134" s="68"/>
      <c r="AD134" s="70"/>
      <c r="AM134" s="68"/>
      <c r="AN134" s="70"/>
      <c r="AU134" s="68"/>
      <c r="AV134" s="70"/>
      <c r="BB134" s="68"/>
      <c r="BC134" s="70"/>
      <c r="BD134" s="68"/>
      <c r="BE134" s="68"/>
      <c r="BF134" s="68"/>
      <c r="BG134" s="68"/>
      <c r="BH134" s="68"/>
      <c r="BI134" s="68"/>
      <c r="BJ134" s="70"/>
      <c r="BM134" s="68"/>
      <c r="BN134" s="70"/>
      <c r="BT134" s="68"/>
      <c r="BU134" s="70"/>
      <c r="BZ134" s="10"/>
      <c r="CF134" s="10"/>
      <c r="CI134" s="389"/>
      <c r="CJ134" s="389"/>
      <c r="CK134" s="68"/>
      <c r="CL134" s="70"/>
      <c r="CO134" s="10"/>
      <c r="CU134" s="10"/>
      <c r="DA134" s="10"/>
      <c r="DB134" s="70"/>
      <c r="DC134" s="70"/>
      <c r="DF134" s="68"/>
      <c r="DG134" s="70"/>
      <c r="DH134" s="68"/>
      <c r="DI134" s="386"/>
      <c r="DJ134" s="425"/>
      <c r="DL134" s="68"/>
      <c r="DM134" s="70"/>
      <c r="DQ134" s="68"/>
      <c r="DR134" s="70"/>
      <c r="DS134" s="338"/>
      <c r="DT134" s="338"/>
      <c r="DU134" s="338"/>
      <c r="DW134" s="338"/>
      <c r="DX134" s="338"/>
      <c r="DY134" s="338"/>
      <c r="EA134" s="338"/>
      <c r="EB134" s="338"/>
      <c r="EC134" s="338"/>
      <c r="EE134" s="338"/>
      <c r="EF134" s="338"/>
      <c r="EG134" s="338"/>
      <c r="EI134" s="336"/>
      <c r="EJ134" s="336"/>
      <c r="EK134" s="336"/>
      <c r="EL134" s="336"/>
      <c r="EM134" s="336"/>
      <c r="EN134" s="336"/>
      <c r="EO134" s="337"/>
      <c r="EP134" s="342"/>
      <c r="EQ134" s="336"/>
      <c r="ER134" s="342"/>
      <c r="ES134" s="336"/>
      <c r="ET134" s="342"/>
      <c r="EU134" s="336"/>
      <c r="EV134" s="342"/>
      <c r="EW134" s="336"/>
      <c r="EX134" s="342"/>
      <c r="EY134" s="342"/>
      <c r="EZ134" s="342"/>
      <c r="FA134" s="337"/>
      <c r="FE134" s="338"/>
      <c r="FH134" s="338"/>
      <c r="FI134" s="338"/>
      <c r="FJ134" s="338"/>
      <c r="FK134" s="338"/>
      <c r="FL134" s="338"/>
      <c r="FM134" s="337"/>
      <c r="FN134" s="336"/>
      <c r="FO134" s="336"/>
      <c r="FP134" s="336"/>
      <c r="FQ134" s="336"/>
      <c r="FR134" s="336"/>
      <c r="FS134" s="336"/>
      <c r="FT134" s="336"/>
      <c r="FU134" s="336"/>
      <c r="FV134" s="336"/>
      <c r="FW134" s="337"/>
      <c r="FX134" s="532"/>
      <c r="FY134" s="341"/>
      <c r="FZ134" s="341"/>
      <c r="GA134" s="336"/>
      <c r="GB134" s="341"/>
      <c r="GC134" s="341"/>
      <c r="GD134" s="341"/>
      <c r="GE134" s="336"/>
      <c r="GF134" s="336"/>
      <c r="GG134" s="336"/>
      <c r="GH134" s="336"/>
      <c r="GI134" s="336"/>
      <c r="GJ134" s="337"/>
      <c r="GM134" s="338"/>
      <c r="GN134" s="338"/>
      <c r="GO134" s="338"/>
      <c r="GS134" s="338"/>
      <c r="GT134" s="338"/>
      <c r="GU134" s="338"/>
      <c r="GY134" s="338"/>
      <c r="GZ134" s="338"/>
      <c r="HA134" s="338"/>
      <c r="HE134" s="338"/>
      <c r="HF134" s="338"/>
      <c r="HG134" s="338"/>
      <c r="HN134" s="68"/>
      <c r="HO134" s="68"/>
      <c r="HP134" s="68"/>
      <c r="HQ134" s="336"/>
      <c r="HR134" s="68"/>
      <c r="HS134" s="68"/>
      <c r="HT134" s="10"/>
      <c r="HW134" s="338"/>
      <c r="HX134" s="338"/>
      <c r="HY134" s="338"/>
      <c r="IC134" s="338"/>
      <c r="ID134" s="338"/>
      <c r="IE134" s="338"/>
      <c r="II134" s="338"/>
      <c r="IJ134" s="338"/>
      <c r="IK134" s="338"/>
      <c r="IO134" s="338"/>
      <c r="IP134" s="338"/>
      <c r="IQ134" s="338"/>
      <c r="IX134" s="68"/>
      <c r="IY134" s="68"/>
      <c r="IZ134" s="68"/>
      <c r="JA134" s="68"/>
      <c r="JB134" s="68"/>
      <c r="JC134" s="68"/>
      <c r="JD134" s="10"/>
      <c r="JG134" s="338"/>
      <c r="JH134" s="338"/>
      <c r="JI134" s="338"/>
      <c r="JM134" s="338"/>
      <c r="JN134" s="338"/>
      <c r="JQ134" s="338"/>
      <c r="JR134" s="338"/>
      <c r="JS134" s="338"/>
      <c r="JW134" s="358"/>
      <c r="JX134" s="336"/>
      <c r="JY134" s="336"/>
      <c r="JZ134" s="336"/>
      <c r="KA134" s="336"/>
      <c r="KB134" s="336"/>
      <c r="KC134" s="336"/>
      <c r="KD134" s="336"/>
      <c r="KE134" s="336"/>
      <c r="KF134" s="336"/>
      <c r="KG134" s="337"/>
      <c r="KH134" s="338"/>
      <c r="KI134" s="338"/>
      <c r="KJ134" s="338"/>
      <c r="KK134" s="338"/>
      <c r="KL134" s="338"/>
      <c r="KM134" s="338"/>
      <c r="KN134" s="338"/>
      <c r="KO134" s="338"/>
      <c r="KP134" s="338"/>
      <c r="KQ134" s="338"/>
      <c r="KR134" s="338"/>
      <c r="KS134" s="338"/>
      <c r="KT134" s="338"/>
      <c r="KU134" s="338"/>
      <c r="KV134" s="338"/>
      <c r="KW134" s="337"/>
      <c r="KX134" s="336"/>
      <c r="KY134" s="336"/>
      <c r="KZ134" s="336"/>
      <c r="LA134" s="336"/>
      <c r="LB134" s="336"/>
      <c r="LC134" s="336"/>
      <c r="LD134" s="336"/>
      <c r="LE134" s="336"/>
      <c r="LF134" s="336"/>
      <c r="LG134" s="336"/>
      <c r="LH134" s="336"/>
      <c r="LI134" s="336"/>
      <c r="LJ134" s="336"/>
      <c r="LK134" s="336"/>
      <c r="LL134" s="336"/>
      <c r="LM134" s="336"/>
      <c r="LN134" s="336"/>
      <c r="LO134" s="336"/>
      <c r="LP134" s="336"/>
      <c r="LQ134" s="337"/>
      <c r="MN134" s="10"/>
      <c r="OA134" s="10"/>
    </row>
    <row r="135" spans="1:391" s="370" customFormat="1" x14ac:dyDescent="0.25">
      <c r="A135" s="68"/>
      <c r="B135" s="10"/>
      <c r="C135" s="68"/>
      <c r="D135" s="68"/>
      <c r="E135" s="68"/>
      <c r="F135" s="68"/>
      <c r="G135" s="68"/>
      <c r="H135" s="68"/>
      <c r="I135" s="68"/>
      <c r="J135" s="68"/>
      <c r="K135" s="68"/>
      <c r="L135" s="68"/>
      <c r="M135" s="68"/>
      <c r="N135" s="68"/>
      <c r="O135" s="68"/>
      <c r="P135" s="68"/>
      <c r="Q135" s="68"/>
      <c r="R135" s="68"/>
      <c r="S135" s="68"/>
      <c r="T135" s="70"/>
      <c r="AC135" s="68"/>
      <c r="AD135" s="70"/>
      <c r="AM135" s="68"/>
      <c r="AN135" s="70"/>
      <c r="AU135" s="68"/>
      <c r="AV135" s="70"/>
      <c r="BB135" s="68"/>
      <c r="BC135" s="70"/>
      <c r="BD135" s="68"/>
      <c r="BE135" s="68"/>
      <c r="BF135" s="68"/>
      <c r="BG135" s="68"/>
      <c r="BH135" s="68"/>
      <c r="BI135" s="68"/>
      <c r="BJ135" s="70"/>
      <c r="BM135" s="68"/>
      <c r="BN135" s="70"/>
      <c r="BT135" s="68"/>
      <c r="BU135" s="70"/>
      <c r="BZ135" s="10"/>
      <c r="CF135" s="10"/>
      <c r="CI135" s="389"/>
      <c r="CJ135" s="389"/>
      <c r="CK135" s="68"/>
      <c r="CL135" s="70"/>
      <c r="CO135" s="10"/>
      <c r="CU135" s="10"/>
      <c r="DA135" s="10"/>
      <c r="DB135" s="70"/>
      <c r="DC135" s="70"/>
      <c r="DF135" s="68"/>
      <c r="DG135" s="70"/>
      <c r="DH135" s="68"/>
      <c r="DI135" s="386"/>
      <c r="DJ135" s="425"/>
      <c r="DL135" s="68"/>
      <c r="DM135" s="70"/>
      <c r="DQ135" s="68"/>
      <c r="DR135" s="70"/>
      <c r="DS135" s="338"/>
      <c r="DT135" s="338"/>
      <c r="DU135" s="338"/>
      <c r="DW135" s="338"/>
      <c r="DX135" s="338"/>
      <c r="DY135" s="338"/>
      <c r="EA135" s="338"/>
      <c r="EB135" s="338"/>
      <c r="EC135" s="338"/>
      <c r="EE135" s="338"/>
      <c r="EF135" s="338"/>
      <c r="EG135" s="338"/>
      <c r="EI135" s="336"/>
      <c r="EJ135" s="336"/>
      <c r="EK135" s="336"/>
      <c r="EL135" s="336"/>
      <c r="EM135" s="336"/>
      <c r="EN135" s="336"/>
      <c r="EO135" s="337"/>
      <c r="EP135" s="342"/>
      <c r="EQ135" s="336"/>
      <c r="ER135" s="342"/>
      <c r="ES135" s="336"/>
      <c r="ET135" s="342"/>
      <c r="EU135" s="336"/>
      <c r="EV135" s="342"/>
      <c r="EW135" s="336"/>
      <c r="EX135" s="342"/>
      <c r="EY135" s="342"/>
      <c r="EZ135" s="342"/>
      <c r="FA135" s="337"/>
      <c r="FE135" s="338"/>
      <c r="FH135" s="338"/>
      <c r="FI135" s="338"/>
      <c r="FJ135" s="338"/>
      <c r="FK135" s="338"/>
      <c r="FL135" s="338"/>
      <c r="FM135" s="337"/>
      <c r="FN135" s="336"/>
      <c r="FO135" s="336"/>
      <c r="FP135" s="336"/>
      <c r="FQ135" s="336"/>
      <c r="FR135" s="336"/>
      <c r="FS135" s="336"/>
      <c r="FT135" s="336"/>
      <c r="FU135" s="336"/>
      <c r="FV135" s="336"/>
      <c r="FW135" s="337"/>
      <c r="FX135" s="532"/>
      <c r="FY135" s="341"/>
      <c r="FZ135" s="341"/>
      <c r="GA135" s="336"/>
      <c r="GB135" s="341"/>
      <c r="GC135" s="341"/>
      <c r="GD135" s="341"/>
      <c r="GE135" s="336"/>
      <c r="GF135" s="336"/>
      <c r="GG135" s="336"/>
      <c r="GH135" s="336"/>
      <c r="GI135" s="336"/>
      <c r="GJ135" s="337"/>
      <c r="GM135" s="338"/>
      <c r="GN135" s="338"/>
      <c r="GO135" s="338"/>
      <c r="GS135" s="338"/>
      <c r="GT135" s="338"/>
      <c r="GU135" s="338"/>
      <c r="GY135" s="338"/>
      <c r="GZ135" s="338"/>
      <c r="HA135" s="338"/>
      <c r="HE135" s="338"/>
      <c r="HF135" s="338"/>
      <c r="HG135" s="338"/>
      <c r="HN135" s="68"/>
      <c r="HO135" s="68"/>
      <c r="HP135" s="68"/>
      <c r="HQ135" s="336"/>
      <c r="HR135" s="68"/>
      <c r="HS135" s="68"/>
      <c r="HT135" s="10"/>
      <c r="HW135" s="338"/>
      <c r="HX135" s="338"/>
      <c r="HY135" s="338"/>
      <c r="IC135" s="338"/>
      <c r="ID135" s="338"/>
      <c r="IE135" s="338"/>
      <c r="II135" s="338"/>
      <c r="IJ135" s="338"/>
      <c r="IK135" s="338"/>
      <c r="IO135" s="338"/>
      <c r="IP135" s="338"/>
      <c r="IQ135" s="338"/>
      <c r="IX135" s="68"/>
      <c r="IY135" s="68"/>
      <c r="IZ135" s="68"/>
      <c r="JA135" s="68"/>
      <c r="JB135" s="68"/>
      <c r="JC135" s="68"/>
      <c r="JD135" s="10"/>
      <c r="JG135" s="338"/>
      <c r="JH135" s="338"/>
      <c r="JI135" s="338"/>
      <c r="JM135" s="338"/>
      <c r="JN135" s="338"/>
      <c r="JQ135" s="338"/>
      <c r="JR135" s="338"/>
      <c r="JS135" s="338"/>
      <c r="JW135" s="358"/>
      <c r="JX135" s="336"/>
      <c r="JY135" s="336"/>
      <c r="JZ135" s="336"/>
      <c r="KA135" s="336"/>
      <c r="KB135" s="336"/>
      <c r="KC135" s="336"/>
      <c r="KD135" s="336"/>
      <c r="KE135" s="336"/>
      <c r="KF135" s="336"/>
      <c r="KG135" s="337"/>
      <c r="KH135" s="338"/>
      <c r="KI135" s="338"/>
      <c r="KJ135" s="338"/>
      <c r="KK135" s="338"/>
      <c r="KL135" s="338"/>
      <c r="KM135" s="338"/>
      <c r="KN135" s="338"/>
      <c r="KO135" s="338"/>
      <c r="KP135" s="338"/>
      <c r="KQ135" s="338"/>
      <c r="KR135" s="338"/>
      <c r="KS135" s="338"/>
      <c r="KT135" s="338"/>
      <c r="KU135" s="338"/>
      <c r="KV135" s="338"/>
      <c r="KW135" s="337"/>
      <c r="KX135" s="336"/>
      <c r="KY135" s="336"/>
      <c r="KZ135" s="336"/>
      <c r="LA135" s="336"/>
      <c r="LB135" s="336"/>
      <c r="LC135" s="336"/>
      <c r="LD135" s="336"/>
      <c r="LE135" s="336"/>
      <c r="LF135" s="336"/>
      <c r="LG135" s="336"/>
      <c r="LH135" s="336"/>
      <c r="LI135" s="336"/>
      <c r="LJ135" s="336"/>
      <c r="LK135" s="336"/>
      <c r="LL135" s="336"/>
      <c r="LM135" s="336"/>
      <c r="LN135" s="336"/>
      <c r="LO135" s="336"/>
      <c r="LP135" s="336"/>
      <c r="LQ135" s="337"/>
      <c r="MN135" s="10"/>
      <c r="OA135" s="10"/>
    </row>
    <row r="136" spans="1:391" s="370" customFormat="1" x14ac:dyDescent="0.25">
      <c r="A136" s="68"/>
      <c r="B136" s="10"/>
      <c r="C136" s="68"/>
      <c r="D136" s="68"/>
      <c r="E136" s="68"/>
      <c r="F136" s="68"/>
      <c r="G136" s="68"/>
      <c r="H136" s="68"/>
      <c r="I136" s="68"/>
      <c r="J136" s="68"/>
      <c r="K136" s="68"/>
      <c r="L136" s="68"/>
      <c r="M136" s="68"/>
      <c r="N136" s="68"/>
      <c r="O136" s="68"/>
      <c r="P136" s="68"/>
      <c r="Q136" s="68"/>
      <c r="R136" s="68"/>
      <c r="S136" s="68"/>
      <c r="T136" s="70"/>
      <c r="AC136" s="68"/>
      <c r="AD136" s="70"/>
      <c r="AM136" s="68"/>
      <c r="AN136" s="70"/>
      <c r="AU136" s="68"/>
      <c r="AV136" s="70"/>
      <c r="BB136" s="68"/>
      <c r="BC136" s="70"/>
      <c r="BD136" s="68"/>
      <c r="BE136" s="68"/>
      <c r="BF136" s="68"/>
      <c r="BG136" s="68"/>
      <c r="BH136" s="68"/>
      <c r="BI136" s="68"/>
      <c r="BJ136" s="70"/>
      <c r="BM136" s="68"/>
      <c r="BN136" s="70"/>
      <c r="BT136" s="68"/>
      <c r="BU136" s="70"/>
      <c r="BZ136" s="10"/>
      <c r="CF136" s="10"/>
      <c r="CI136" s="389"/>
      <c r="CJ136" s="389"/>
      <c r="CK136" s="68"/>
      <c r="CL136" s="70"/>
      <c r="CO136" s="10"/>
      <c r="CU136" s="10"/>
      <c r="DA136" s="10"/>
      <c r="DB136" s="70"/>
      <c r="DC136" s="70"/>
      <c r="DF136" s="68"/>
      <c r="DG136" s="70"/>
      <c r="DH136" s="68"/>
      <c r="DI136" s="386"/>
      <c r="DJ136" s="425"/>
      <c r="DL136" s="68"/>
      <c r="DM136" s="70"/>
      <c r="DQ136" s="68"/>
      <c r="DR136" s="70"/>
      <c r="DS136" s="338"/>
      <c r="DT136" s="338"/>
      <c r="DU136" s="338"/>
      <c r="DW136" s="338"/>
      <c r="DX136" s="338"/>
      <c r="DY136" s="338"/>
      <c r="EA136" s="338"/>
      <c r="EB136" s="338"/>
      <c r="EC136" s="338"/>
      <c r="EE136" s="338"/>
      <c r="EF136" s="338"/>
      <c r="EG136" s="338"/>
      <c r="EI136" s="336"/>
      <c r="EJ136" s="336"/>
      <c r="EK136" s="336"/>
      <c r="EL136" s="336"/>
      <c r="EM136" s="336"/>
      <c r="EN136" s="336"/>
      <c r="EO136" s="337"/>
      <c r="EP136" s="342"/>
      <c r="EQ136" s="336"/>
      <c r="ER136" s="342"/>
      <c r="ES136" s="336"/>
      <c r="ET136" s="342"/>
      <c r="EU136" s="336"/>
      <c r="EV136" s="342"/>
      <c r="EW136" s="336"/>
      <c r="EX136" s="342"/>
      <c r="EY136" s="342"/>
      <c r="EZ136" s="342"/>
      <c r="FA136" s="337"/>
      <c r="FE136" s="338"/>
      <c r="FH136" s="338"/>
      <c r="FI136" s="338"/>
      <c r="FJ136" s="338"/>
      <c r="FK136" s="338"/>
      <c r="FL136" s="338"/>
      <c r="FM136" s="337"/>
      <c r="FN136" s="336"/>
      <c r="FO136" s="336"/>
      <c r="FP136" s="336"/>
      <c r="FQ136" s="336"/>
      <c r="FR136" s="336"/>
      <c r="FS136" s="336"/>
      <c r="FT136" s="336"/>
      <c r="FU136" s="336"/>
      <c r="FV136" s="336"/>
      <c r="FW136" s="337"/>
      <c r="FX136" s="532"/>
      <c r="FY136" s="341"/>
      <c r="FZ136" s="341"/>
      <c r="GA136" s="336"/>
      <c r="GB136" s="341"/>
      <c r="GC136" s="341"/>
      <c r="GD136" s="341"/>
      <c r="GE136" s="336"/>
      <c r="GF136" s="336"/>
      <c r="GG136" s="336"/>
      <c r="GH136" s="336"/>
      <c r="GI136" s="336"/>
      <c r="GJ136" s="337"/>
      <c r="GM136" s="338"/>
      <c r="GN136" s="338"/>
      <c r="GO136" s="338"/>
      <c r="GS136" s="338"/>
      <c r="GT136" s="338"/>
      <c r="GU136" s="338"/>
      <c r="GY136" s="338"/>
      <c r="GZ136" s="338"/>
      <c r="HA136" s="338"/>
      <c r="HE136" s="338"/>
      <c r="HF136" s="338"/>
      <c r="HG136" s="338"/>
      <c r="HN136" s="68"/>
      <c r="HO136" s="68"/>
      <c r="HP136" s="68"/>
      <c r="HQ136" s="336"/>
      <c r="HR136" s="68"/>
      <c r="HS136" s="68"/>
      <c r="HT136" s="10"/>
      <c r="HW136" s="338"/>
      <c r="HX136" s="338"/>
      <c r="HY136" s="338"/>
      <c r="IC136" s="338"/>
      <c r="ID136" s="338"/>
      <c r="IE136" s="338"/>
      <c r="II136" s="338"/>
      <c r="IJ136" s="338"/>
      <c r="IK136" s="338"/>
      <c r="IO136" s="338"/>
      <c r="IP136" s="338"/>
      <c r="IQ136" s="338"/>
      <c r="IX136" s="68"/>
      <c r="IY136" s="68"/>
      <c r="IZ136" s="68"/>
      <c r="JA136" s="68"/>
      <c r="JB136" s="68"/>
      <c r="JC136" s="68"/>
      <c r="JD136" s="10"/>
      <c r="JG136" s="338"/>
      <c r="JH136" s="338"/>
      <c r="JI136" s="338"/>
      <c r="JM136" s="338"/>
      <c r="JN136" s="338"/>
      <c r="JQ136" s="338"/>
      <c r="JR136" s="338"/>
      <c r="JS136" s="338"/>
      <c r="JW136" s="358"/>
      <c r="JX136" s="336"/>
      <c r="JY136" s="336"/>
      <c r="JZ136" s="336"/>
      <c r="KA136" s="336"/>
      <c r="KB136" s="336"/>
      <c r="KC136" s="336"/>
      <c r="KD136" s="336"/>
      <c r="KE136" s="336"/>
      <c r="KF136" s="336"/>
      <c r="KG136" s="337"/>
      <c r="KH136" s="338"/>
      <c r="KI136" s="338"/>
      <c r="KJ136" s="338"/>
      <c r="KK136" s="338"/>
      <c r="KL136" s="338"/>
      <c r="KM136" s="338"/>
      <c r="KN136" s="338"/>
      <c r="KO136" s="338"/>
      <c r="KP136" s="338"/>
      <c r="KQ136" s="338"/>
      <c r="KR136" s="338"/>
      <c r="KS136" s="338"/>
      <c r="KT136" s="338"/>
      <c r="KU136" s="338"/>
      <c r="KV136" s="338"/>
      <c r="KW136" s="337"/>
      <c r="KX136" s="336"/>
      <c r="KY136" s="336"/>
      <c r="KZ136" s="336"/>
      <c r="LA136" s="336"/>
      <c r="LB136" s="336"/>
      <c r="LC136" s="336"/>
      <c r="LD136" s="336"/>
      <c r="LE136" s="336"/>
      <c r="LF136" s="336"/>
      <c r="LG136" s="336"/>
      <c r="LH136" s="336"/>
      <c r="LI136" s="336"/>
      <c r="LJ136" s="336"/>
      <c r="LK136" s="336"/>
      <c r="LL136" s="336"/>
      <c r="LM136" s="336"/>
      <c r="LN136" s="336"/>
      <c r="LO136" s="336"/>
      <c r="LP136" s="336"/>
      <c r="LQ136" s="337"/>
      <c r="MN136" s="10"/>
      <c r="OA136" s="10"/>
    </row>
    <row r="137" spans="1:391" s="370" customFormat="1" x14ac:dyDescent="0.25">
      <c r="A137" s="68"/>
      <c r="B137" s="10"/>
      <c r="C137" s="68"/>
      <c r="D137" s="68"/>
      <c r="E137" s="68"/>
      <c r="F137" s="68"/>
      <c r="G137" s="68"/>
      <c r="H137" s="68"/>
      <c r="I137" s="68"/>
      <c r="J137" s="68"/>
      <c r="K137" s="68"/>
      <c r="L137" s="68"/>
      <c r="M137" s="68"/>
      <c r="N137" s="68"/>
      <c r="O137" s="68"/>
      <c r="P137" s="68"/>
      <c r="Q137" s="68"/>
      <c r="R137" s="68"/>
      <c r="S137" s="68"/>
      <c r="T137" s="70"/>
      <c r="AC137" s="68"/>
      <c r="AD137" s="70"/>
      <c r="AM137" s="68"/>
      <c r="AN137" s="70"/>
      <c r="AU137" s="68"/>
      <c r="AV137" s="70"/>
      <c r="BB137" s="68"/>
      <c r="BC137" s="70"/>
      <c r="BD137" s="68"/>
      <c r="BE137" s="68"/>
      <c r="BF137" s="68"/>
      <c r="BG137" s="68"/>
      <c r="BH137" s="68"/>
      <c r="BI137" s="68"/>
      <c r="BJ137" s="70"/>
      <c r="BM137" s="68"/>
      <c r="BN137" s="70"/>
      <c r="BT137" s="68"/>
      <c r="BU137" s="70"/>
      <c r="BZ137" s="10"/>
      <c r="CF137" s="10"/>
      <c r="CI137" s="389"/>
      <c r="CJ137" s="389"/>
      <c r="CK137" s="68"/>
      <c r="CL137" s="70"/>
      <c r="CO137" s="10"/>
      <c r="CU137" s="10"/>
      <c r="DA137" s="10"/>
      <c r="DB137" s="70"/>
      <c r="DC137" s="70"/>
      <c r="DF137" s="68"/>
      <c r="DG137" s="70"/>
      <c r="DH137" s="68"/>
      <c r="DI137" s="386"/>
      <c r="DJ137" s="425"/>
      <c r="DL137" s="68"/>
      <c r="DM137" s="70"/>
      <c r="DQ137" s="68"/>
      <c r="DR137" s="70"/>
      <c r="DS137" s="338"/>
      <c r="DT137" s="338"/>
      <c r="DU137" s="338"/>
      <c r="DW137" s="338"/>
      <c r="DX137" s="338"/>
      <c r="DY137" s="338"/>
      <c r="EA137" s="338"/>
      <c r="EB137" s="338"/>
      <c r="EC137" s="338"/>
      <c r="EE137" s="338"/>
      <c r="EF137" s="338"/>
      <c r="EG137" s="338"/>
      <c r="EI137" s="336"/>
      <c r="EJ137" s="336"/>
      <c r="EK137" s="336"/>
      <c r="EL137" s="336"/>
      <c r="EM137" s="336"/>
      <c r="EN137" s="336"/>
      <c r="EO137" s="337"/>
      <c r="EP137" s="342"/>
      <c r="EQ137" s="336"/>
      <c r="ER137" s="342"/>
      <c r="ES137" s="336"/>
      <c r="ET137" s="342"/>
      <c r="EU137" s="336"/>
      <c r="EV137" s="342"/>
      <c r="EW137" s="336"/>
      <c r="EX137" s="342"/>
      <c r="EY137" s="342"/>
      <c r="EZ137" s="342"/>
      <c r="FA137" s="337"/>
      <c r="FE137" s="338"/>
      <c r="FH137" s="338"/>
      <c r="FI137" s="338"/>
      <c r="FJ137" s="338"/>
      <c r="FK137" s="338"/>
      <c r="FL137" s="338"/>
      <c r="FM137" s="337"/>
      <c r="FN137" s="336"/>
      <c r="FO137" s="336"/>
      <c r="FP137" s="336"/>
      <c r="FQ137" s="336"/>
      <c r="FR137" s="336"/>
      <c r="FS137" s="336"/>
      <c r="FT137" s="336"/>
      <c r="FU137" s="336"/>
      <c r="FV137" s="336"/>
      <c r="FW137" s="337"/>
      <c r="FX137" s="532"/>
      <c r="FY137" s="341"/>
      <c r="FZ137" s="341"/>
      <c r="GA137" s="336"/>
      <c r="GB137" s="341"/>
      <c r="GC137" s="341"/>
      <c r="GD137" s="341"/>
      <c r="GE137" s="336"/>
      <c r="GF137" s="336"/>
      <c r="GG137" s="336"/>
      <c r="GH137" s="336"/>
      <c r="GI137" s="336"/>
      <c r="GJ137" s="337"/>
      <c r="GM137" s="338"/>
      <c r="GN137" s="338"/>
      <c r="GO137" s="338"/>
      <c r="GS137" s="338"/>
      <c r="GT137" s="338"/>
      <c r="GU137" s="338"/>
      <c r="GY137" s="338"/>
      <c r="GZ137" s="338"/>
      <c r="HA137" s="338"/>
      <c r="HE137" s="338"/>
      <c r="HF137" s="338"/>
      <c r="HG137" s="338"/>
      <c r="HN137" s="68"/>
      <c r="HO137" s="68"/>
      <c r="HP137" s="68"/>
      <c r="HQ137" s="336"/>
      <c r="HR137" s="68"/>
      <c r="HS137" s="68"/>
      <c r="HT137" s="10"/>
      <c r="HW137" s="338"/>
      <c r="HX137" s="338"/>
      <c r="HY137" s="338"/>
      <c r="IC137" s="338"/>
      <c r="ID137" s="338"/>
      <c r="IE137" s="338"/>
      <c r="II137" s="338"/>
      <c r="IJ137" s="338"/>
      <c r="IK137" s="338"/>
      <c r="IO137" s="338"/>
      <c r="IP137" s="338"/>
      <c r="IQ137" s="338"/>
      <c r="IX137" s="68"/>
      <c r="IY137" s="68"/>
      <c r="IZ137" s="68"/>
      <c r="JA137" s="68"/>
      <c r="JB137" s="68"/>
      <c r="JC137" s="68"/>
      <c r="JD137" s="10"/>
      <c r="JG137" s="338"/>
      <c r="JH137" s="338"/>
      <c r="JI137" s="338"/>
      <c r="JM137" s="338"/>
      <c r="JN137" s="338"/>
      <c r="JQ137" s="338"/>
      <c r="JR137" s="338"/>
      <c r="JS137" s="338"/>
      <c r="JW137" s="358"/>
      <c r="JX137" s="336"/>
      <c r="JY137" s="336"/>
      <c r="JZ137" s="336"/>
      <c r="KA137" s="336"/>
      <c r="KB137" s="336"/>
      <c r="KC137" s="336"/>
      <c r="KD137" s="336"/>
      <c r="KE137" s="336"/>
      <c r="KF137" s="336"/>
      <c r="KG137" s="337"/>
      <c r="KH137" s="338"/>
      <c r="KI137" s="338"/>
      <c r="KJ137" s="338"/>
      <c r="KK137" s="338"/>
      <c r="KL137" s="338"/>
      <c r="KM137" s="338"/>
      <c r="KN137" s="338"/>
      <c r="KO137" s="338"/>
      <c r="KP137" s="338"/>
      <c r="KQ137" s="338"/>
      <c r="KR137" s="338"/>
      <c r="KS137" s="338"/>
      <c r="KT137" s="338"/>
      <c r="KU137" s="338"/>
      <c r="KV137" s="338"/>
      <c r="KW137" s="337"/>
      <c r="KX137" s="336"/>
      <c r="KY137" s="336"/>
      <c r="KZ137" s="336"/>
      <c r="LA137" s="336"/>
      <c r="LB137" s="336"/>
      <c r="LC137" s="336"/>
      <c r="LD137" s="336"/>
      <c r="LE137" s="336"/>
      <c r="LF137" s="336"/>
      <c r="LG137" s="336"/>
      <c r="LH137" s="336"/>
      <c r="LI137" s="336"/>
      <c r="LJ137" s="336"/>
      <c r="LK137" s="336"/>
      <c r="LL137" s="336"/>
      <c r="LM137" s="336"/>
      <c r="LN137" s="336"/>
      <c r="LO137" s="336"/>
      <c r="LP137" s="336"/>
      <c r="LQ137" s="337"/>
      <c r="MN137" s="10"/>
      <c r="OA137" s="10"/>
    </row>
    <row r="138" spans="1:391" s="370" customFormat="1" x14ac:dyDescent="0.25">
      <c r="A138" s="68"/>
      <c r="B138" s="10"/>
      <c r="C138" s="68"/>
      <c r="D138" s="68"/>
      <c r="E138" s="68"/>
      <c r="F138" s="68"/>
      <c r="G138" s="68"/>
      <c r="H138" s="68"/>
      <c r="I138" s="68"/>
      <c r="J138" s="68"/>
      <c r="K138" s="68"/>
      <c r="L138" s="68"/>
      <c r="M138" s="68"/>
      <c r="N138" s="68"/>
      <c r="O138" s="68"/>
      <c r="P138" s="68"/>
      <c r="Q138" s="68"/>
      <c r="R138" s="68"/>
      <c r="S138" s="68"/>
      <c r="T138" s="70"/>
      <c r="AC138" s="68"/>
      <c r="AD138" s="70"/>
      <c r="AM138" s="68"/>
      <c r="AN138" s="70"/>
      <c r="AU138" s="68"/>
      <c r="AV138" s="70"/>
      <c r="BB138" s="68"/>
      <c r="BC138" s="70"/>
      <c r="BD138" s="68"/>
      <c r="BE138" s="68"/>
      <c r="BF138" s="68"/>
      <c r="BG138" s="68"/>
      <c r="BH138" s="68"/>
      <c r="BI138" s="68"/>
      <c r="BJ138" s="70"/>
      <c r="BM138" s="68"/>
      <c r="BN138" s="70"/>
      <c r="BT138" s="68"/>
      <c r="BU138" s="70"/>
      <c r="BZ138" s="10"/>
      <c r="CF138" s="10"/>
      <c r="CI138" s="389"/>
      <c r="CJ138" s="389"/>
      <c r="CK138" s="68"/>
      <c r="CL138" s="70"/>
      <c r="CO138" s="10"/>
      <c r="CU138" s="10"/>
      <c r="DA138" s="10"/>
      <c r="DB138" s="70"/>
      <c r="DC138" s="70"/>
      <c r="DF138" s="68"/>
      <c r="DG138" s="70"/>
      <c r="DH138" s="68"/>
      <c r="DI138" s="386"/>
      <c r="DJ138" s="425"/>
      <c r="DL138" s="68"/>
      <c r="DM138" s="70"/>
      <c r="DQ138" s="68"/>
      <c r="DR138" s="70"/>
      <c r="DS138" s="338"/>
      <c r="DT138" s="338"/>
      <c r="DU138" s="338"/>
      <c r="DW138" s="338"/>
      <c r="DX138" s="338"/>
      <c r="DY138" s="338"/>
      <c r="EA138" s="338"/>
      <c r="EB138" s="338"/>
      <c r="EC138" s="338"/>
      <c r="EE138" s="338"/>
      <c r="EF138" s="338"/>
      <c r="EG138" s="338"/>
      <c r="EI138" s="336"/>
      <c r="EJ138" s="336"/>
      <c r="EK138" s="336"/>
      <c r="EL138" s="336"/>
      <c r="EM138" s="336"/>
      <c r="EN138" s="336"/>
      <c r="EO138" s="337"/>
      <c r="EP138" s="342"/>
      <c r="EQ138" s="336"/>
      <c r="ER138" s="342"/>
      <c r="ES138" s="336"/>
      <c r="ET138" s="342"/>
      <c r="EU138" s="336"/>
      <c r="EV138" s="342"/>
      <c r="EW138" s="336"/>
      <c r="EX138" s="342"/>
      <c r="EY138" s="342"/>
      <c r="EZ138" s="342"/>
      <c r="FA138" s="337"/>
      <c r="FE138" s="338"/>
      <c r="FH138" s="338"/>
      <c r="FI138" s="338"/>
      <c r="FJ138" s="338"/>
      <c r="FK138" s="338"/>
      <c r="FL138" s="338"/>
      <c r="FM138" s="337"/>
      <c r="FN138" s="336"/>
      <c r="FO138" s="336"/>
      <c r="FP138" s="336"/>
      <c r="FQ138" s="336"/>
      <c r="FR138" s="336"/>
      <c r="FS138" s="336"/>
      <c r="FT138" s="336"/>
      <c r="FU138" s="336"/>
      <c r="FV138" s="336"/>
      <c r="FW138" s="337"/>
      <c r="FX138" s="532"/>
      <c r="FY138" s="341"/>
      <c r="FZ138" s="341"/>
      <c r="GA138" s="336"/>
      <c r="GB138" s="341"/>
      <c r="GC138" s="341"/>
      <c r="GD138" s="341"/>
      <c r="GE138" s="336"/>
      <c r="GF138" s="336"/>
      <c r="GG138" s="336"/>
      <c r="GH138" s="336"/>
      <c r="GI138" s="336"/>
      <c r="GJ138" s="337"/>
      <c r="GM138" s="338"/>
      <c r="GN138" s="338"/>
      <c r="GO138" s="338"/>
      <c r="GS138" s="338"/>
      <c r="GT138" s="338"/>
      <c r="GU138" s="338"/>
      <c r="GY138" s="338"/>
      <c r="GZ138" s="338"/>
      <c r="HA138" s="338"/>
      <c r="HE138" s="338"/>
      <c r="HF138" s="338"/>
      <c r="HG138" s="338"/>
      <c r="HN138" s="68"/>
      <c r="HO138" s="68"/>
      <c r="HP138" s="68"/>
      <c r="HQ138" s="336"/>
      <c r="HR138" s="68"/>
      <c r="HS138" s="68"/>
      <c r="HT138" s="10"/>
      <c r="HW138" s="338"/>
      <c r="HX138" s="338"/>
      <c r="HY138" s="338"/>
      <c r="IC138" s="338"/>
      <c r="ID138" s="338"/>
      <c r="IE138" s="338"/>
      <c r="II138" s="338"/>
      <c r="IJ138" s="338"/>
      <c r="IK138" s="338"/>
      <c r="IO138" s="338"/>
      <c r="IP138" s="338"/>
      <c r="IQ138" s="338"/>
      <c r="IX138" s="68"/>
      <c r="IY138" s="68"/>
      <c r="IZ138" s="68"/>
      <c r="JA138" s="68"/>
      <c r="JB138" s="68"/>
      <c r="JC138" s="68"/>
      <c r="JD138" s="10"/>
      <c r="JG138" s="338"/>
      <c r="JH138" s="338"/>
      <c r="JI138" s="338"/>
      <c r="JM138" s="338"/>
      <c r="JN138" s="338"/>
      <c r="JQ138" s="338"/>
      <c r="JR138" s="338"/>
      <c r="JS138" s="338"/>
      <c r="JW138" s="358"/>
      <c r="JX138" s="336"/>
      <c r="JY138" s="336"/>
      <c r="JZ138" s="336"/>
      <c r="KA138" s="336"/>
      <c r="KB138" s="336"/>
      <c r="KC138" s="336"/>
      <c r="KD138" s="336"/>
      <c r="KE138" s="336"/>
      <c r="KF138" s="336"/>
      <c r="KG138" s="337"/>
      <c r="KH138" s="338"/>
      <c r="KI138" s="338"/>
      <c r="KJ138" s="338"/>
      <c r="KK138" s="338"/>
      <c r="KL138" s="338"/>
      <c r="KM138" s="338"/>
      <c r="KN138" s="338"/>
      <c r="KO138" s="338"/>
      <c r="KP138" s="338"/>
      <c r="KQ138" s="338"/>
      <c r="KR138" s="338"/>
      <c r="KS138" s="338"/>
      <c r="KT138" s="338"/>
      <c r="KU138" s="338"/>
      <c r="KV138" s="338"/>
      <c r="KW138" s="337"/>
      <c r="KX138" s="336"/>
      <c r="KY138" s="336"/>
      <c r="KZ138" s="336"/>
      <c r="LA138" s="336"/>
      <c r="LB138" s="336"/>
      <c r="LC138" s="336"/>
      <c r="LD138" s="336"/>
      <c r="LE138" s="336"/>
      <c r="LF138" s="336"/>
      <c r="LG138" s="336"/>
      <c r="LH138" s="336"/>
      <c r="LI138" s="336"/>
      <c r="LJ138" s="336"/>
      <c r="LK138" s="336"/>
      <c r="LL138" s="336"/>
      <c r="LM138" s="336"/>
      <c r="LN138" s="336"/>
      <c r="LO138" s="336"/>
      <c r="LP138" s="336"/>
      <c r="LQ138" s="337"/>
      <c r="MN138" s="10"/>
      <c r="OA138" s="10"/>
    </row>
    <row r="139" spans="1:391" s="370" customFormat="1" x14ac:dyDescent="0.25">
      <c r="A139" s="68"/>
      <c r="B139" s="10"/>
      <c r="C139" s="68"/>
      <c r="D139" s="68"/>
      <c r="E139" s="68"/>
      <c r="F139" s="68"/>
      <c r="G139" s="68"/>
      <c r="H139" s="68"/>
      <c r="I139" s="68"/>
      <c r="J139" s="68"/>
      <c r="K139" s="68"/>
      <c r="L139" s="68"/>
      <c r="M139" s="68"/>
      <c r="N139" s="68"/>
      <c r="O139" s="68"/>
      <c r="P139" s="68"/>
      <c r="Q139" s="68"/>
      <c r="R139" s="68"/>
      <c r="S139" s="68"/>
      <c r="T139" s="70"/>
      <c r="AC139" s="68"/>
      <c r="AD139" s="70"/>
      <c r="AM139" s="68"/>
      <c r="AN139" s="70"/>
      <c r="AU139" s="68"/>
      <c r="AV139" s="70"/>
      <c r="BB139" s="68"/>
      <c r="BC139" s="70"/>
      <c r="BD139" s="68"/>
      <c r="BE139" s="68"/>
      <c r="BF139" s="68"/>
      <c r="BG139" s="68"/>
      <c r="BH139" s="68"/>
      <c r="BI139" s="68"/>
      <c r="BJ139" s="70"/>
      <c r="BM139" s="68"/>
      <c r="BN139" s="70"/>
      <c r="BT139" s="68"/>
      <c r="BU139" s="70"/>
      <c r="BZ139" s="10"/>
      <c r="CF139" s="10"/>
      <c r="CI139" s="389"/>
      <c r="CJ139" s="389"/>
      <c r="CK139" s="68"/>
      <c r="CL139" s="70"/>
      <c r="CO139" s="10"/>
      <c r="CU139" s="10"/>
      <c r="DA139" s="10"/>
      <c r="DB139" s="70"/>
      <c r="DC139" s="70"/>
      <c r="DF139" s="68"/>
      <c r="DG139" s="70"/>
      <c r="DH139" s="68"/>
      <c r="DI139" s="386"/>
      <c r="DJ139" s="425"/>
      <c r="DL139" s="68"/>
      <c r="DM139" s="70"/>
      <c r="DQ139" s="68"/>
      <c r="DR139" s="70"/>
      <c r="DS139" s="338"/>
      <c r="DT139" s="338"/>
      <c r="DU139" s="338"/>
      <c r="DW139" s="338"/>
      <c r="DX139" s="338"/>
      <c r="DY139" s="338"/>
      <c r="EA139" s="338"/>
      <c r="EB139" s="338"/>
      <c r="EC139" s="338"/>
      <c r="EE139" s="338"/>
      <c r="EF139" s="338"/>
      <c r="EG139" s="338"/>
      <c r="EI139" s="336"/>
      <c r="EJ139" s="336"/>
      <c r="EK139" s="336"/>
      <c r="EL139" s="336"/>
      <c r="EM139" s="336"/>
      <c r="EN139" s="336"/>
      <c r="EO139" s="337"/>
      <c r="EP139" s="342"/>
      <c r="EQ139" s="336"/>
      <c r="ER139" s="342"/>
      <c r="ES139" s="336"/>
      <c r="ET139" s="342"/>
      <c r="EU139" s="336"/>
      <c r="EV139" s="342"/>
      <c r="EW139" s="336"/>
      <c r="EX139" s="342"/>
      <c r="EY139" s="342"/>
      <c r="EZ139" s="342"/>
      <c r="FA139" s="337"/>
      <c r="FE139" s="338"/>
      <c r="FH139" s="338"/>
      <c r="FI139" s="338"/>
      <c r="FJ139" s="338"/>
      <c r="FK139" s="338"/>
      <c r="FL139" s="338"/>
      <c r="FM139" s="337"/>
      <c r="FN139" s="336"/>
      <c r="FO139" s="336"/>
      <c r="FP139" s="336"/>
      <c r="FQ139" s="336"/>
      <c r="FR139" s="336"/>
      <c r="FS139" s="336"/>
      <c r="FT139" s="336"/>
      <c r="FU139" s="336"/>
      <c r="FV139" s="336"/>
      <c r="FW139" s="337"/>
      <c r="FX139" s="532"/>
      <c r="FY139" s="341"/>
      <c r="FZ139" s="341"/>
      <c r="GA139" s="336"/>
      <c r="GB139" s="341"/>
      <c r="GC139" s="341"/>
      <c r="GD139" s="341"/>
      <c r="GE139" s="336"/>
      <c r="GF139" s="336"/>
      <c r="GG139" s="336"/>
      <c r="GH139" s="336"/>
      <c r="GI139" s="336"/>
      <c r="GJ139" s="337"/>
      <c r="GM139" s="338"/>
      <c r="GN139" s="338"/>
      <c r="GO139" s="338"/>
      <c r="GS139" s="338"/>
      <c r="GT139" s="338"/>
      <c r="GU139" s="338"/>
      <c r="GY139" s="338"/>
      <c r="GZ139" s="338"/>
      <c r="HA139" s="338"/>
      <c r="HE139" s="338"/>
      <c r="HF139" s="338"/>
      <c r="HG139" s="338"/>
      <c r="HN139" s="68"/>
      <c r="HO139" s="68"/>
      <c r="HP139" s="68"/>
      <c r="HQ139" s="336"/>
      <c r="HR139" s="68"/>
      <c r="HS139" s="68"/>
      <c r="HT139" s="10"/>
      <c r="HW139" s="338"/>
      <c r="HX139" s="338"/>
      <c r="HY139" s="338"/>
      <c r="IC139" s="338"/>
      <c r="ID139" s="338"/>
      <c r="IE139" s="338"/>
      <c r="II139" s="338"/>
      <c r="IJ139" s="338"/>
      <c r="IK139" s="338"/>
      <c r="IO139" s="338"/>
      <c r="IP139" s="338"/>
      <c r="IQ139" s="338"/>
      <c r="IX139" s="68"/>
      <c r="IY139" s="68"/>
      <c r="IZ139" s="68"/>
      <c r="JA139" s="68"/>
      <c r="JB139" s="68"/>
      <c r="JC139" s="68"/>
      <c r="JD139" s="10"/>
      <c r="JG139" s="338"/>
      <c r="JH139" s="338"/>
      <c r="JI139" s="338"/>
      <c r="JM139" s="338"/>
      <c r="JN139" s="338"/>
      <c r="JQ139" s="338"/>
      <c r="JR139" s="338"/>
      <c r="JS139" s="338"/>
      <c r="JW139" s="358"/>
      <c r="JX139" s="336"/>
      <c r="JY139" s="336"/>
      <c r="JZ139" s="336"/>
      <c r="KA139" s="336"/>
      <c r="KB139" s="336"/>
      <c r="KC139" s="336"/>
      <c r="KD139" s="336"/>
      <c r="KE139" s="336"/>
      <c r="KF139" s="336"/>
      <c r="KG139" s="337"/>
      <c r="KH139" s="338"/>
      <c r="KI139" s="338"/>
      <c r="KJ139" s="338"/>
      <c r="KK139" s="338"/>
      <c r="KL139" s="338"/>
      <c r="KM139" s="338"/>
      <c r="KN139" s="338"/>
      <c r="KO139" s="338"/>
      <c r="KP139" s="338"/>
      <c r="KQ139" s="338"/>
      <c r="KR139" s="338"/>
      <c r="KS139" s="338"/>
      <c r="KT139" s="338"/>
      <c r="KU139" s="338"/>
      <c r="KV139" s="338"/>
      <c r="KW139" s="337"/>
      <c r="KX139" s="336"/>
      <c r="KY139" s="336"/>
      <c r="KZ139" s="336"/>
      <c r="LA139" s="336"/>
      <c r="LB139" s="336"/>
      <c r="LC139" s="336"/>
      <c r="LD139" s="336"/>
      <c r="LE139" s="336"/>
      <c r="LF139" s="336"/>
      <c r="LG139" s="336"/>
      <c r="LH139" s="336"/>
      <c r="LI139" s="336"/>
      <c r="LJ139" s="336"/>
      <c r="LK139" s="336"/>
      <c r="LL139" s="336"/>
      <c r="LM139" s="336"/>
      <c r="LN139" s="336"/>
      <c r="LO139" s="336"/>
      <c r="LP139" s="336"/>
      <c r="LQ139" s="337"/>
      <c r="MN139" s="10"/>
      <c r="OA139" s="10"/>
    </row>
    <row r="140" spans="1:391" s="370" customFormat="1" x14ac:dyDescent="0.25">
      <c r="A140" s="68"/>
      <c r="B140" s="10"/>
      <c r="C140" s="68"/>
      <c r="D140" s="68"/>
      <c r="E140" s="68"/>
      <c r="F140" s="68"/>
      <c r="G140" s="68"/>
      <c r="H140" s="68"/>
      <c r="I140" s="68"/>
      <c r="J140" s="68"/>
      <c r="K140" s="68"/>
      <c r="L140" s="68"/>
      <c r="M140" s="68"/>
      <c r="N140" s="68"/>
      <c r="O140" s="68"/>
      <c r="P140" s="68"/>
      <c r="Q140" s="68"/>
      <c r="R140" s="68"/>
      <c r="S140" s="68"/>
      <c r="T140" s="70"/>
      <c r="AC140" s="68"/>
      <c r="AD140" s="70"/>
      <c r="AM140" s="68"/>
      <c r="AN140" s="70"/>
      <c r="AU140" s="68"/>
      <c r="AV140" s="70"/>
      <c r="BB140" s="68"/>
      <c r="BC140" s="70"/>
      <c r="BD140" s="68"/>
      <c r="BE140" s="68"/>
      <c r="BF140" s="68"/>
      <c r="BG140" s="68"/>
      <c r="BH140" s="68"/>
      <c r="BI140" s="68"/>
      <c r="BJ140" s="70"/>
      <c r="BM140" s="68"/>
      <c r="BN140" s="70"/>
      <c r="BT140" s="68"/>
      <c r="BU140" s="70"/>
      <c r="BZ140" s="10"/>
      <c r="CF140" s="10"/>
      <c r="CI140" s="389"/>
      <c r="CJ140" s="389"/>
      <c r="CK140" s="68"/>
      <c r="CL140" s="70"/>
      <c r="CO140" s="10"/>
      <c r="CU140" s="10"/>
      <c r="DA140" s="10"/>
      <c r="DB140" s="70"/>
      <c r="DC140" s="70"/>
      <c r="DF140" s="68"/>
      <c r="DG140" s="70"/>
      <c r="DH140" s="68"/>
      <c r="DI140" s="386"/>
      <c r="DJ140" s="425"/>
      <c r="DL140" s="68"/>
      <c r="DM140" s="70"/>
      <c r="DQ140" s="68"/>
      <c r="DR140" s="70"/>
      <c r="DS140" s="338"/>
      <c r="DT140" s="338"/>
      <c r="DU140" s="338"/>
      <c r="DW140" s="338"/>
      <c r="DX140" s="338"/>
      <c r="DY140" s="338"/>
      <c r="EA140" s="338"/>
      <c r="EB140" s="338"/>
      <c r="EC140" s="338"/>
      <c r="EE140" s="338"/>
      <c r="EF140" s="338"/>
      <c r="EG140" s="338"/>
      <c r="EI140" s="336"/>
      <c r="EJ140" s="336"/>
      <c r="EK140" s="336"/>
      <c r="EL140" s="336"/>
      <c r="EM140" s="336"/>
      <c r="EN140" s="336"/>
      <c r="EO140" s="337"/>
      <c r="EP140" s="342"/>
      <c r="EQ140" s="336"/>
      <c r="ER140" s="342"/>
      <c r="ES140" s="336"/>
      <c r="ET140" s="342"/>
      <c r="EU140" s="336"/>
      <c r="EV140" s="342"/>
      <c r="EW140" s="336"/>
      <c r="EX140" s="342"/>
      <c r="EY140" s="342"/>
      <c r="EZ140" s="342"/>
      <c r="FA140" s="337"/>
      <c r="FE140" s="338"/>
      <c r="FH140" s="338"/>
      <c r="FI140" s="338"/>
      <c r="FJ140" s="338"/>
      <c r="FK140" s="338"/>
      <c r="FL140" s="338"/>
      <c r="FM140" s="337"/>
      <c r="FN140" s="336"/>
      <c r="FO140" s="336"/>
      <c r="FP140" s="336"/>
      <c r="FQ140" s="336"/>
      <c r="FR140" s="336"/>
      <c r="FS140" s="336"/>
      <c r="FT140" s="336"/>
      <c r="FU140" s="336"/>
      <c r="FV140" s="336"/>
      <c r="FW140" s="337"/>
      <c r="FX140" s="532"/>
      <c r="FY140" s="341"/>
      <c r="FZ140" s="341"/>
      <c r="GA140" s="336"/>
      <c r="GB140" s="341"/>
      <c r="GC140" s="341"/>
      <c r="GD140" s="341"/>
      <c r="GE140" s="336"/>
      <c r="GF140" s="336"/>
      <c r="GG140" s="336"/>
      <c r="GH140" s="336"/>
      <c r="GI140" s="336"/>
      <c r="GJ140" s="337"/>
      <c r="GM140" s="338"/>
      <c r="GN140" s="338"/>
      <c r="GO140" s="338"/>
      <c r="GS140" s="338"/>
      <c r="GT140" s="338"/>
      <c r="GU140" s="338"/>
      <c r="GY140" s="338"/>
      <c r="GZ140" s="338"/>
      <c r="HA140" s="338"/>
      <c r="HE140" s="338"/>
      <c r="HF140" s="338"/>
      <c r="HG140" s="338"/>
      <c r="HN140" s="68"/>
      <c r="HO140" s="68"/>
      <c r="HP140" s="68"/>
      <c r="HQ140" s="336"/>
      <c r="HR140" s="68"/>
      <c r="HS140" s="68"/>
      <c r="HT140" s="10"/>
      <c r="HW140" s="338"/>
      <c r="HX140" s="338"/>
      <c r="HY140" s="338"/>
      <c r="IC140" s="338"/>
      <c r="ID140" s="338"/>
      <c r="IE140" s="338"/>
      <c r="II140" s="338"/>
      <c r="IJ140" s="338"/>
      <c r="IK140" s="338"/>
      <c r="IO140" s="338"/>
      <c r="IP140" s="338"/>
      <c r="IQ140" s="338"/>
      <c r="IX140" s="68"/>
      <c r="IY140" s="68"/>
      <c r="IZ140" s="68"/>
      <c r="JA140" s="68"/>
      <c r="JB140" s="68"/>
      <c r="JC140" s="68"/>
      <c r="JD140" s="10"/>
      <c r="JG140" s="338"/>
      <c r="JH140" s="338"/>
      <c r="JI140" s="338"/>
      <c r="JM140" s="338"/>
      <c r="JN140" s="338"/>
      <c r="JQ140" s="338"/>
      <c r="JR140" s="338"/>
      <c r="JS140" s="338"/>
      <c r="JW140" s="358"/>
      <c r="JX140" s="336"/>
      <c r="JY140" s="336"/>
      <c r="JZ140" s="336"/>
      <c r="KA140" s="336"/>
      <c r="KB140" s="336"/>
      <c r="KC140" s="336"/>
      <c r="KD140" s="336"/>
      <c r="KE140" s="336"/>
      <c r="KF140" s="336"/>
      <c r="KG140" s="337"/>
      <c r="KH140" s="338"/>
      <c r="KI140" s="338"/>
      <c r="KJ140" s="338"/>
      <c r="KK140" s="338"/>
      <c r="KL140" s="338"/>
      <c r="KM140" s="338"/>
      <c r="KN140" s="338"/>
      <c r="KO140" s="338"/>
      <c r="KP140" s="338"/>
      <c r="KQ140" s="338"/>
      <c r="KR140" s="338"/>
      <c r="KS140" s="338"/>
      <c r="KT140" s="338"/>
      <c r="KU140" s="338"/>
      <c r="KV140" s="338"/>
      <c r="KW140" s="337"/>
      <c r="KX140" s="336"/>
      <c r="KY140" s="336"/>
      <c r="KZ140" s="336"/>
      <c r="LA140" s="336"/>
      <c r="LB140" s="336"/>
      <c r="LC140" s="336"/>
      <c r="LD140" s="336"/>
      <c r="LE140" s="336"/>
      <c r="LF140" s="336"/>
      <c r="LG140" s="336"/>
      <c r="LH140" s="336"/>
      <c r="LI140" s="336"/>
      <c r="LJ140" s="336"/>
      <c r="LK140" s="336"/>
      <c r="LL140" s="336"/>
      <c r="LM140" s="336"/>
      <c r="LN140" s="336"/>
      <c r="LO140" s="336"/>
      <c r="LP140" s="336"/>
      <c r="LQ140" s="337"/>
      <c r="MN140" s="10"/>
      <c r="OA140" s="10"/>
    </row>
    <row r="141" spans="1:391" s="370" customFormat="1" x14ac:dyDescent="0.25">
      <c r="A141" s="68"/>
      <c r="B141" s="10"/>
      <c r="C141" s="68"/>
      <c r="D141" s="68"/>
      <c r="E141" s="68"/>
      <c r="F141" s="68"/>
      <c r="G141" s="68"/>
      <c r="H141" s="68"/>
      <c r="I141" s="68"/>
      <c r="J141" s="68"/>
      <c r="K141" s="68"/>
      <c r="L141" s="68"/>
      <c r="M141" s="68"/>
      <c r="N141" s="68"/>
      <c r="O141" s="68"/>
      <c r="P141" s="68"/>
      <c r="Q141" s="68"/>
      <c r="R141" s="68"/>
      <c r="S141" s="68"/>
      <c r="T141" s="70"/>
      <c r="AC141" s="68"/>
      <c r="AD141" s="70"/>
      <c r="AM141" s="68"/>
      <c r="AN141" s="70"/>
      <c r="AU141" s="68"/>
      <c r="AV141" s="70"/>
      <c r="BB141" s="68"/>
      <c r="BC141" s="70"/>
      <c r="BD141" s="68"/>
      <c r="BE141" s="68"/>
      <c r="BF141" s="68"/>
      <c r="BG141" s="68"/>
      <c r="BH141" s="68"/>
      <c r="BI141" s="68"/>
      <c r="BJ141" s="70"/>
      <c r="BM141" s="68"/>
      <c r="BN141" s="70"/>
      <c r="BT141" s="68"/>
      <c r="BU141" s="70"/>
      <c r="BZ141" s="10"/>
      <c r="CF141" s="10"/>
      <c r="CI141" s="389"/>
      <c r="CJ141" s="389"/>
      <c r="CK141" s="68"/>
      <c r="CL141" s="70"/>
      <c r="CO141" s="10"/>
      <c r="CU141" s="10"/>
      <c r="DA141" s="10"/>
      <c r="DB141" s="70"/>
      <c r="DC141" s="70"/>
      <c r="DF141" s="68"/>
      <c r="DG141" s="70"/>
      <c r="DH141" s="68"/>
      <c r="DI141" s="386"/>
      <c r="DJ141" s="425"/>
      <c r="DL141" s="68"/>
      <c r="DM141" s="70"/>
      <c r="DQ141" s="68"/>
      <c r="DR141" s="70"/>
      <c r="DS141" s="338"/>
      <c r="DT141" s="338"/>
      <c r="DU141" s="338"/>
      <c r="DW141" s="338"/>
      <c r="DX141" s="338"/>
      <c r="DY141" s="338"/>
      <c r="EA141" s="338"/>
      <c r="EB141" s="338"/>
      <c r="EC141" s="338"/>
      <c r="EE141" s="338"/>
      <c r="EF141" s="338"/>
      <c r="EG141" s="338"/>
      <c r="EI141" s="336"/>
      <c r="EJ141" s="336"/>
      <c r="EK141" s="336"/>
      <c r="EL141" s="336"/>
      <c r="EM141" s="336"/>
      <c r="EN141" s="336"/>
      <c r="EO141" s="337"/>
      <c r="EP141" s="342"/>
      <c r="EQ141" s="336"/>
      <c r="ER141" s="342"/>
      <c r="ES141" s="336"/>
      <c r="ET141" s="342"/>
      <c r="EU141" s="336"/>
      <c r="EV141" s="342"/>
      <c r="EW141" s="336"/>
      <c r="EX141" s="342"/>
      <c r="EY141" s="342"/>
      <c r="EZ141" s="342"/>
      <c r="FA141" s="337"/>
      <c r="FE141" s="338"/>
      <c r="FH141" s="338"/>
      <c r="FI141" s="338"/>
      <c r="FJ141" s="338"/>
      <c r="FK141" s="338"/>
      <c r="FL141" s="338"/>
      <c r="FM141" s="337"/>
      <c r="FN141" s="336"/>
      <c r="FO141" s="336"/>
      <c r="FP141" s="336"/>
      <c r="FQ141" s="336"/>
      <c r="FR141" s="336"/>
      <c r="FS141" s="336"/>
      <c r="FT141" s="336"/>
      <c r="FU141" s="336"/>
      <c r="FV141" s="336"/>
      <c r="FW141" s="337"/>
      <c r="FX141" s="532"/>
      <c r="FY141" s="341"/>
      <c r="FZ141" s="341"/>
      <c r="GA141" s="336"/>
      <c r="GB141" s="341"/>
      <c r="GC141" s="341"/>
      <c r="GD141" s="341"/>
      <c r="GE141" s="336"/>
      <c r="GF141" s="336"/>
      <c r="GG141" s="336"/>
      <c r="GH141" s="336"/>
      <c r="GI141" s="336"/>
      <c r="GJ141" s="337"/>
      <c r="GM141" s="338"/>
      <c r="GN141" s="338"/>
      <c r="GO141" s="338"/>
      <c r="GS141" s="338"/>
      <c r="GT141" s="338"/>
      <c r="GU141" s="338"/>
      <c r="GY141" s="338"/>
      <c r="GZ141" s="338"/>
      <c r="HA141" s="338"/>
      <c r="HE141" s="338"/>
      <c r="HF141" s="338"/>
      <c r="HG141" s="338"/>
      <c r="HN141" s="68"/>
      <c r="HO141" s="68"/>
      <c r="HP141" s="68"/>
      <c r="HQ141" s="336"/>
      <c r="HR141" s="68"/>
      <c r="HS141" s="68"/>
      <c r="HT141" s="10"/>
      <c r="HW141" s="338"/>
      <c r="HX141" s="338"/>
      <c r="HY141" s="338"/>
      <c r="IC141" s="338"/>
      <c r="ID141" s="338"/>
      <c r="IE141" s="338"/>
      <c r="II141" s="338"/>
      <c r="IJ141" s="338"/>
      <c r="IK141" s="338"/>
      <c r="IO141" s="338"/>
      <c r="IP141" s="338"/>
      <c r="IQ141" s="338"/>
      <c r="IX141" s="68"/>
      <c r="IY141" s="68"/>
      <c r="IZ141" s="68"/>
      <c r="JA141" s="68"/>
      <c r="JB141" s="68"/>
      <c r="JC141" s="68"/>
      <c r="JD141" s="10"/>
      <c r="JG141" s="338"/>
      <c r="JH141" s="338"/>
      <c r="JI141" s="338"/>
      <c r="JM141" s="338"/>
      <c r="JN141" s="338"/>
      <c r="JQ141" s="338"/>
      <c r="JR141" s="338"/>
      <c r="JS141" s="338"/>
      <c r="JW141" s="358"/>
      <c r="JX141" s="336"/>
      <c r="JY141" s="336"/>
      <c r="JZ141" s="336"/>
      <c r="KA141" s="336"/>
      <c r="KB141" s="336"/>
      <c r="KC141" s="336"/>
      <c r="KD141" s="336"/>
      <c r="KE141" s="336"/>
      <c r="KF141" s="336"/>
      <c r="KG141" s="337"/>
      <c r="KH141" s="338"/>
      <c r="KI141" s="338"/>
      <c r="KJ141" s="338"/>
      <c r="KK141" s="338"/>
      <c r="KL141" s="338"/>
      <c r="KM141" s="338"/>
      <c r="KN141" s="338"/>
      <c r="KO141" s="338"/>
      <c r="KP141" s="338"/>
      <c r="KQ141" s="338"/>
      <c r="KR141" s="338"/>
      <c r="KS141" s="338"/>
      <c r="KT141" s="338"/>
      <c r="KU141" s="338"/>
      <c r="KV141" s="338"/>
      <c r="KW141" s="337"/>
      <c r="KX141" s="336"/>
      <c r="KY141" s="336"/>
      <c r="KZ141" s="336"/>
      <c r="LA141" s="336"/>
      <c r="LB141" s="336"/>
      <c r="LC141" s="336"/>
      <c r="LD141" s="336"/>
      <c r="LE141" s="336"/>
      <c r="LF141" s="336"/>
      <c r="LG141" s="336"/>
      <c r="LH141" s="336"/>
      <c r="LI141" s="336"/>
      <c r="LJ141" s="336"/>
      <c r="LK141" s="336"/>
      <c r="LL141" s="336"/>
      <c r="LM141" s="336"/>
      <c r="LN141" s="336"/>
      <c r="LO141" s="336"/>
      <c r="LP141" s="336"/>
      <c r="LQ141" s="337"/>
      <c r="MN141" s="10"/>
      <c r="OA141" s="10"/>
    </row>
    <row r="142" spans="1:391" s="370" customFormat="1" x14ac:dyDescent="0.25">
      <c r="A142" s="68"/>
      <c r="B142" s="10"/>
      <c r="C142" s="68"/>
      <c r="D142" s="68"/>
      <c r="E142" s="68"/>
      <c r="F142" s="68"/>
      <c r="G142" s="68"/>
      <c r="H142" s="68"/>
      <c r="I142" s="68"/>
      <c r="J142" s="68"/>
      <c r="K142" s="68"/>
      <c r="L142" s="68"/>
      <c r="M142" s="68"/>
      <c r="N142" s="68"/>
      <c r="O142" s="68"/>
      <c r="P142" s="68"/>
      <c r="Q142" s="68"/>
      <c r="R142" s="68"/>
      <c r="S142" s="68"/>
      <c r="T142" s="70"/>
      <c r="AC142" s="68"/>
      <c r="AD142" s="70"/>
      <c r="AM142" s="68"/>
      <c r="AN142" s="70"/>
      <c r="AU142" s="68"/>
      <c r="AV142" s="70"/>
      <c r="BB142" s="68"/>
      <c r="BC142" s="70"/>
      <c r="BD142" s="68"/>
      <c r="BE142" s="68"/>
      <c r="BF142" s="68"/>
      <c r="BG142" s="68"/>
      <c r="BH142" s="68"/>
      <c r="BI142" s="68"/>
      <c r="BJ142" s="70"/>
      <c r="BM142" s="68"/>
      <c r="BN142" s="70"/>
      <c r="BT142" s="68"/>
      <c r="BU142" s="70"/>
      <c r="BZ142" s="10"/>
      <c r="CF142" s="10"/>
      <c r="CI142" s="389"/>
      <c r="CJ142" s="389"/>
      <c r="CK142" s="68"/>
      <c r="CL142" s="70"/>
      <c r="CO142" s="10"/>
      <c r="CU142" s="10"/>
      <c r="DA142" s="10"/>
      <c r="DB142" s="70"/>
      <c r="DC142" s="70"/>
      <c r="DF142" s="68"/>
      <c r="DG142" s="70"/>
      <c r="DH142" s="68"/>
      <c r="DI142" s="386"/>
      <c r="DJ142" s="425"/>
      <c r="DL142" s="68"/>
      <c r="DM142" s="70"/>
      <c r="DQ142" s="68"/>
      <c r="DR142" s="70"/>
      <c r="DS142" s="338"/>
      <c r="DT142" s="338"/>
      <c r="DU142" s="338"/>
      <c r="DW142" s="338"/>
      <c r="DX142" s="338"/>
      <c r="DY142" s="338"/>
      <c r="EA142" s="338"/>
      <c r="EB142" s="338"/>
      <c r="EC142" s="338"/>
      <c r="EE142" s="338"/>
      <c r="EF142" s="338"/>
      <c r="EG142" s="338"/>
      <c r="EI142" s="336"/>
      <c r="EJ142" s="336"/>
      <c r="EK142" s="336"/>
      <c r="EL142" s="336"/>
      <c r="EM142" s="336"/>
      <c r="EN142" s="336"/>
      <c r="EO142" s="337"/>
      <c r="EP142" s="342"/>
      <c r="EQ142" s="336"/>
      <c r="ER142" s="342"/>
      <c r="ES142" s="336"/>
      <c r="ET142" s="342"/>
      <c r="EU142" s="336"/>
      <c r="EV142" s="342"/>
      <c r="EW142" s="336"/>
      <c r="EX142" s="342"/>
      <c r="EY142" s="342"/>
      <c r="EZ142" s="342"/>
      <c r="FA142" s="337"/>
      <c r="FE142" s="338"/>
      <c r="FH142" s="338"/>
      <c r="FI142" s="338"/>
      <c r="FJ142" s="338"/>
      <c r="FK142" s="338"/>
      <c r="FL142" s="338"/>
      <c r="FM142" s="337"/>
      <c r="FN142" s="336"/>
      <c r="FO142" s="336"/>
      <c r="FP142" s="336"/>
      <c r="FQ142" s="336"/>
      <c r="FR142" s="336"/>
      <c r="FS142" s="336"/>
      <c r="FT142" s="336"/>
      <c r="FU142" s="336"/>
      <c r="FV142" s="336"/>
      <c r="FW142" s="337"/>
      <c r="FX142" s="532"/>
      <c r="FY142" s="341"/>
      <c r="FZ142" s="341"/>
      <c r="GA142" s="336"/>
      <c r="GB142" s="341"/>
      <c r="GC142" s="341"/>
      <c r="GD142" s="341"/>
      <c r="GE142" s="336"/>
      <c r="GF142" s="336"/>
      <c r="GG142" s="336"/>
      <c r="GH142" s="336"/>
      <c r="GI142" s="336"/>
      <c r="GJ142" s="337"/>
      <c r="GM142" s="338"/>
      <c r="GN142" s="338"/>
      <c r="GO142" s="338"/>
      <c r="GS142" s="338"/>
      <c r="GT142" s="338"/>
      <c r="GU142" s="338"/>
      <c r="GY142" s="338"/>
      <c r="GZ142" s="338"/>
      <c r="HA142" s="338"/>
      <c r="HE142" s="338"/>
      <c r="HF142" s="338"/>
      <c r="HG142" s="338"/>
      <c r="HN142" s="68"/>
      <c r="HO142" s="68"/>
      <c r="HP142" s="68"/>
      <c r="HQ142" s="336"/>
      <c r="HR142" s="68"/>
      <c r="HS142" s="68"/>
      <c r="HT142" s="10"/>
      <c r="HW142" s="338"/>
      <c r="HX142" s="338"/>
      <c r="HY142" s="338"/>
      <c r="IC142" s="338"/>
      <c r="ID142" s="338"/>
      <c r="IE142" s="338"/>
      <c r="II142" s="338"/>
      <c r="IJ142" s="338"/>
      <c r="IK142" s="338"/>
      <c r="IO142" s="338"/>
      <c r="IP142" s="338"/>
      <c r="IQ142" s="338"/>
      <c r="IX142" s="68"/>
      <c r="IY142" s="68"/>
      <c r="IZ142" s="68"/>
      <c r="JA142" s="68"/>
      <c r="JB142" s="68"/>
      <c r="JC142" s="68"/>
      <c r="JD142" s="10"/>
      <c r="JG142" s="338"/>
      <c r="JH142" s="338"/>
      <c r="JI142" s="338"/>
      <c r="JM142" s="338"/>
      <c r="JN142" s="338"/>
      <c r="JQ142" s="338"/>
      <c r="JR142" s="338"/>
      <c r="JS142" s="338"/>
      <c r="JW142" s="358"/>
      <c r="JX142" s="336"/>
      <c r="JY142" s="336"/>
      <c r="JZ142" s="336"/>
      <c r="KA142" s="336"/>
      <c r="KB142" s="336"/>
      <c r="KC142" s="336"/>
      <c r="KD142" s="336"/>
      <c r="KE142" s="336"/>
      <c r="KF142" s="336"/>
      <c r="KG142" s="337"/>
      <c r="KH142" s="338"/>
      <c r="KI142" s="338"/>
      <c r="KJ142" s="338"/>
      <c r="KK142" s="338"/>
      <c r="KL142" s="338"/>
      <c r="KM142" s="338"/>
      <c r="KN142" s="338"/>
      <c r="KO142" s="338"/>
      <c r="KP142" s="338"/>
      <c r="KQ142" s="338"/>
      <c r="KR142" s="338"/>
      <c r="KS142" s="338"/>
      <c r="KT142" s="338"/>
      <c r="KU142" s="338"/>
      <c r="KV142" s="338"/>
      <c r="KW142" s="337"/>
      <c r="KX142" s="336"/>
      <c r="KY142" s="336"/>
      <c r="KZ142" s="336"/>
      <c r="LA142" s="336"/>
      <c r="LB142" s="336"/>
      <c r="LC142" s="336"/>
      <c r="LD142" s="336"/>
      <c r="LE142" s="336"/>
      <c r="LF142" s="336"/>
      <c r="LG142" s="336"/>
      <c r="LH142" s="336"/>
      <c r="LI142" s="336"/>
      <c r="LJ142" s="336"/>
      <c r="LK142" s="336"/>
      <c r="LL142" s="336"/>
      <c r="LM142" s="336"/>
      <c r="LN142" s="336"/>
      <c r="LO142" s="336"/>
      <c r="LP142" s="336"/>
      <c r="LQ142" s="337"/>
      <c r="MN142" s="10"/>
      <c r="OA142" s="10"/>
    </row>
    <row r="143" spans="1:391" s="370" customFormat="1" x14ac:dyDescent="0.25">
      <c r="A143" s="68"/>
      <c r="B143" s="10"/>
      <c r="C143" s="68"/>
      <c r="D143" s="68"/>
      <c r="E143" s="68"/>
      <c r="F143" s="68"/>
      <c r="G143" s="68"/>
      <c r="H143" s="68"/>
      <c r="I143" s="68"/>
      <c r="J143" s="68"/>
      <c r="K143" s="68"/>
      <c r="L143" s="68"/>
      <c r="M143" s="68"/>
      <c r="N143" s="68"/>
      <c r="O143" s="68"/>
      <c r="P143" s="68"/>
      <c r="Q143" s="68"/>
      <c r="R143" s="68"/>
      <c r="S143" s="68"/>
      <c r="T143" s="70"/>
      <c r="AC143" s="68"/>
      <c r="AD143" s="70"/>
      <c r="AM143" s="68"/>
      <c r="AN143" s="70"/>
      <c r="AU143" s="68"/>
      <c r="AV143" s="70"/>
      <c r="BB143" s="68"/>
      <c r="BC143" s="70"/>
      <c r="BD143" s="68"/>
      <c r="BE143" s="68"/>
      <c r="BF143" s="68"/>
      <c r="BG143" s="68"/>
      <c r="BH143" s="68"/>
      <c r="BI143" s="68"/>
      <c r="BJ143" s="70"/>
      <c r="BM143" s="68"/>
      <c r="BN143" s="70"/>
      <c r="BT143" s="68"/>
      <c r="BU143" s="70"/>
      <c r="BZ143" s="10"/>
      <c r="CF143" s="10"/>
      <c r="CI143" s="389"/>
      <c r="CJ143" s="389"/>
      <c r="CK143" s="68"/>
      <c r="CL143" s="70"/>
      <c r="CO143" s="10"/>
      <c r="CU143" s="10"/>
      <c r="DA143" s="10"/>
      <c r="DB143" s="70"/>
      <c r="DC143" s="70"/>
      <c r="DF143" s="68"/>
      <c r="DG143" s="70"/>
      <c r="DH143" s="68"/>
      <c r="DI143" s="386"/>
      <c r="DJ143" s="425"/>
      <c r="DL143" s="68"/>
      <c r="DM143" s="70"/>
      <c r="DQ143" s="68"/>
      <c r="DR143" s="70"/>
      <c r="DS143" s="338"/>
      <c r="DT143" s="338"/>
      <c r="DU143" s="338"/>
      <c r="DW143" s="338"/>
      <c r="DX143" s="338"/>
      <c r="DY143" s="338"/>
      <c r="EA143" s="338"/>
      <c r="EB143" s="338"/>
      <c r="EC143" s="338"/>
      <c r="EE143" s="338"/>
      <c r="EF143" s="338"/>
      <c r="EG143" s="338"/>
      <c r="EI143" s="336"/>
      <c r="EJ143" s="336"/>
      <c r="EK143" s="336"/>
      <c r="EL143" s="336"/>
      <c r="EM143" s="336"/>
      <c r="EN143" s="336"/>
      <c r="EO143" s="337"/>
      <c r="EP143" s="342"/>
      <c r="EQ143" s="336"/>
      <c r="ER143" s="342"/>
      <c r="ES143" s="336"/>
      <c r="ET143" s="342"/>
      <c r="EU143" s="336"/>
      <c r="EV143" s="342"/>
      <c r="EW143" s="336"/>
      <c r="EX143" s="342"/>
      <c r="EY143" s="342"/>
      <c r="EZ143" s="342"/>
      <c r="FA143" s="337"/>
      <c r="FE143" s="338"/>
      <c r="FH143" s="338"/>
      <c r="FI143" s="338"/>
      <c r="FJ143" s="338"/>
      <c r="FK143" s="338"/>
      <c r="FL143" s="338"/>
      <c r="FM143" s="337"/>
      <c r="FN143" s="336"/>
      <c r="FO143" s="336"/>
      <c r="FP143" s="336"/>
      <c r="FQ143" s="336"/>
      <c r="FR143" s="336"/>
      <c r="FS143" s="336"/>
      <c r="FT143" s="336"/>
      <c r="FU143" s="336"/>
      <c r="FV143" s="336"/>
      <c r="FW143" s="337"/>
      <c r="FX143" s="532"/>
      <c r="FY143" s="341"/>
      <c r="FZ143" s="341"/>
      <c r="GA143" s="336"/>
      <c r="GB143" s="341"/>
      <c r="GC143" s="341"/>
      <c r="GD143" s="341"/>
      <c r="GE143" s="336"/>
      <c r="GF143" s="336"/>
      <c r="GG143" s="336"/>
      <c r="GH143" s="336"/>
      <c r="GI143" s="336"/>
      <c r="GJ143" s="337"/>
      <c r="GM143" s="338"/>
      <c r="GN143" s="338"/>
      <c r="GO143" s="338"/>
      <c r="GS143" s="338"/>
      <c r="GT143" s="338"/>
      <c r="GU143" s="338"/>
      <c r="GY143" s="338"/>
      <c r="GZ143" s="338"/>
      <c r="HA143" s="338"/>
      <c r="HE143" s="338"/>
      <c r="HF143" s="338"/>
      <c r="HG143" s="338"/>
      <c r="HN143" s="68"/>
      <c r="HO143" s="68"/>
      <c r="HP143" s="68"/>
      <c r="HQ143" s="336"/>
      <c r="HR143" s="68"/>
      <c r="HS143" s="68"/>
      <c r="HT143" s="10"/>
      <c r="HW143" s="338"/>
      <c r="HX143" s="338"/>
      <c r="HY143" s="338"/>
      <c r="IC143" s="338"/>
      <c r="ID143" s="338"/>
      <c r="IE143" s="338"/>
      <c r="II143" s="338"/>
      <c r="IJ143" s="338"/>
      <c r="IK143" s="338"/>
      <c r="IO143" s="338"/>
      <c r="IP143" s="338"/>
      <c r="IQ143" s="338"/>
      <c r="IX143" s="68"/>
      <c r="IY143" s="68"/>
      <c r="IZ143" s="68"/>
      <c r="JA143" s="68"/>
      <c r="JB143" s="68"/>
      <c r="JC143" s="68"/>
      <c r="JD143" s="10"/>
      <c r="JG143" s="338"/>
      <c r="JH143" s="338"/>
      <c r="JI143" s="338"/>
      <c r="JM143" s="338"/>
      <c r="JN143" s="338"/>
      <c r="JQ143" s="338"/>
      <c r="JR143" s="338"/>
      <c r="JS143" s="338"/>
      <c r="JW143" s="358"/>
      <c r="JX143" s="336"/>
      <c r="JY143" s="336"/>
      <c r="JZ143" s="336"/>
      <c r="KA143" s="336"/>
      <c r="KB143" s="336"/>
      <c r="KC143" s="336"/>
      <c r="KD143" s="336"/>
      <c r="KE143" s="336"/>
      <c r="KF143" s="336"/>
      <c r="KG143" s="337"/>
      <c r="KH143" s="338"/>
      <c r="KI143" s="338"/>
      <c r="KJ143" s="338"/>
      <c r="KK143" s="338"/>
      <c r="KL143" s="338"/>
      <c r="KM143" s="338"/>
      <c r="KN143" s="338"/>
      <c r="KO143" s="338"/>
      <c r="KP143" s="338"/>
      <c r="KQ143" s="338"/>
      <c r="KR143" s="338"/>
      <c r="KS143" s="338"/>
      <c r="KT143" s="338"/>
      <c r="KU143" s="338"/>
      <c r="KV143" s="338"/>
      <c r="KW143" s="337"/>
      <c r="KX143" s="336"/>
      <c r="KY143" s="336"/>
      <c r="KZ143" s="336"/>
      <c r="LA143" s="336"/>
      <c r="LB143" s="336"/>
      <c r="LC143" s="336"/>
      <c r="LD143" s="336"/>
      <c r="LE143" s="336"/>
      <c r="LF143" s="336"/>
      <c r="LG143" s="336"/>
      <c r="LH143" s="336"/>
      <c r="LI143" s="336"/>
      <c r="LJ143" s="336"/>
      <c r="LK143" s="336"/>
      <c r="LL143" s="336"/>
      <c r="LM143" s="336"/>
      <c r="LN143" s="336"/>
      <c r="LO143" s="336"/>
      <c r="LP143" s="336"/>
      <c r="LQ143" s="337"/>
      <c r="MN143" s="10"/>
      <c r="OA143" s="10"/>
    </row>
    <row r="144" spans="1:391" s="370" customFormat="1" x14ac:dyDescent="0.25">
      <c r="A144" s="68"/>
      <c r="B144" s="10"/>
      <c r="C144" s="68"/>
      <c r="D144" s="68"/>
      <c r="E144" s="68"/>
      <c r="F144" s="68"/>
      <c r="G144" s="68"/>
      <c r="H144" s="68"/>
      <c r="I144" s="68"/>
      <c r="J144" s="68"/>
      <c r="K144" s="68"/>
      <c r="L144" s="68"/>
      <c r="M144" s="68"/>
      <c r="N144" s="68"/>
      <c r="O144" s="68"/>
      <c r="P144" s="68"/>
      <c r="Q144" s="68"/>
      <c r="R144" s="68"/>
      <c r="S144" s="68"/>
      <c r="T144" s="70"/>
      <c r="AC144" s="68"/>
      <c r="AD144" s="70"/>
      <c r="AM144" s="68"/>
      <c r="AN144" s="70"/>
      <c r="AU144" s="68"/>
      <c r="AV144" s="70"/>
      <c r="BB144" s="68"/>
      <c r="BC144" s="70"/>
      <c r="BD144" s="68"/>
      <c r="BE144" s="68"/>
      <c r="BF144" s="68"/>
      <c r="BG144" s="68"/>
      <c r="BH144" s="68"/>
      <c r="BI144" s="68"/>
      <c r="BJ144" s="70"/>
      <c r="BM144" s="68"/>
      <c r="BN144" s="70"/>
      <c r="BT144" s="68"/>
      <c r="BU144" s="70"/>
      <c r="BZ144" s="10"/>
      <c r="CF144" s="10"/>
      <c r="CI144" s="389"/>
      <c r="CJ144" s="389"/>
      <c r="CK144" s="68"/>
      <c r="CL144" s="70"/>
      <c r="CO144" s="10"/>
      <c r="CU144" s="10"/>
      <c r="DA144" s="10"/>
      <c r="DB144" s="70"/>
      <c r="DC144" s="70"/>
      <c r="DF144" s="68"/>
      <c r="DG144" s="70"/>
      <c r="DH144" s="68"/>
      <c r="DI144" s="386"/>
      <c r="DJ144" s="425"/>
      <c r="DL144" s="68"/>
      <c r="DM144" s="70"/>
      <c r="DQ144" s="68"/>
      <c r="DR144" s="70"/>
      <c r="DS144" s="338"/>
      <c r="DT144" s="338"/>
      <c r="DU144" s="338"/>
      <c r="DW144" s="338"/>
      <c r="DX144" s="338"/>
      <c r="DY144" s="338"/>
      <c r="EA144" s="338"/>
      <c r="EB144" s="338"/>
      <c r="EC144" s="338"/>
      <c r="EE144" s="338"/>
      <c r="EF144" s="338"/>
      <c r="EG144" s="338"/>
      <c r="EI144" s="336"/>
      <c r="EJ144" s="336"/>
      <c r="EK144" s="336"/>
      <c r="EL144" s="336"/>
      <c r="EM144" s="336"/>
      <c r="EN144" s="336"/>
      <c r="EO144" s="337"/>
      <c r="EP144" s="342"/>
      <c r="EQ144" s="336"/>
      <c r="ER144" s="342"/>
      <c r="ES144" s="336"/>
      <c r="ET144" s="342"/>
      <c r="EU144" s="336"/>
      <c r="EV144" s="342"/>
      <c r="EW144" s="336"/>
      <c r="EX144" s="342"/>
      <c r="EY144" s="342"/>
      <c r="EZ144" s="342"/>
      <c r="FA144" s="337"/>
      <c r="FE144" s="338"/>
      <c r="FH144" s="338"/>
      <c r="FI144" s="338"/>
      <c r="FJ144" s="338"/>
      <c r="FK144" s="338"/>
      <c r="FL144" s="338"/>
      <c r="FM144" s="337"/>
      <c r="FN144" s="336"/>
      <c r="FO144" s="336"/>
      <c r="FP144" s="336"/>
      <c r="FQ144" s="336"/>
      <c r="FR144" s="336"/>
      <c r="FS144" s="336"/>
      <c r="FT144" s="336"/>
      <c r="FU144" s="336"/>
      <c r="FV144" s="336"/>
      <c r="FW144" s="337"/>
      <c r="FX144" s="532"/>
      <c r="FY144" s="341"/>
      <c r="FZ144" s="341"/>
      <c r="GA144" s="336"/>
      <c r="GB144" s="341"/>
      <c r="GC144" s="341"/>
      <c r="GD144" s="341"/>
      <c r="GE144" s="336"/>
      <c r="GF144" s="336"/>
      <c r="GG144" s="336"/>
      <c r="GH144" s="336"/>
      <c r="GI144" s="336"/>
      <c r="GJ144" s="337"/>
      <c r="GM144" s="338"/>
      <c r="GN144" s="338"/>
      <c r="GO144" s="338"/>
      <c r="GS144" s="338"/>
      <c r="GT144" s="338"/>
      <c r="GU144" s="338"/>
      <c r="GY144" s="338"/>
      <c r="GZ144" s="338"/>
      <c r="HA144" s="338"/>
      <c r="HE144" s="338"/>
      <c r="HF144" s="338"/>
      <c r="HG144" s="338"/>
      <c r="HN144" s="68"/>
      <c r="HO144" s="68"/>
      <c r="HP144" s="68"/>
      <c r="HQ144" s="336"/>
      <c r="HR144" s="68"/>
      <c r="HS144" s="68"/>
      <c r="HT144" s="10"/>
      <c r="HW144" s="338"/>
      <c r="HX144" s="338"/>
      <c r="HY144" s="338"/>
      <c r="IC144" s="338"/>
      <c r="ID144" s="338"/>
      <c r="IE144" s="338"/>
      <c r="II144" s="338"/>
      <c r="IJ144" s="338"/>
      <c r="IK144" s="338"/>
      <c r="IO144" s="338"/>
      <c r="IP144" s="338"/>
      <c r="IQ144" s="338"/>
      <c r="IX144" s="68"/>
      <c r="IY144" s="68"/>
      <c r="IZ144" s="68"/>
      <c r="JA144" s="68"/>
      <c r="JB144" s="68"/>
      <c r="JC144" s="68"/>
      <c r="JD144" s="10"/>
      <c r="JG144" s="338"/>
      <c r="JH144" s="338"/>
      <c r="JI144" s="338"/>
      <c r="JM144" s="338"/>
      <c r="JN144" s="338"/>
      <c r="JQ144" s="338"/>
      <c r="JR144" s="338"/>
      <c r="JS144" s="338"/>
      <c r="JW144" s="358"/>
      <c r="JX144" s="336"/>
      <c r="JY144" s="336"/>
      <c r="JZ144" s="336"/>
      <c r="KA144" s="336"/>
      <c r="KB144" s="336"/>
      <c r="KC144" s="336"/>
      <c r="KD144" s="336"/>
      <c r="KE144" s="336"/>
      <c r="KF144" s="336"/>
      <c r="KG144" s="337"/>
      <c r="KH144" s="338"/>
      <c r="KI144" s="338"/>
      <c r="KJ144" s="338"/>
      <c r="KK144" s="338"/>
      <c r="KL144" s="338"/>
      <c r="KM144" s="338"/>
      <c r="KN144" s="338"/>
      <c r="KO144" s="338"/>
      <c r="KP144" s="338"/>
      <c r="KQ144" s="338"/>
      <c r="KR144" s="338"/>
      <c r="KS144" s="338"/>
      <c r="KT144" s="338"/>
      <c r="KU144" s="338"/>
      <c r="KV144" s="338"/>
      <c r="KW144" s="337"/>
      <c r="KX144" s="336"/>
      <c r="KY144" s="336"/>
      <c r="KZ144" s="336"/>
      <c r="LA144" s="336"/>
      <c r="LB144" s="336"/>
      <c r="LC144" s="336"/>
      <c r="LD144" s="336"/>
      <c r="LE144" s="336"/>
      <c r="LF144" s="336"/>
      <c r="LG144" s="336"/>
      <c r="LH144" s="336"/>
      <c r="LI144" s="336"/>
      <c r="LJ144" s="336"/>
      <c r="LK144" s="336"/>
      <c r="LL144" s="336"/>
      <c r="LM144" s="336"/>
      <c r="LN144" s="336"/>
      <c r="LO144" s="336"/>
      <c r="LP144" s="336"/>
      <c r="LQ144" s="337"/>
      <c r="MN144" s="10"/>
      <c r="OA144" s="10"/>
    </row>
    <row r="145" spans="1:391" s="370" customFormat="1" x14ac:dyDescent="0.25">
      <c r="A145" s="68"/>
      <c r="B145" s="10"/>
      <c r="C145" s="68"/>
      <c r="D145" s="68"/>
      <c r="E145" s="68"/>
      <c r="F145" s="68"/>
      <c r="G145" s="68"/>
      <c r="H145" s="68"/>
      <c r="I145" s="68"/>
      <c r="J145" s="68"/>
      <c r="K145" s="68"/>
      <c r="L145" s="68"/>
      <c r="M145" s="68"/>
      <c r="N145" s="68"/>
      <c r="O145" s="68"/>
      <c r="P145" s="68"/>
      <c r="Q145" s="68"/>
      <c r="R145" s="68"/>
      <c r="S145" s="68"/>
      <c r="T145" s="70"/>
      <c r="AC145" s="68"/>
      <c r="AD145" s="70"/>
      <c r="AM145" s="68"/>
      <c r="AN145" s="70"/>
      <c r="AU145" s="68"/>
      <c r="AV145" s="70"/>
      <c r="BB145" s="68"/>
      <c r="BC145" s="70"/>
      <c r="BD145" s="68"/>
      <c r="BE145" s="68"/>
      <c r="BF145" s="68"/>
      <c r="BG145" s="68"/>
      <c r="BH145" s="68"/>
      <c r="BI145" s="68"/>
      <c r="BJ145" s="70"/>
      <c r="BM145" s="68"/>
      <c r="BN145" s="70"/>
      <c r="BT145" s="68"/>
      <c r="BU145" s="70"/>
      <c r="BZ145" s="10"/>
      <c r="CF145" s="10"/>
      <c r="CI145" s="389"/>
      <c r="CJ145" s="389"/>
      <c r="CK145" s="68"/>
      <c r="CL145" s="70"/>
      <c r="CO145" s="10"/>
      <c r="CU145" s="10"/>
      <c r="DA145" s="10"/>
      <c r="DB145" s="70"/>
      <c r="DC145" s="70"/>
      <c r="DF145" s="68"/>
      <c r="DG145" s="70"/>
      <c r="DH145" s="68"/>
      <c r="DI145" s="386"/>
      <c r="DJ145" s="425"/>
      <c r="DL145" s="68"/>
      <c r="DM145" s="70"/>
      <c r="DQ145" s="68"/>
      <c r="DR145" s="70"/>
      <c r="DS145" s="338"/>
      <c r="DT145" s="338"/>
      <c r="DU145" s="338"/>
      <c r="DW145" s="338"/>
      <c r="DX145" s="338"/>
      <c r="DY145" s="338"/>
      <c r="EA145" s="338"/>
      <c r="EB145" s="338"/>
      <c r="EC145" s="338"/>
      <c r="EE145" s="338"/>
      <c r="EF145" s="338"/>
      <c r="EG145" s="338"/>
      <c r="EI145" s="336"/>
      <c r="EJ145" s="336"/>
      <c r="EK145" s="336"/>
      <c r="EL145" s="336"/>
      <c r="EM145" s="336"/>
      <c r="EN145" s="336"/>
      <c r="EO145" s="337"/>
      <c r="EP145" s="342"/>
      <c r="EQ145" s="336"/>
      <c r="ER145" s="342"/>
      <c r="ES145" s="336"/>
      <c r="ET145" s="342"/>
      <c r="EU145" s="336"/>
      <c r="EV145" s="342"/>
      <c r="EW145" s="336"/>
      <c r="EX145" s="342"/>
      <c r="EY145" s="342"/>
      <c r="EZ145" s="342"/>
      <c r="FA145" s="337"/>
      <c r="FE145" s="338"/>
      <c r="FH145" s="338"/>
      <c r="FI145" s="338"/>
      <c r="FJ145" s="338"/>
      <c r="FK145" s="338"/>
      <c r="FL145" s="338"/>
      <c r="FM145" s="337"/>
      <c r="FN145" s="336"/>
      <c r="FO145" s="336"/>
      <c r="FP145" s="336"/>
      <c r="FQ145" s="336"/>
      <c r="FR145" s="336"/>
      <c r="FS145" s="336"/>
      <c r="FT145" s="336"/>
      <c r="FU145" s="336"/>
      <c r="FV145" s="336"/>
      <c r="FW145" s="337"/>
      <c r="FX145" s="532"/>
      <c r="FY145" s="341"/>
      <c r="FZ145" s="341"/>
      <c r="GA145" s="336"/>
      <c r="GB145" s="341"/>
      <c r="GC145" s="341"/>
      <c r="GD145" s="341"/>
      <c r="GE145" s="336"/>
      <c r="GF145" s="336"/>
      <c r="GG145" s="336"/>
      <c r="GH145" s="336"/>
      <c r="GI145" s="336"/>
      <c r="GJ145" s="337"/>
      <c r="GM145" s="338"/>
      <c r="GN145" s="338"/>
      <c r="GO145" s="338"/>
      <c r="GS145" s="338"/>
      <c r="GT145" s="338"/>
      <c r="GU145" s="338"/>
      <c r="GY145" s="338"/>
      <c r="GZ145" s="338"/>
      <c r="HA145" s="338"/>
      <c r="HE145" s="338"/>
      <c r="HF145" s="338"/>
      <c r="HG145" s="338"/>
      <c r="HN145" s="68"/>
      <c r="HO145" s="68"/>
      <c r="HP145" s="68"/>
      <c r="HQ145" s="336"/>
      <c r="HR145" s="68"/>
      <c r="HS145" s="68"/>
      <c r="HT145" s="10"/>
      <c r="HW145" s="338"/>
      <c r="HX145" s="338"/>
      <c r="HY145" s="338"/>
      <c r="IC145" s="338"/>
      <c r="ID145" s="338"/>
      <c r="IE145" s="338"/>
      <c r="II145" s="338"/>
      <c r="IJ145" s="338"/>
      <c r="IK145" s="338"/>
      <c r="IO145" s="338"/>
      <c r="IP145" s="338"/>
      <c r="IQ145" s="338"/>
      <c r="IX145" s="68"/>
      <c r="IY145" s="68"/>
      <c r="IZ145" s="68"/>
      <c r="JA145" s="68"/>
      <c r="JB145" s="68"/>
      <c r="JC145" s="68"/>
      <c r="JD145" s="10"/>
      <c r="JG145" s="338"/>
      <c r="JH145" s="338"/>
      <c r="JI145" s="338"/>
      <c r="JM145" s="338"/>
      <c r="JN145" s="338"/>
      <c r="JQ145" s="338"/>
      <c r="JR145" s="338"/>
      <c r="JS145" s="338"/>
      <c r="JW145" s="358"/>
      <c r="JX145" s="336"/>
      <c r="JY145" s="336"/>
      <c r="JZ145" s="336"/>
      <c r="KA145" s="336"/>
      <c r="KB145" s="336"/>
      <c r="KC145" s="336"/>
      <c r="KD145" s="336"/>
      <c r="KE145" s="336"/>
      <c r="KF145" s="336"/>
      <c r="KG145" s="337"/>
      <c r="KH145" s="338"/>
      <c r="KI145" s="338"/>
      <c r="KJ145" s="338"/>
      <c r="KK145" s="338"/>
      <c r="KL145" s="338"/>
      <c r="KM145" s="338"/>
      <c r="KN145" s="338"/>
      <c r="KO145" s="338"/>
      <c r="KP145" s="338"/>
      <c r="KQ145" s="338"/>
      <c r="KR145" s="338"/>
      <c r="KS145" s="338"/>
      <c r="KT145" s="338"/>
      <c r="KU145" s="338"/>
      <c r="KV145" s="338"/>
      <c r="KW145" s="337"/>
      <c r="KX145" s="336"/>
      <c r="KY145" s="336"/>
      <c r="KZ145" s="336"/>
      <c r="LA145" s="336"/>
      <c r="LB145" s="336"/>
      <c r="LC145" s="336"/>
      <c r="LD145" s="336"/>
      <c r="LE145" s="336"/>
      <c r="LF145" s="336"/>
      <c r="LG145" s="336"/>
      <c r="LH145" s="336"/>
      <c r="LI145" s="336"/>
      <c r="LJ145" s="336"/>
      <c r="LK145" s="336"/>
      <c r="LL145" s="336"/>
      <c r="LM145" s="336"/>
      <c r="LN145" s="336"/>
      <c r="LO145" s="336"/>
      <c r="LP145" s="336"/>
      <c r="LQ145" s="337"/>
      <c r="MN145" s="10"/>
      <c r="OA145" s="10"/>
    </row>
    <row r="146" spans="1:391" s="370" customFormat="1" x14ac:dyDescent="0.25">
      <c r="A146" s="68"/>
      <c r="B146" s="10"/>
      <c r="C146" s="68"/>
      <c r="D146" s="68"/>
      <c r="E146" s="68"/>
      <c r="F146" s="68"/>
      <c r="G146" s="68"/>
      <c r="H146" s="68"/>
      <c r="I146" s="68"/>
      <c r="J146" s="68"/>
      <c r="K146" s="68"/>
      <c r="L146" s="68"/>
      <c r="M146" s="68"/>
      <c r="N146" s="68"/>
      <c r="O146" s="68"/>
      <c r="P146" s="68"/>
      <c r="Q146" s="68"/>
      <c r="R146" s="68"/>
      <c r="S146" s="68"/>
      <c r="T146" s="70"/>
      <c r="AC146" s="68"/>
      <c r="AD146" s="70"/>
      <c r="AM146" s="68"/>
      <c r="AN146" s="70"/>
      <c r="AU146" s="68"/>
      <c r="AV146" s="70"/>
      <c r="BB146" s="68"/>
      <c r="BC146" s="70"/>
      <c r="BD146" s="68"/>
      <c r="BE146" s="68"/>
      <c r="BF146" s="68"/>
      <c r="BG146" s="68"/>
      <c r="BH146" s="68"/>
      <c r="BI146" s="68"/>
      <c r="BJ146" s="70"/>
      <c r="BM146" s="68"/>
      <c r="BN146" s="70"/>
      <c r="BT146" s="68"/>
      <c r="BU146" s="70"/>
      <c r="BZ146" s="10"/>
      <c r="CF146" s="10"/>
      <c r="CI146" s="389"/>
      <c r="CJ146" s="389"/>
      <c r="CK146" s="68"/>
      <c r="CL146" s="70"/>
      <c r="CO146" s="10"/>
      <c r="CU146" s="10"/>
      <c r="DA146" s="10"/>
      <c r="DB146" s="70"/>
      <c r="DC146" s="70"/>
      <c r="DF146" s="68"/>
      <c r="DG146" s="70"/>
      <c r="DH146" s="68"/>
      <c r="DI146" s="386"/>
      <c r="DJ146" s="425"/>
      <c r="DL146" s="68"/>
      <c r="DM146" s="70"/>
      <c r="DQ146" s="68"/>
      <c r="DR146" s="70"/>
      <c r="DS146" s="338"/>
      <c r="DT146" s="338"/>
      <c r="DU146" s="338"/>
      <c r="DW146" s="338"/>
      <c r="DX146" s="338"/>
      <c r="DY146" s="338"/>
      <c r="EA146" s="338"/>
      <c r="EB146" s="338"/>
      <c r="EC146" s="338"/>
      <c r="EE146" s="338"/>
      <c r="EF146" s="338"/>
      <c r="EG146" s="338"/>
      <c r="EI146" s="336"/>
      <c r="EJ146" s="336"/>
      <c r="EK146" s="336"/>
      <c r="EL146" s="336"/>
      <c r="EM146" s="336"/>
      <c r="EN146" s="336"/>
      <c r="EO146" s="337"/>
      <c r="EP146" s="342"/>
      <c r="EQ146" s="336"/>
      <c r="ER146" s="342"/>
      <c r="ES146" s="336"/>
      <c r="ET146" s="342"/>
      <c r="EU146" s="336"/>
      <c r="EV146" s="342"/>
      <c r="EW146" s="336"/>
      <c r="EX146" s="342"/>
      <c r="EY146" s="342"/>
      <c r="EZ146" s="342"/>
      <c r="FA146" s="337"/>
      <c r="FE146" s="338"/>
      <c r="FH146" s="338"/>
      <c r="FI146" s="338"/>
      <c r="FJ146" s="338"/>
      <c r="FK146" s="338"/>
      <c r="FL146" s="338"/>
      <c r="FM146" s="337"/>
      <c r="FN146" s="336"/>
      <c r="FO146" s="336"/>
      <c r="FP146" s="336"/>
      <c r="FQ146" s="336"/>
      <c r="FR146" s="336"/>
      <c r="FS146" s="336"/>
      <c r="FT146" s="336"/>
      <c r="FU146" s="336"/>
      <c r="FV146" s="336"/>
      <c r="FW146" s="337"/>
      <c r="FX146" s="532"/>
      <c r="FY146" s="341"/>
      <c r="FZ146" s="341"/>
      <c r="GA146" s="336"/>
      <c r="GB146" s="341"/>
      <c r="GC146" s="341"/>
      <c r="GD146" s="341"/>
      <c r="GE146" s="336"/>
      <c r="GF146" s="336"/>
      <c r="GG146" s="336"/>
      <c r="GH146" s="336"/>
      <c r="GI146" s="336"/>
      <c r="GJ146" s="337"/>
      <c r="GM146" s="338"/>
      <c r="GN146" s="338"/>
      <c r="GO146" s="338"/>
      <c r="GS146" s="338"/>
      <c r="GT146" s="338"/>
      <c r="GU146" s="338"/>
      <c r="GY146" s="338"/>
      <c r="GZ146" s="338"/>
      <c r="HA146" s="338"/>
      <c r="HE146" s="338"/>
      <c r="HF146" s="338"/>
      <c r="HG146" s="338"/>
      <c r="HN146" s="68"/>
      <c r="HO146" s="68"/>
      <c r="HP146" s="68"/>
      <c r="HQ146" s="336"/>
      <c r="HR146" s="68"/>
      <c r="HS146" s="68"/>
      <c r="HT146" s="10"/>
      <c r="HW146" s="338"/>
      <c r="HX146" s="338"/>
      <c r="HY146" s="338"/>
      <c r="IC146" s="338"/>
      <c r="ID146" s="338"/>
      <c r="IE146" s="338"/>
      <c r="II146" s="338"/>
      <c r="IJ146" s="338"/>
      <c r="IK146" s="338"/>
      <c r="IO146" s="338"/>
      <c r="IP146" s="338"/>
      <c r="IQ146" s="338"/>
      <c r="IX146" s="68"/>
      <c r="IY146" s="68"/>
      <c r="IZ146" s="68"/>
      <c r="JA146" s="68"/>
      <c r="JB146" s="68"/>
      <c r="JC146" s="68"/>
      <c r="JD146" s="10"/>
      <c r="JG146" s="338"/>
      <c r="JH146" s="338"/>
      <c r="JI146" s="338"/>
      <c r="JM146" s="338"/>
      <c r="JN146" s="338"/>
      <c r="JQ146" s="338"/>
      <c r="JR146" s="338"/>
      <c r="JS146" s="338"/>
      <c r="JW146" s="358"/>
      <c r="JX146" s="336"/>
      <c r="JY146" s="336"/>
      <c r="JZ146" s="336"/>
      <c r="KA146" s="336"/>
      <c r="KB146" s="336"/>
      <c r="KC146" s="336"/>
      <c r="KD146" s="336"/>
      <c r="KE146" s="336"/>
      <c r="KF146" s="336"/>
      <c r="KG146" s="337"/>
      <c r="KH146" s="338"/>
      <c r="KI146" s="338"/>
      <c r="KJ146" s="338"/>
      <c r="KK146" s="338"/>
      <c r="KL146" s="338"/>
      <c r="KM146" s="338"/>
      <c r="KN146" s="338"/>
      <c r="KO146" s="338"/>
      <c r="KP146" s="338"/>
      <c r="KQ146" s="338"/>
      <c r="KR146" s="338"/>
      <c r="KS146" s="338"/>
      <c r="KT146" s="338"/>
      <c r="KU146" s="338"/>
      <c r="KV146" s="338"/>
      <c r="KW146" s="337"/>
      <c r="KX146" s="336"/>
      <c r="KY146" s="336"/>
      <c r="KZ146" s="336"/>
      <c r="LA146" s="336"/>
      <c r="LB146" s="336"/>
      <c r="LC146" s="336"/>
      <c r="LD146" s="336"/>
      <c r="LE146" s="336"/>
      <c r="LF146" s="336"/>
      <c r="LG146" s="336"/>
      <c r="LH146" s="336"/>
      <c r="LI146" s="336"/>
      <c r="LJ146" s="336"/>
      <c r="LK146" s="336"/>
      <c r="LL146" s="336"/>
      <c r="LM146" s="336"/>
      <c r="LN146" s="336"/>
      <c r="LO146" s="336"/>
      <c r="LP146" s="336"/>
      <c r="LQ146" s="337"/>
      <c r="MN146" s="10"/>
      <c r="OA146" s="10"/>
    </row>
    <row r="147" spans="1:391" s="370" customFormat="1" x14ac:dyDescent="0.25">
      <c r="A147" s="68"/>
      <c r="B147" s="10"/>
      <c r="C147" s="68"/>
      <c r="D147" s="68"/>
      <c r="E147" s="68"/>
      <c r="F147" s="68"/>
      <c r="G147" s="68"/>
      <c r="H147" s="68"/>
      <c r="I147" s="68"/>
      <c r="J147" s="68"/>
      <c r="K147" s="68"/>
      <c r="L147" s="68"/>
      <c r="M147" s="68"/>
      <c r="N147" s="68"/>
      <c r="O147" s="68"/>
      <c r="P147" s="68"/>
      <c r="Q147" s="68"/>
      <c r="R147" s="68"/>
      <c r="S147" s="68"/>
      <c r="T147" s="70"/>
      <c r="AC147" s="68"/>
      <c r="AD147" s="70"/>
      <c r="AM147" s="68"/>
      <c r="AN147" s="70"/>
      <c r="AU147" s="68"/>
      <c r="AV147" s="70"/>
      <c r="BB147" s="68"/>
      <c r="BC147" s="70"/>
      <c r="BD147" s="68"/>
      <c r="BE147" s="68"/>
      <c r="BF147" s="68"/>
      <c r="BG147" s="68"/>
      <c r="BH147" s="68"/>
      <c r="BI147" s="68"/>
      <c r="BJ147" s="70"/>
      <c r="BM147" s="68"/>
      <c r="BN147" s="70"/>
      <c r="BT147" s="68"/>
      <c r="BU147" s="70"/>
      <c r="BZ147" s="10"/>
      <c r="CF147" s="10"/>
      <c r="CI147" s="389"/>
      <c r="CJ147" s="389"/>
      <c r="CK147" s="68"/>
      <c r="CL147" s="70"/>
      <c r="CO147" s="10"/>
      <c r="CU147" s="10"/>
      <c r="DA147" s="10"/>
      <c r="DB147" s="70"/>
      <c r="DC147" s="70"/>
      <c r="DF147" s="68"/>
      <c r="DG147" s="70"/>
      <c r="DH147" s="68"/>
      <c r="DI147" s="386"/>
      <c r="DJ147" s="425"/>
      <c r="DL147" s="68"/>
      <c r="DM147" s="70"/>
      <c r="DQ147" s="68"/>
      <c r="DR147" s="70"/>
      <c r="DS147" s="338"/>
      <c r="DT147" s="338"/>
      <c r="DU147" s="338"/>
      <c r="DW147" s="338"/>
      <c r="DX147" s="338"/>
      <c r="DY147" s="338"/>
      <c r="EA147" s="338"/>
      <c r="EB147" s="338"/>
      <c r="EC147" s="338"/>
      <c r="EE147" s="338"/>
      <c r="EF147" s="338"/>
      <c r="EG147" s="338"/>
      <c r="EI147" s="336"/>
      <c r="EJ147" s="336"/>
      <c r="EK147" s="336"/>
      <c r="EL147" s="336"/>
      <c r="EM147" s="336"/>
      <c r="EN147" s="336"/>
      <c r="EO147" s="337"/>
      <c r="EP147" s="342"/>
      <c r="EQ147" s="336"/>
      <c r="ER147" s="342"/>
      <c r="ES147" s="336"/>
      <c r="ET147" s="342"/>
      <c r="EU147" s="336"/>
      <c r="EV147" s="342"/>
      <c r="EW147" s="336"/>
      <c r="EX147" s="342"/>
      <c r="EY147" s="342"/>
      <c r="EZ147" s="342"/>
      <c r="FA147" s="337"/>
      <c r="FE147" s="338"/>
      <c r="FH147" s="338"/>
      <c r="FI147" s="338"/>
      <c r="FJ147" s="338"/>
      <c r="FK147" s="338"/>
      <c r="FL147" s="338"/>
      <c r="FM147" s="337"/>
      <c r="FN147" s="336"/>
      <c r="FO147" s="336"/>
      <c r="FP147" s="336"/>
      <c r="FQ147" s="336"/>
      <c r="FR147" s="336"/>
      <c r="FS147" s="336"/>
      <c r="FT147" s="336"/>
      <c r="FU147" s="336"/>
      <c r="FV147" s="336"/>
      <c r="FW147" s="337"/>
      <c r="FX147" s="532"/>
      <c r="FY147" s="341"/>
      <c r="FZ147" s="341"/>
      <c r="GA147" s="336"/>
      <c r="GB147" s="341"/>
      <c r="GC147" s="341"/>
      <c r="GD147" s="341"/>
      <c r="GE147" s="336"/>
      <c r="GF147" s="336"/>
      <c r="GG147" s="336"/>
      <c r="GH147" s="336"/>
      <c r="GI147" s="336"/>
      <c r="GJ147" s="337"/>
      <c r="GM147" s="338"/>
      <c r="GN147" s="338"/>
      <c r="GO147" s="338"/>
      <c r="GS147" s="338"/>
      <c r="GT147" s="338"/>
      <c r="GU147" s="338"/>
      <c r="GY147" s="338"/>
      <c r="GZ147" s="338"/>
      <c r="HA147" s="338"/>
      <c r="HE147" s="338"/>
      <c r="HF147" s="338"/>
      <c r="HG147" s="338"/>
      <c r="HN147" s="68"/>
      <c r="HO147" s="68"/>
      <c r="HP147" s="68"/>
      <c r="HQ147" s="336"/>
      <c r="HR147" s="68"/>
      <c r="HS147" s="68"/>
      <c r="HT147" s="10"/>
      <c r="HW147" s="338"/>
      <c r="HX147" s="338"/>
      <c r="HY147" s="338"/>
      <c r="IC147" s="338"/>
      <c r="ID147" s="338"/>
      <c r="IE147" s="338"/>
      <c r="II147" s="338"/>
      <c r="IJ147" s="338"/>
      <c r="IK147" s="338"/>
      <c r="IO147" s="338"/>
      <c r="IP147" s="338"/>
      <c r="IQ147" s="338"/>
      <c r="IX147" s="68"/>
      <c r="IY147" s="68"/>
      <c r="IZ147" s="68"/>
      <c r="JA147" s="68"/>
      <c r="JB147" s="68"/>
      <c r="JC147" s="68"/>
      <c r="JD147" s="10"/>
      <c r="JG147" s="338"/>
      <c r="JH147" s="338"/>
      <c r="JI147" s="338"/>
      <c r="JM147" s="338"/>
      <c r="JN147" s="338"/>
      <c r="JQ147" s="338"/>
      <c r="JR147" s="338"/>
      <c r="JS147" s="338"/>
      <c r="JW147" s="358"/>
      <c r="JX147" s="336"/>
      <c r="JY147" s="336"/>
      <c r="JZ147" s="336"/>
      <c r="KA147" s="336"/>
      <c r="KB147" s="336"/>
      <c r="KC147" s="336"/>
      <c r="KD147" s="336"/>
      <c r="KE147" s="336"/>
      <c r="KF147" s="336"/>
      <c r="KG147" s="337"/>
      <c r="KH147" s="338"/>
      <c r="KI147" s="338"/>
      <c r="KJ147" s="338"/>
      <c r="KK147" s="338"/>
      <c r="KL147" s="338"/>
      <c r="KM147" s="338"/>
      <c r="KN147" s="338"/>
      <c r="KO147" s="338"/>
      <c r="KP147" s="338"/>
      <c r="KQ147" s="338"/>
      <c r="KR147" s="338"/>
      <c r="KS147" s="338"/>
      <c r="KT147" s="338"/>
      <c r="KU147" s="338"/>
      <c r="KV147" s="338"/>
      <c r="KW147" s="337"/>
      <c r="KX147" s="336"/>
      <c r="KY147" s="336"/>
      <c r="KZ147" s="336"/>
      <c r="LA147" s="336"/>
      <c r="LB147" s="336"/>
      <c r="LC147" s="336"/>
      <c r="LD147" s="336"/>
      <c r="LE147" s="336"/>
      <c r="LF147" s="336"/>
      <c r="LG147" s="336"/>
      <c r="LH147" s="336"/>
      <c r="LI147" s="336"/>
      <c r="LJ147" s="336"/>
      <c r="LK147" s="336"/>
      <c r="LL147" s="336"/>
      <c r="LM147" s="336"/>
      <c r="LN147" s="336"/>
      <c r="LO147" s="336"/>
      <c r="LP147" s="336"/>
      <c r="LQ147" s="337"/>
      <c r="MN147" s="10"/>
      <c r="OA147" s="10"/>
    </row>
    <row r="148" spans="1:391" s="370" customFormat="1" x14ac:dyDescent="0.25">
      <c r="A148" s="68"/>
      <c r="B148" s="10"/>
      <c r="C148" s="68"/>
      <c r="D148" s="68"/>
      <c r="E148" s="68"/>
      <c r="F148" s="68"/>
      <c r="G148" s="68"/>
      <c r="H148" s="68"/>
      <c r="I148" s="68"/>
      <c r="J148" s="68"/>
      <c r="K148" s="68"/>
      <c r="L148" s="68"/>
      <c r="M148" s="68"/>
      <c r="N148" s="68"/>
      <c r="O148" s="68"/>
      <c r="P148" s="68"/>
      <c r="Q148" s="68"/>
      <c r="R148" s="68"/>
      <c r="S148" s="68"/>
      <c r="T148" s="70"/>
      <c r="AC148" s="68"/>
      <c r="AD148" s="70"/>
      <c r="AM148" s="68"/>
      <c r="AN148" s="70"/>
      <c r="AU148" s="68"/>
      <c r="AV148" s="70"/>
      <c r="BB148" s="68"/>
      <c r="BC148" s="70"/>
      <c r="BD148" s="68"/>
      <c r="BE148" s="68"/>
      <c r="BF148" s="68"/>
      <c r="BG148" s="68"/>
      <c r="BH148" s="68"/>
      <c r="BI148" s="68"/>
      <c r="BJ148" s="70"/>
      <c r="BM148" s="68"/>
      <c r="BN148" s="70"/>
      <c r="BT148" s="68"/>
      <c r="BU148" s="70"/>
      <c r="BZ148" s="10"/>
      <c r="CF148" s="10"/>
      <c r="CI148" s="389"/>
      <c r="CJ148" s="389"/>
      <c r="CK148" s="68"/>
      <c r="CL148" s="70"/>
      <c r="CO148" s="10"/>
      <c r="CU148" s="10"/>
      <c r="DA148" s="10"/>
      <c r="DB148" s="70"/>
      <c r="DC148" s="70"/>
      <c r="DF148" s="68"/>
      <c r="DG148" s="70"/>
      <c r="DH148" s="68"/>
      <c r="DI148" s="386"/>
      <c r="DJ148" s="425"/>
      <c r="DL148" s="68"/>
      <c r="DM148" s="70"/>
      <c r="DQ148" s="68"/>
      <c r="DR148" s="70"/>
      <c r="DS148" s="338"/>
      <c r="DT148" s="338"/>
      <c r="DU148" s="338"/>
      <c r="DW148" s="338"/>
      <c r="DX148" s="338"/>
      <c r="DY148" s="338"/>
      <c r="EA148" s="338"/>
      <c r="EB148" s="338"/>
      <c r="EC148" s="338"/>
      <c r="EE148" s="338"/>
      <c r="EF148" s="338"/>
      <c r="EG148" s="338"/>
      <c r="EI148" s="336"/>
      <c r="EJ148" s="336"/>
      <c r="EK148" s="336"/>
      <c r="EL148" s="336"/>
      <c r="EM148" s="336"/>
      <c r="EN148" s="336"/>
      <c r="EO148" s="337"/>
      <c r="EP148" s="342"/>
      <c r="EQ148" s="336"/>
      <c r="ER148" s="342"/>
      <c r="ES148" s="336"/>
      <c r="ET148" s="342"/>
      <c r="EU148" s="336"/>
      <c r="EV148" s="342"/>
      <c r="EW148" s="336"/>
      <c r="EX148" s="342"/>
      <c r="EY148" s="342"/>
      <c r="EZ148" s="342"/>
      <c r="FA148" s="337"/>
      <c r="FE148" s="338"/>
      <c r="FH148" s="338"/>
      <c r="FI148" s="338"/>
      <c r="FJ148" s="338"/>
      <c r="FK148" s="338"/>
      <c r="FL148" s="338"/>
      <c r="FM148" s="337"/>
      <c r="FN148" s="336"/>
      <c r="FO148" s="336"/>
      <c r="FP148" s="336"/>
      <c r="FQ148" s="336"/>
      <c r="FR148" s="336"/>
      <c r="FS148" s="336"/>
      <c r="FT148" s="336"/>
      <c r="FU148" s="336"/>
      <c r="FV148" s="336"/>
      <c r="FW148" s="337"/>
      <c r="FX148" s="532"/>
      <c r="FY148" s="341"/>
      <c r="FZ148" s="341"/>
      <c r="GA148" s="336"/>
      <c r="GB148" s="341"/>
      <c r="GC148" s="341"/>
      <c r="GD148" s="341"/>
      <c r="GE148" s="336"/>
      <c r="GF148" s="336"/>
      <c r="GG148" s="336"/>
      <c r="GH148" s="336"/>
      <c r="GI148" s="336"/>
      <c r="GJ148" s="337"/>
      <c r="GM148" s="338"/>
      <c r="GN148" s="338"/>
      <c r="GO148" s="338"/>
      <c r="GS148" s="338"/>
      <c r="GT148" s="338"/>
      <c r="GU148" s="338"/>
      <c r="GY148" s="338"/>
      <c r="GZ148" s="338"/>
      <c r="HA148" s="338"/>
      <c r="HE148" s="338"/>
      <c r="HF148" s="338"/>
      <c r="HG148" s="338"/>
      <c r="HN148" s="68"/>
      <c r="HO148" s="68"/>
      <c r="HP148" s="68"/>
      <c r="HQ148" s="336"/>
      <c r="HR148" s="68"/>
      <c r="HS148" s="68"/>
      <c r="HT148" s="10"/>
      <c r="HW148" s="338"/>
      <c r="HX148" s="338"/>
      <c r="HY148" s="338"/>
      <c r="IC148" s="338"/>
      <c r="ID148" s="338"/>
      <c r="IE148" s="338"/>
      <c r="II148" s="338"/>
      <c r="IJ148" s="338"/>
      <c r="IK148" s="338"/>
      <c r="IO148" s="338"/>
      <c r="IP148" s="338"/>
      <c r="IQ148" s="338"/>
      <c r="IX148" s="68"/>
      <c r="IY148" s="68"/>
      <c r="IZ148" s="68"/>
      <c r="JA148" s="68"/>
      <c r="JB148" s="68"/>
      <c r="JC148" s="68"/>
      <c r="JD148" s="10"/>
      <c r="JG148" s="338"/>
      <c r="JH148" s="338"/>
      <c r="JI148" s="338"/>
      <c r="JM148" s="338"/>
      <c r="JN148" s="338"/>
      <c r="JQ148" s="338"/>
      <c r="JR148" s="338"/>
      <c r="JS148" s="338"/>
      <c r="JW148" s="358"/>
      <c r="JX148" s="336"/>
      <c r="JY148" s="336"/>
      <c r="JZ148" s="336"/>
      <c r="KA148" s="336"/>
      <c r="KB148" s="336"/>
      <c r="KC148" s="336"/>
      <c r="KD148" s="336"/>
      <c r="KE148" s="336"/>
      <c r="KF148" s="336"/>
      <c r="KG148" s="337"/>
      <c r="KH148" s="338"/>
      <c r="KI148" s="338"/>
      <c r="KJ148" s="338"/>
      <c r="KK148" s="338"/>
      <c r="KL148" s="338"/>
      <c r="KM148" s="338"/>
      <c r="KN148" s="338"/>
      <c r="KO148" s="338"/>
      <c r="KP148" s="338"/>
      <c r="KQ148" s="338"/>
      <c r="KR148" s="338"/>
      <c r="KS148" s="338"/>
      <c r="KT148" s="338"/>
      <c r="KU148" s="338"/>
      <c r="KV148" s="338"/>
      <c r="KW148" s="337"/>
      <c r="KX148" s="336"/>
      <c r="KY148" s="336"/>
      <c r="KZ148" s="336"/>
      <c r="LA148" s="336"/>
      <c r="LB148" s="336"/>
      <c r="LC148" s="336"/>
      <c r="LD148" s="336"/>
      <c r="LE148" s="336"/>
      <c r="LF148" s="336"/>
      <c r="LG148" s="336"/>
      <c r="LH148" s="336"/>
      <c r="LI148" s="336"/>
      <c r="LJ148" s="336"/>
      <c r="LK148" s="336"/>
      <c r="LL148" s="336"/>
      <c r="LM148" s="336"/>
      <c r="LN148" s="336"/>
      <c r="LO148" s="336"/>
      <c r="LP148" s="336"/>
      <c r="LQ148" s="337"/>
      <c r="MN148" s="10"/>
      <c r="OA148" s="10"/>
    </row>
    <row r="149" spans="1:391" s="370" customFormat="1" x14ac:dyDescent="0.25">
      <c r="A149" s="68"/>
      <c r="B149" s="10"/>
      <c r="C149" s="68"/>
      <c r="D149" s="68"/>
      <c r="E149" s="68"/>
      <c r="F149" s="68"/>
      <c r="G149" s="68"/>
      <c r="H149" s="68"/>
      <c r="I149" s="68"/>
      <c r="J149" s="68"/>
      <c r="K149" s="68"/>
      <c r="L149" s="68"/>
      <c r="M149" s="68"/>
      <c r="N149" s="68"/>
      <c r="O149" s="68"/>
      <c r="P149" s="68"/>
      <c r="Q149" s="68"/>
      <c r="R149" s="68"/>
      <c r="S149" s="68"/>
      <c r="T149" s="70"/>
      <c r="AC149" s="68"/>
      <c r="AD149" s="70"/>
      <c r="AM149" s="68"/>
      <c r="AN149" s="70"/>
      <c r="AU149" s="68"/>
      <c r="AV149" s="70"/>
      <c r="BB149" s="68"/>
      <c r="BC149" s="70"/>
      <c r="BD149" s="68"/>
      <c r="BE149" s="68"/>
      <c r="BF149" s="68"/>
      <c r="BG149" s="68"/>
      <c r="BH149" s="68"/>
      <c r="BI149" s="68"/>
      <c r="BJ149" s="70"/>
      <c r="BM149" s="68"/>
      <c r="BN149" s="70"/>
      <c r="BT149" s="68"/>
      <c r="BU149" s="70"/>
      <c r="BZ149" s="10"/>
      <c r="CF149" s="10"/>
      <c r="CI149" s="389"/>
      <c r="CJ149" s="389"/>
      <c r="CK149" s="68"/>
      <c r="CL149" s="70"/>
      <c r="CO149" s="10"/>
      <c r="CU149" s="10"/>
      <c r="DA149" s="10"/>
      <c r="DB149" s="70"/>
      <c r="DC149" s="70"/>
      <c r="DF149" s="68"/>
      <c r="DG149" s="70"/>
      <c r="DH149" s="68"/>
      <c r="DI149" s="386"/>
      <c r="DJ149" s="425"/>
      <c r="DL149" s="68"/>
      <c r="DM149" s="70"/>
      <c r="DQ149" s="68"/>
      <c r="DR149" s="70"/>
      <c r="DS149" s="338"/>
      <c r="DT149" s="338"/>
      <c r="DU149" s="338"/>
      <c r="DW149" s="338"/>
      <c r="DX149" s="338"/>
      <c r="DY149" s="338"/>
      <c r="EA149" s="338"/>
      <c r="EB149" s="338"/>
      <c r="EC149" s="338"/>
      <c r="EE149" s="338"/>
      <c r="EF149" s="338"/>
      <c r="EG149" s="338"/>
      <c r="EI149" s="336"/>
      <c r="EJ149" s="336"/>
      <c r="EK149" s="336"/>
      <c r="EL149" s="336"/>
      <c r="EM149" s="336"/>
      <c r="EN149" s="336"/>
      <c r="EO149" s="337"/>
      <c r="EP149" s="342"/>
      <c r="EQ149" s="336"/>
      <c r="ER149" s="342"/>
      <c r="ES149" s="336"/>
      <c r="ET149" s="342"/>
      <c r="EU149" s="336"/>
      <c r="EV149" s="342"/>
      <c r="EW149" s="336"/>
      <c r="EX149" s="342"/>
      <c r="EY149" s="342"/>
      <c r="EZ149" s="342"/>
      <c r="FA149" s="337"/>
      <c r="FE149" s="338"/>
      <c r="FH149" s="338"/>
      <c r="FI149" s="338"/>
      <c r="FJ149" s="338"/>
      <c r="FK149" s="338"/>
      <c r="FL149" s="338"/>
      <c r="FM149" s="337"/>
      <c r="FN149" s="336"/>
      <c r="FO149" s="336"/>
      <c r="FP149" s="336"/>
      <c r="FQ149" s="336"/>
      <c r="FR149" s="336"/>
      <c r="FS149" s="336"/>
      <c r="FT149" s="336"/>
      <c r="FU149" s="336"/>
      <c r="FV149" s="336"/>
      <c r="FW149" s="337"/>
      <c r="FX149" s="532"/>
      <c r="FY149" s="341"/>
      <c r="FZ149" s="341"/>
      <c r="GA149" s="336"/>
      <c r="GB149" s="341"/>
      <c r="GC149" s="341"/>
      <c r="GD149" s="341"/>
      <c r="GE149" s="336"/>
      <c r="GF149" s="336"/>
      <c r="GG149" s="336"/>
      <c r="GH149" s="336"/>
      <c r="GI149" s="336"/>
      <c r="GJ149" s="337"/>
      <c r="GM149" s="338"/>
      <c r="GN149" s="338"/>
      <c r="GO149" s="338"/>
      <c r="GS149" s="338"/>
      <c r="GT149" s="338"/>
      <c r="GU149" s="338"/>
      <c r="GY149" s="338"/>
      <c r="GZ149" s="338"/>
      <c r="HA149" s="338"/>
      <c r="HE149" s="338"/>
      <c r="HF149" s="338"/>
      <c r="HG149" s="338"/>
      <c r="HN149" s="68"/>
      <c r="HO149" s="68"/>
      <c r="HP149" s="68"/>
      <c r="HQ149" s="336"/>
      <c r="HR149" s="68"/>
      <c r="HS149" s="68"/>
      <c r="HT149" s="10"/>
      <c r="HW149" s="338"/>
      <c r="HX149" s="338"/>
      <c r="HY149" s="338"/>
      <c r="IC149" s="338"/>
      <c r="ID149" s="338"/>
      <c r="IE149" s="338"/>
      <c r="II149" s="338"/>
      <c r="IJ149" s="338"/>
      <c r="IK149" s="338"/>
      <c r="IO149" s="338"/>
      <c r="IP149" s="338"/>
      <c r="IQ149" s="338"/>
      <c r="IX149" s="68"/>
      <c r="IY149" s="68"/>
      <c r="IZ149" s="68"/>
      <c r="JA149" s="68"/>
      <c r="JB149" s="68"/>
      <c r="JC149" s="68"/>
      <c r="JD149" s="10"/>
      <c r="JG149" s="338"/>
      <c r="JH149" s="338"/>
      <c r="JI149" s="338"/>
      <c r="JM149" s="338"/>
      <c r="JN149" s="338"/>
      <c r="JQ149" s="338"/>
      <c r="JR149" s="338"/>
      <c r="JS149" s="338"/>
      <c r="JW149" s="358"/>
      <c r="JX149" s="336"/>
      <c r="JY149" s="336"/>
      <c r="JZ149" s="336"/>
      <c r="KA149" s="336"/>
      <c r="KB149" s="336"/>
      <c r="KC149" s="336"/>
      <c r="KD149" s="336"/>
      <c r="KE149" s="336"/>
      <c r="KF149" s="336"/>
      <c r="KG149" s="337"/>
      <c r="KH149" s="338"/>
      <c r="KI149" s="338"/>
      <c r="KJ149" s="338"/>
      <c r="KK149" s="338"/>
      <c r="KL149" s="338"/>
      <c r="KM149" s="338"/>
      <c r="KN149" s="338"/>
      <c r="KO149" s="338"/>
      <c r="KP149" s="338"/>
      <c r="KQ149" s="338"/>
      <c r="KR149" s="338"/>
      <c r="KS149" s="338"/>
      <c r="KT149" s="338"/>
      <c r="KU149" s="338"/>
      <c r="KV149" s="338"/>
      <c r="KW149" s="337"/>
      <c r="KX149" s="336"/>
      <c r="KY149" s="336"/>
      <c r="KZ149" s="336"/>
      <c r="LA149" s="336"/>
      <c r="LB149" s="336"/>
      <c r="LC149" s="336"/>
      <c r="LD149" s="336"/>
      <c r="LE149" s="336"/>
      <c r="LF149" s="336"/>
      <c r="LG149" s="336"/>
      <c r="LH149" s="336"/>
      <c r="LI149" s="336"/>
      <c r="LJ149" s="336"/>
      <c r="LK149" s="336"/>
      <c r="LL149" s="336"/>
      <c r="LM149" s="336"/>
      <c r="LN149" s="336"/>
      <c r="LO149" s="336"/>
      <c r="LP149" s="336"/>
      <c r="LQ149" s="337"/>
      <c r="MN149" s="10"/>
      <c r="OA149" s="10"/>
    </row>
    <row r="150" spans="1:391" s="370" customFormat="1" x14ac:dyDescent="0.25">
      <c r="A150" s="68"/>
      <c r="B150" s="10"/>
      <c r="C150" s="68"/>
      <c r="D150" s="68"/>
      <c r="E150" s="68"/>
      <c r="F150" s="68"/>
      <c r="G150" s="68"/>
      <c r="H150" s="68"/>
      <c r="I150" s="68"/>
      <c r="J150" s="68"/>
      <c r="K150" s="68"/>
      <c r="L150" s="68"/>
      <c r="M150" s="68"/>
      <c r="N150" s="68"/>
      <c r="O150" s="68"/>
      <c r="P150" s="68"/>
      <c r="Q150" s="68"/>
      <c r="R150" s="68"/>
      <c r="S150" s="68"/>
      <c r="T150" s="70"/>
      <c r="AC150" s="68"/>
      <c r="AD150" s="70"/>
      <c r="AM150" s="68"/>
      <c r="AN150" s="70"/>
      <c r="AU150" s="68"/>
      <c r="AV150" s="70"/>
      <c r="BB150" s="68"/>
      <c r="BC150" s="70"/>
      <c r="BD150" s="68"/>
      <c r="BE150" s="68"/>
      <c r="BF150" s="68"/>
      <c r="BG150" s="68"/>
      <c r="BH150" s="68"/>
      <c r="BI150" s="68"/>
      <c r="BJ150" s="70"/>
      <c r="BM150" s="68"/>
      <c r="BN150" s="70"/>
      <c r="BT150" s="68"/>
      <c r="BU150" s="70"/>
      <c r="BZ150" s="10"/>
      <c r="CF150" s="10"/>
      <c r="CI150" s="389"/>
      <c r="CJ150" s="389"/>
      <c r="CK150" s="68"/>
      <c r="CL150" s="70"/>
      <c r="CO150" s="10"/>
      <c r="CU150" s="10"/>
      <c r="DA150" s="10"/>
      <c r="DB150" s="70"/>
      <c r="DC150" s="70"/>
      <c r="DF150" s="68"/>
      <c r="DG150" s="70"/>
      <c r="DH150" s="68"/>
      <c r="DI150" s="386"/>
      <c r="DJ150" s="425"/>
      <c r="DL150" s="68"/>
      <c r="DM150" s="70"/>
      <c r="DQ150" s="68"/>
      <c r="DR150" s="70"/>
      <c r="DS150" s="338"/>
      <c r="DT150" s="338"/>
      <c r="DU150" s="338"/>
      <c r="DW150" s="338"/>
      <c r="DX150" s="338"/>
      <c r="DY150" s="338"/>
      <c r="EA150" s="338"/>
      <c r="EB150" s="338"/>
      <c r="EC150" s="338"/>
      <c r="EE150" s="338"/>
      <c r="EF150" s="338"/>
      <c r="EG150" s="338"/>
      <c r="EI150" s="336"/>
      <c r="EJ150" s="336"/>
      <c r="EK150" s="336"/>
      <c r="EL150" s="336"/>
      <c r="EM150" s="336"/>
      <c r="EN150" s="336"/>
      <c r="EO150" s="337"/>
      <c r="EP150" s="342"/>
      <c r="EQ150" s="336"/>
      <c r="ER150" s="342"/>
      <c r="ES150" s="336"/>
      <c r="ET150" s="342"/>
      <c r="EU150" s="336"/>
      <c r="EV150" s="342"/>
      <c r="EW150" s="336"/>
      <c r="EX150" s="342"/>
      <c r="EY150" s="342"/>
      <c r="EZ150" s="342"/>
      <c r="FA150" s="337"/>
      <c r="FE150" s="338"/>
      <c r="FH150" s="338"/>
      <c r="FI150" s="338"/>
      <c r="FJ150" s="338"/>
      <c r="FK150" s="338"/>
      <c r="FL150" s="338"/>
      <c r="FM150" s="337"/>
      <c r="FN150" s="336"/>
      <c r="FO150" s="336"/>
      <c r="FP150" s="336"/>
      <c r="FQ150" s="336"/>
      <c r="FR150" s="336"/>
      <c r="FS150" s="336"/>
      <c r="FT150" s="336"/>
      <c r="FU150" s="336"/>
      <c r="FV150" s="336"/>
      <c r="FW150" s="337"/>
      <c r="FX150" s="532"/>
      <c r="FY150" s="341"/>
      <c r="FZ150" s="341"/>
      <c r="GA150" s="336"/>
      <c r="GB150" s="341"/>
      <c r="GC150" s="341"/>
      <c r="GD150" s="341"/>
      <c r="GE150" s="336"/>
      <c r="GF150" s="336"/>
      <c r="GG150" s="336"/>
      <c r="GH150" s="336"/>
      <c r="GI150" s="336"/>
      <c r="GJ150" s="337"/>
      <c r="GM150" s="338"/>
      <c r="GN150" s="338"/>
      <c r="GO150" s="338"/>
      <c r="GS150" s="338"/>
      <c r="GT150" s="338"/>
      <c r="GU150" s="338"/>
      <c r="GY150" s="338"/>
      <c r="GZ150" s="338"/>
      <c r="HA150" s="338"/>
      <c r="HE150" s="338"/>
      <c r="HF150" s="338"/>
      <c r="HG150" s="338"/>
      <c r="HN150" s="68"/>
      <c r="HO150" s="68"/>
      <c r="HP150" s="68"/>
      <c r="HQ150" s="336"/>
      <c r="HR150" s="68"/>
      <c r="HS150" s="68"/>
      <c r="HT150" s="10"/>
      <c r="HW150" s="338"/>
      <c r="HX150" s="338"/>
      <c r="HY150" s="338"/>
      <c r="IC150" s="338"/>
      <c r="ID150" s="338"/>
      <c r="IE150" s="338"/>
      <c r="II150" s="338"/>
      <c r="IJ150" s="338"/>
      <c r="IK150" s="338"/>
      <c r="IO150" s="338"/>
      <c r="IP150" s="338"/>
      <c r="IQ150" s="338"/>
      <c r="IX150" s="68"/>
      <c r="IY150" s="68"/>
      <c r="IZ150" s="68"/>
      <c r="JA150" s="68"/>
      <c r="JB150" s="68"/>
      <c r="JC150" s="68"/>
      <c r="JD150" s="10"/>
      <c r="JG150" s="338"/>
      <c r="JH150" s="338"/>
      <c r="JI150" s="338"/>
      <c r="JM150" s="338"/>
      <c r="JN150" s="338"/>
      <c r="JQ150" s="338"/>
      <c r="JR150" s="338"/>
      <c r="JS150" s="338"/>
      <c r="JW150" s="358"/>
      <c r="JX150" s="336"/>
      <c r="JY150" s="336"/>
      <c r="JZ150" s="336"/>
      <c r="KA150" s="336"/>
      <c r="KB150" s="336"/>
      <c r="KC150" s="336"/>
      <c r="KD150" s="336"/>
      <c r="KE150" s="336"/>
      <c r="KF150" s="336"/>
      <c r="KG150" s="337"/>
      <c r="KH150" s="338"/>
      <c r="KI150" s="338"/>
      <c r="KJ150" s="338"/>
      <c r="KK150" s="338"/>
      <c r="KL150" s="338"/>
      <c r="KM150" s="338"/>
      <c r="KN150" s="338"/>
      <c r="KO150" s="338"/>
      <c r="KP150" s="338"/>
      <c r="KQ150" s="338"/>
      <c r="KR150" s="338"/>
      <c r="KS150" s="338"/>
      <c r="KT150" s="338"/>
      <c r="KU150" s="338"/>
      <c r="KV150" s="338"/>
      <c r="KW150" s="337"/>
      <c r="KX150" s="336"/>
      <c r="KY150" s="336"/>
      <c r="KZ150" s="336"/>
      <c r="LA150" s="336"/>
      <c r="LB150" s="336"/>
      <c r="LC150" s="336"/>
      <c r="LD150" s="336"/>
      <c r="LE150" s="336"/>
      <c r="LF150" s="336"/>
      <c r="LG150" s="336"/>
      <c r="LH150" s="336"/>
      <c r="LI150" s="336"/>
      <c r="LJ150" s="336"/>
      <c r="LK150" s="336"/>
      <c r="LL150" s="336"/>
      <c r="LM150" s="336"/>
      <c r="LN150" s="336"/>
      <c r="LO150" s="336"/>
      <c r="LP150" s="336"/>
      <c r="LQ150" s="337"/>
      <c r="MN150" s="10"/>
      <c r="OA150" s="10"/>
    </row>
    <row r="151" spans="1:391" s="370" customFormat="1" x14ac:dyDescent="0.25">
      <c r="A151" s="68"/>
      <c r="B151" s="10"/>
      <c r="C151" s="68"/>
      <c r="D151" s="68"/>
      <c r="E151" s="68"/>
      <c r="F151" s="68"/>
      <c r="G151" s="68"/>
      <c r="H151" s="68"/>
      <c r="I151" s="68"/>
      <c r="J151" s="68"/>
      <c r="K151" s="68"/>
      <c r="L151" s="68"/>
      <c r="M151" s="68"/>
      <c r="N151" s="68"/>
      <c r="O151" s="68"/>
      <c r="P151" s="68"/>
      <c r="Q151" s="68"/>
      <c r="R151" s="68"/>
      <c r="S151" s="68"/>
      <c r="T151" s="70"/>
      <c r="AC151" s="68"/>
      <c r="AD151" s="70"/>
      <c r="AM151" s="68"/>
      <c r="AN151" s="70"/>
      <c r="AU151" s="68"/>
      <c r="AV151" s="70"/>
      <c r="BB151" s="68"/>
      <c r="BC151" s="70"/>
      <c r="BD151" s="68"/>
      <c r="BE151" s="68"/>
      <c r="BF151" s="68"/>
      <c r="BG151" s="68"/>
      <c r="BH151" s="68"/>
      <c r="BI151" s="68"/>
      <c r="BJ151" s="70"/>
      <c r="BM151" s="68"/>
      <c r="BN151" s="70"/>
      <c r="BT151" s="68"/>
      <c r="BU151" s="70"/>
      <c r="BZ151" s="10"/>
      <c r="CF151" s="10"/>
      <c r="CI151" s="389"/>
      <c r="CJ151" s="389"/>
      <c r="CK151" s="68"/>
      <c r="CL151" s="70"/>
      <c r="CO151" s="10"/>
      <c r="CU151" s="10"/>
      <c r="DA151" s="10"/>
      <c r="DB151" s="70"/>
      <c r="DC151" s="70"/>
      <c r="DF151" s="68"/>
      <c r="DG151" s="70"/>
      <c r="DH151" s="68"/>
      <c r="DI151" s="386"/>
      <c r="DJ151" s="425"/>
      <c r="DL151" s="68"/>
      <c r="DM151" s="70"/>
      <c r="DQ151" s="68"/>
      <c r="DR151" s="70"/>
      <c r="DS151" s="338"/>
      <c r="DT151" s="338"/>
      <c r="DU151" s="338"/>
      <c r="DW151" s="338"/>
      <c r="DX151" s="338"/>
      <c r="DY151" s="338"/>
      <c r="EA151" s="338"/>
      <c r="EB151" s="338"/>
      <c r="EC151" s="338"/>
      <c r="EE151" s="338"/>
      <c r="EF151" s="338"/>
      <c r="EG151" s="338"/>
      <c r="EI151" s="336"/>
      <c r="EJ151" s="336"/>
      <c r="EK151" s="336"/>
      <c r="EL151" s="336"/>
      <c r="EM151" s="336"/>
      <c r="EN151" s="336"/>
      <c r="EO151" s="337"/>
      <c r="EP151" s="342"/>
      <c r="EQ151" s="336"/>
      <c r="ER151" s="342"/>
      <c r="ES151" s="336"/>
      <c r="ET151" s="342"/>
      <c r="EU151" s="336"/>
      <c r="EV151" s="342"/>
      <c r="EW151" s="336"/>
      <c r="EX151" s="342"/>
      <c r="EY151" s="342"/>
      <c r="EZ151" s="342"/>
      <c r="FA151" s="337"/>
      <c r="FE151" s="338"/>
      <c r="FH151" s="338"/>
      <c r="FI151" s="338"/>
      <c r="FJ151" s="338"/>
      <c r="FK151" s="338"/>
      <c r="FL151" s="338"/>
      <c r="FM151" s="337"/>
      <c r="FN151" s="336"/>
      <c r="FO151" s="336"/>
      <c r="FP151" s="336"/>
      <c r="FQ151" s="336"/>
      <c r="FR151" s="336"/>
      <c r="FS151" s="336"/>
      <c r="FT151" s="336"/>
      <c r="FU151" s="336"/>
      <c r="FV151" s="336"/>
      <c r="FW151" s="337"/>
      <c r="FX151" s="532"/>
      <c r="FY151" s="341"/>
      <c r="FZ151" s="341"/>
      <c r="GA151" s="336"/>
      <c r="GB151" s="341"/>
      <c r="GC151" s="341"/>
      <c r="GD151" s="341"/>
      <c r="GE151" s="336"/>
      <c r="GF151" s="336"/>
      <c r="GG151" s="336"/>
      <c r="GH151" s="336"/>
      <c r="GI151" s="336"/>
      <c r="GJ151" s="337"/>
      <c r="GM151" s="338"/>
      <c r="GN151" s="338"/>
      <c r="GO151" s="338"/>
      <c r="GS151" s="338"/>
      <c r="GT151" s="338"/>
      <c r="GU151" s="338"/>
      <c r="GY151" s="338"/>
      <c r="GZ151" s="338"/>
      <c r="HA151" s="338"/>
      <c r="HE151" s="338"/>
      <c r="HF151" s="338"/>
      <c r="HG151" s="338"/>
      <c r="HN151" s="68"/>
      <c r="HO151" s="68"/>
      <c r="HP151" s="68"/>
      <c r="HQ151" s="336"/>
      <c r="HR151" s="68"/>
      <c r="HS151" s="68"/>
      <c r="HT151" s="10"/>
      <c r="HW151" s="338"/>
      <c r="HX151" s="338"/>
      <c r="HY151" s="338"/>
      <c r="IC151" s="338"/>
      <c r="ID151" s="338"/>
      <c r="IE151" s="338"/>
      <c r="II151" s="338"/>
      <c r="IJ151" s="338"/>
      <c r="IK151" s="338"/>
      <c r="IO151" s="338"/>
      <c r="IP151" s="338"/>
      <c r="IQ151" s="338"/>
      <c r="IX151" s="68"/>
      <c r="IY151" s="68"/>
      <c r="IZ151" s="68"/>
      <c r="JA151" s="68"/>
      <c r="JB151" s="68"/>
      <c r="JC151" s="68"/>
      <c r="JD151" s="10"/>
      <c r="JG151" s="338"/>
      <c r="JH151" s="338"/>
      <c r="JI151" s="338"/>
      <c r="JM151" s="338"/>
      <c r="JN151" s="338"/>
      <c r="JQ151" s="338"/>
      <c r="JR151" s="338"/>
      <c r="JS151" s="338"/>
      <c r="JW151" s="358"/>
      <c r="JX151" s="336"/>
      <c r="JY151" s="336"/>
      <c r="JZ151" s="336"/>
      <c r="KA151" s="336"/>
      <c r="KB151" s="336"/>
      <c r="KC151" s="336"/>
      <c r="KD151" s="336"/>
      <c r="KE151" s="336"/>
      <c r="KF151" s="336"/>
      <c r="KG151" s="337"/>
      <c r="KH151" s="338"/>
      <c r="KI151" s="338"/>
      <c r="KJ151" s="338"/>
      <c r="KK151" s="338"/>
      <c r="KL151" s="338"/>
      <c r="KM151" s="338"/>
      <c r="KN151" s="338"/>
      <c r="KO151" s="338"/>
      <c r="KP151" s="338"/>
      <c r="KQ151" s="338"/>
      <c r="KR151" s="338"/>
      <c r="KS151" s="338"/>
      <c r="KT151" s="338"/>
      <c r="KU151" s="338"/>
      <c r="KV151" s="338"/>
      <c r="KW151" s="337"/>
      <c r="KX151" s="336"/>
      <c r="KY151" s="336"/>
      <c r="KZ151" s="336"/>
      <c r="LA151" s="336"/>
      <c r="LB151" s="336"/>
      <c r="LC151" s="336"/>
      <c r="LD151" s="336"/>
      <c r="LE151" s="336"/>
      <c r="LF151" s="336"/>
      <c r="LG151" s="336"/>
      <c r="LH151" s="336"/>
      <c r="LI151" s="336"/>
      <c r="LJ151" s="336"/>
      <c r="LK151" s="336"/>
      <c r="LL151" s="336"/>
      <c r="LM151" s="336"/>
      <c r="LN151" s="336"/>
      <c r="LO151" s="336"/>
      <c r="LP151" s="336"/>
      <c r="LQ151" s="337"/>
      <c r="MN151" s="10"/>
      <c r="OA151" s="10"/>
    </row>
    <row r="152" spans="1:391" s="370" customFormat="1" x14ac:dyDescent="0.25">
      <c r="A152" s="68"/>
      <c r="B152" s="10"/>
      <c r="C152" s="68"/>
      <c r="D152" s="68"/>
      <c r="E152" s="68"/>
      <c r="F152" s="68"/>
      <c r="G152" s="68"/>
      <c r="H152" s="68"/>
      <c r="I152" s="68"/>
      <c r="J152" s="68"/>
      <c r="K152" s="68"/>
      <c r="L152" s="68"/>
      <c r="M152" s="68"/>
      <c r="N152" s="68"/>
      <c r="O152" s="68"/>
      <c r="P152" s="68"/>
      <c r="Q152" s="68"/>
      <c r="R152" s="68"/>
      <c r="S152" s="68"/>
      <c r="T152" s="70"/>
      <c r="AC152" s="68"/>
      <c r="AD152" s="70"/>
      <c r="AM152" s="68"/>
      <c r="AN152" s="70"/>
      <c r="AU152" s="68"/>
      <c r="AV152" s="70"/>
      <c r="BB152" s="68"/>
      <c r="BC152" s="70"/>
      <c r="BD152" s="68"/>
      <c r="BE152" s="68"/>
      <c r="BF152" s="68"/>
      <c r="BG152" s="68"/>
      <c r="BH152" s="68"/>
      <c r="BI152" s="68"/>
      <c r="BJ152" s="70"/>
      <c r="BM152" s="68"/>
      <c r="BN152" s="70"/>
      <c r="BT152" s="68"/>
      <c r="BU152" s="70"/>
      <c r="BZ152" s="10"/>
      <c r="CF152" s="10"/>
      <c r="CI152" s="389"/>
      <c r="CJ152" s="389"/>
      <c r="CK152" s="68"/>
      <c r="CL152" s="70"/>
      <c r="CO152" s="10"/>
      <c r="CU152" s="10"/>
      <c r="DA152" s="10"/>
      <c r="DB152" s="70"/>
      <c r="DC152" s="70"/>
      <c r="DF152" s="68"/>
      <c r="DG152" s="70"/>
      <c r="DH152" s="68"/>
      <c r="DI152" s="386"/>
      <c r="DJ152" s="425"/>
      <c r="DL152" s="68"/>
      <c r="DM152" s="70"/>
      <c r="DQ152" s="68"/>
      <c r="DR152" s="70"/>
      <c r="DS152" s="338"/>
      <c r="DT152" s="338"/>
      <c r="DU152" s="338"/>
      <c r="DW152" s="338"/>
      <c r="DX152" s="338"/>
      <c r="DY152" s="338"/>
      <c r="EA152" s="338"/>
      <c r="EB152" s="338"/>
      <c r="EC152" s="338"/>
      <c r="EE152" s="338"/>
      <c r="EF152" s="338"/>
      <c r="EG152" s="338"/>
      <c r="EI152" s="336"/>
      <c r="EJ152" s="336"/>
      <c r="EK152" s="336"/>
      <c r="EL152" s="336"/>
      <c r="EM152" s="336"/>
      <c r="EN152" s="336"/>
      <c r="EO152" s="337"/>
      <c r="EP152" s="342"/>
      <c r="EQ152" s="336"/>
      <c r="ER152" s="342"/>
      <c r="ES152" s="336"/>
      <c r="ET152" s="342"/>
      <c r="EU152" s="336"/>
      <c r="EV152" s="342"/>
      <c r="EW152" s="336"/>
      <c r="EX152" s="342"/>
      <c r="EY152" s="342"/>
      <c r="EZ152" s="342"/>
      <c r="FA152" s="337"/>
      <c r="FE152" s="338"/>
      <c r="FH152" s="338"/>
      <c r="FI152" s="338"/>
      <c r="FJ152" s="338"/>
      <c r="FK152" s="338"/>
      <c r="FL152" s="338"/>
      <c r="FM152" s="337"/>
      <c r="FN152" s="336"/>
      <c r="FO152" s="336"/>
      <c r="FP152" s="336"/>
      <c r="FQ152" s="336"/>
      <c r="FR152" s="336"/>
      <c r="FS152" s="336"/>
      <c r="FT152" s="336"/>
      <c r="FU152" s="336"/>
      <c r="FV152" s="336"/>
      <c r="FW152" s="337"/>
      <c r="FX152" s="532"/>
      <c r="FY152" s="341"/>
      <c r="FZ152" s="341"/>
      <c r="GA152" s="336"/>
      <c r="GB152" s="341"/>
      <c r="GC152" s="341"/>
      <c r="GD152" s="341"/>
      <c r="GE152" s="336"/>
      <c r="GF152" s="336"/>
      <c r="GG152" s="336"/>
      <c r="GH152" s="336"/>
      <c r="GI152" s="336"/>
      <c r="GJ152" s="337"/>
      <c r="GM152" s="338"/>
      <c r="GN152" s="338"/>
      <c r="GO152" s="338"/>
      <c r="GS152" s="338"/>
      <c r="GT152" s="338"/>
      <c r="GU152" s="338"/>
      <c r="GY152" s="338"/>
      <c r="GZ152" s="338"/>
      <c r="HA152" s="338"/>
      <c r="HE152" s="338"/>
      <c r="HF152" s="338"/>
      <c r="HG152" s="338"/>
      <c r="HN152" s="68"/>
      <c r="HO152" s="68"/>
      <c r="HP152" s="68"/>
      <c r="HQ152" s="336"/>
      <c r="HR152" s="68"/>
      <c r="HS152" s="68"/>
      <c r="HT152" s="10"/>
      <c r="HW152" s="338"/>
      <c r="HX152" s="338"/>
      <c r="HY152" s="338"/>
      <c r="IC152" s="338"/>
      <c r="ID152" s="338"/>
      <c r="IE152" s="338"/>
      <c r="II152" s="338"/>
      <c r="IJ152" s="338"/>
      <c r="IK152" s="338"/>
      <c r="IO152" s="338"/>
      <c r="IP152" s="338"/>
      <c r="IQ152" s="338"/>
      <c r="IX152" s="68"/>
      <c r="IY152" s="68"/>
      <c r="IZ152" s="68"/>
      <c r="JA152" s="68"/>
      <c r="JB152" s="68"/>
      <c r="JC152" s="68"/>
      <c r="JD152" s="10"/>
      <c r="JG152" s="338"/>
      <c r="JH152" s="338"/>
      <c r="JI152" s="338"/>
      <c r="JM152" s="338"/>
      <c r="JN152" s="338"/>
      <c r="JQ152" s="338"/>
      <c r="JR152" s="338"/>
      <c r="JS152" s="338"/>
      <c r="JW152" s="358"/>
      <c r="JX152" s="336"/>
      <c r="JY152" s="336"/>
      <c r="JZ152" s="336"/>
      <c r="KA152" s="336"/>
      <c r="KB152" s="336"/>
      <c r="KC152" s="336"/>
      <c r="KD152" s="336"/>
      <c r="KE152" s="336"/>
      <c r="KF152" s="336"/>
      <c r="KG152" s="337"/>
      <c r="KH152" s="338"/>
      <c r="KI152" s="338"/>
      <c r="KJ152" s="338"/>
      <c r="KK152" s="338"/>
      <c r="KL152" s="338"/>
      <c r="KM152" s="338"/>
      <c r="KN152" s="338"/>
      <c r="KO152" s="338"/>
      <c r="KP152" s="338"/>
      <c r="KQ152" s="338"/>
      <c r="KR152" s="338"/>
      <c r="KS152" s="338"/>
      <c r="KT152" s="338"/>
      <c r="KU152" s="338"/>
      <c r="KV152" s="338"/>
      <c r="KW152" s="337"/>
      <c r="KX152" s="336"/>
      <c r="KY152" s="336"/>
      <c r="KZ152" s="336"/>
      <c r="LA152" s="336"/>
      <c r="LB152" s="336"/>
      <c r="LC152" s="336"/>
      <c r="LD152" s="336"/>
      <c r="LE152" s="336"/>
      <c r="LF152" s="336"/>
      <c r="LG152" s="336"/>
      <c r="LH152" s="336"/>
      <c r="LI152" s="336"/>
      <c r="LJ152" s="336"/>
      <c r="LK152" s="336"/>
      <c r="LL152" s="336"/>
      <c r="LM152" s="336"/>
      <c r="LN152" s="336"/>
      <c r="LO152" s="336"/>
      <c r="LP152" s="336"/>
      <c r="LQ152" s="337"/>
      <c r="MN152" s="10"/>
      <c r="OA152" s="10"/>
    </row>
    <row r="153" spans="1:391" s="370" customFormat="1" x14ac:dyDescent="0.25">
      <c r="A153" s="68"/>
      <c r="B153" s="10"/>
      <c r="C153" s="68"/>
      <c r="D153" s="68"/>
      <c r="E153" s="68"/>
      <c r="F153" s="68"/>
      <c r="G153" s="68"/>
      <c r="H153" s="68"/>
      <c r="I153" s="68"/>
      <c r="J153" s="68"/>
      <c r="K153" s="68"/>
      <c r="L153" s="68"/>
      <c r="M153" s="68"/>
      <c r="N153" s="68"/>
      <c r="O153" s="68"/>
      <c r="P153" s="68"/>
      <c r="Q153" s="68"/>
      <c r="R153" s="68"/>
      <c r="S153" s="68"/>
      <c r="T153" s="70"/>
      <c r="AC153" s="68"/>
      <c r="AD153" s="70"/>
      <c r="AM153" s="68"/>
      <c r="AN153" s="70"/>
      <c r="AU153" s="68"/>
      <c r="AV153" s="70"/>
      <c r="BB153" s="68"/>
      <c r="BC153" s="70"/>
      <c r="BD153" s="68"/>
      <c r="BE153" s="68"/>
      <c r="BF153" s="68"/>
      <c r="BG153" s="68"/>
      <c r="BH153" s="68"/>
      <c r="BI153" s="68"/>
      <c r="BJ153" s="70"/>
      <c r="BM153" s="68"/>
      <c r="BN153" s="70"/>
      <c r="BT153" s="68"/>
      <c r="BU153" s="70"/>
      <c r="BZ153" s="10"/>
      <c r="CF153" s="10"/>
      <c r="CI153" s="389"/>
      <c r="CJ153" s="389"/>
      <c r="CK153" s="68"/>
      <c r="CL153" s="70"/>
      <c r="CO153" s="10"/>
      <c r="CU153" s="10"/>
      <c r="DA153" s="10"/>
      <c r="DB153" s="70"/>
      <c r="DC153" s="70"/>
      <c r="DF153" s="68"/>
      <c r="DG153" s="70"/>
      <c r="DH153" s="68"/>
      <c r="DI153" s="386"/>
      <c r="DJ153" s="425"/>
      <c r="DL153" s="68"/>
      <c r="DM153" s="70"/>
      <c r="DQ153" s="68"/>
      <c r="DR153" s="70"/>
      <c r="DS153" s="338"/>
      <c r="DT153" s="338"/>
      <c r="DU153" s="338"/>
      <c r="DW153" s="338"/>
      <c r="DX153" s="338"/>
      <c r="DY153" s="338"/>
      <c r="EA153" s="338"/>
      <c r="EB153" s="338"/>
      <c r="EC153" s="338"/>
      <c r="EE153" s="338"/>
      <c r="EF153" s="338"/>
      <c r="EG153" s="338"/>
      <c r="EI153" s="336"/>
      <c r="EJ153" s="336"/>
      <c r="EK153" s="336"/>
      <c r="EL153" s="336"/>
      <c r="EM153" s="336"/>
      <c r="EN153" s="336"/>
      <c r="EO153" s="337"/>
      <c r="EP153" s="342"/>
      <c r="EQ153" s="336"/>
      <c r="ER153" s="342"/>
      <c r="ES153" s="336"/>
      <c r="ET153" s="342"/>
      <c r="EU153" s="336"/>
      <c r="EV153" s="342"/>
      <c r="EW153" s="336"/>
      <c r="EX153" s="342"/>
      <c r="EY153" s="342"/>
      <c r="EZ153" s="342"/>
      <c r="FA153" s="337"/>
      <c r="FE153" s="338"/>
      <c r="FH153" s="338"/>
      <c r="FI153" s="338"/>
      <c r="FJ153" s="338"/>
      <c r="FK153" s="338"/>
      <c r="FL153" s="338"/>
      <c r="FM153" s="337"/>
      <c r="FN153" s="336"/>
      <c r="FO153" s="336"/>
      <c r="FP153" s="336"/>
      <c r="FQ153" s="336"/>
      <c r="FR153" s="336"/>
      <c r="FS153" s="336"/>
      <c r="FT153" s="336"/>
      <c r="FU153" s="336"/>
      <c r="FV153" s="336"/>
      <c r="FW153" s="337"/>
      <c r="FX153" s="532"/>
      <c r="FY153" s="341"/>
      <c r="FZ153" s="341"/>
      <c r="GA153" s="336"/>
      <c r="GB153" s="341"/>
      <c r="GC153" s="341"/>
      <c r="GD153" s="341"/>
      <c r="GE153" s="336"/>
      <c r="GF153" s="336"/>
      <c r="GG153" s="336"/>
      <c r="GH153" s="336"/>
      <c r="GI153" s="336"/>
      <c r="GJ153" s="337"/>
      <c r="GM153" s="338"/>
      <c r="GN153" s="338"/>
      <c r="GO153" s="338"/>
      <c r="GS153" s="338"/>
      <c r="GT153" s="338"/>
      <c r="GU153" s="338"/>
      <c r="GY153" s="338"/>
      <c r="GZ153" s="338"/>
      <c r="HA153" s="338"/>
      <c r="HE153" s="338"/>
      <c r="HF153" s="338"/>
      <c r="HG153" s="338"/>
      <c r="HN153" s="68"/>
      <c r="HO153" s="68"/>
      <c r="HP153" s="68"/>
      <c r="HQ153" s="336"/>
      <c r="HR153" s="68"/>
      <c r="HS153" s="68"/>
      <c r="HT153" s="10"/>
      <c r="HW153" s="338"/>
      <c r="HX153" s="338"/>
      <c r="HY153" s="338"/>
      <c r="IC153" s="338"/>
      <c r="ID153" s="338"/>
      <c r="IE153" s="338"/>
      <c r="II153" s="338"/>
      <c r="IJ153" s="338"/>
      <c r="IK153" s="338"/>
      <c r="IO153" s="338"/>
      <c r="IP153" s="338"/>
      <c r="IQ153" s="338"/>
      <c r="IX153" s="68"/>
      <c r="IY153" s="68"/>
      <c r="IZ153" s="68"/>
      <c r="JA153" s="68"/>
      <c r="JB153" s="68"/>
      <c r="JC153" s="68"/>
      <c r="JD153" s="10"/>
      <c r="JG153" s="338"/>
      <c r="JH153" s="338"/>
      <c r="JI153" s="338"/>
      <c r="JM153" s="338"/>
      <c r="JN153" s="338"/>
      <c r="JQ153" s="338"/>
      <c r="JR153" s="338"/>
      <c r="JS153" s="338"/>
      <c r="JW153" s="358"/>
      <c r="JX153" s="336"/>
      <c r="JY153" s="336"/>
      <c r="JZ153" s="336"/>
      <c r="KA153" s="336"/>
      <c r="KB153" s="336"/>
      <c r="KC153" s="336"/>
      <c r="KD153" s="336"/>
      <c r="KE153" s="336"/>
      <c r="KF153" s="336"/>
      <c r="KG153" s="337"/>
      <c r="KH153" s="338"/>
      <c r="KI153" s="338"/>
      <c r="KJ153" s="338"/>
      <c r="KK153" s="338"/>
      <c r="KL153" s="338"/>
      <c r="KM153" s="338"/>
      <c r="KN153" s="338"/>
      <c r="KO153" s="338"/>
      <c r="KP153" s="338"/>
      <c r="KQ153" s="338"/>
      <c r="KR153" s="338"/>
      <c r="KS153" s="338"/>
      <c r="KT153" s="338"/>
      <c r="KU153" s="338"/>
      <c r="KV153" s="338"/>
      <c r="KW153" s="337"/>
      <c r="KX153" s="336"/>
      <c r="KY153" s="336"/>
      <c r="KZ153" s="336"/>
      <c r="LA153" s="336"/>
      <c r="LB153" s="336"/>
      <c r="LC153" s="336"/>
      <c r="LD153" s="336"/>
      <c r="LE153" s="336"/>
      <c r="LF153" s="336"/>
      <c r="LG153" s="336"/>
      <c r="LH153" s="336"/>
      <c r="LI153" s="336"/>
      <c r="LJ153" s="336"/>
      <c r="LK153" s="336"/>
      <c r="LL153" s="336"/>
      <c r="LM153" s="336"/>
      <c r="LN153" s="336"/>
      <c r="LO153" s="336"/>
      <c r="LP153" s="336"/>
      <c r="LQ153" s="337"/>
      <c r="MN153" s="10"/>
      <c r="OA153" s="10"/>
    </row>
    <row r="154" spans="1:391" s="370" customFormat="1" x14ac:dyDescent="0.25">
      <c r="A154" s="68"/>
      <c r="B154" s="10"/>
      <c r="C154" s="68"/>
      <c r="D154" s="68"/>
      <c r="E154" s="68"/>
      <c r="F154" s="68"/>
      <c r="G154" s="68"/>
      <c r="H154" s="68"/>
      <c r="I154" s="68"/>
      <c r="J154" s="68"/>
      <c r="K154" s="68"/>
      <c r="L154" s="68"/>
      <c r="M154" s="68"/>
      <c r="N154" s="68"/>
      <c r="O154" s="68"/>
      <c r="P154" s="68"/>
      <c r="Q154" s="68"/>
      <c r="R154" s="68"/>
      <c r="S154" s="68"/>
      <c r="T154" s="70"/>
      <c r="AC154" s="68"/>
      <c r="AD154" s="70"/>
      <c r="AM154" s="68"/>
      <c r="AN154" s="70"/>
      <c r="AU154" s="68"/>
      <c r="AV154" s="70"/>
      <c r="BB154" s="68"/>
      <c r="BC154" s="70"/>
      <c r="BD154" s="68"/>
      <c r="BE154" s="68"/>
      <c r="BF154" s="68"/>
      <c r="BG154" s="68"/>
      <c r="BH154" s="68"/>
      <c r="BI154" s="68"/>
      <c r="BJ154" s="70"/>
      <c r="BM154" s="68"/>
      <c r="BN154" s="70"/>
      <c r="BT154" s="68"/>
      <c r="BU154" s="70"/>
      <c r="BZ154" s="10"/>
      <c r="CF154" s="10"/>
      <c r="CI154" s="389"/>
      <c r="CJ154" s="389"/>
      <c r="CK154" s="68"/>
      <c r="CL154" s="70"/>
      <c r="CO154" s="10"/>
      <c r="CU154" s="10"/>
      <c r="DA154" s="10"/>
      <c r="DB154" s="70"/>
      <c r="DC154" s="70"/>
      <c r="DF154" s="68"/>
      <c r="DG154" s="70"/>
      <c r="DH154" s="68"/>
      <c r="DI154" s="386"/>
      <c r="DJ154" s="425"/>
      <c r="DL154" s="68"/>
      <c r="DM154" s="70"/>
      <c r="DQ154" s="68"/>
      <c r="DR154" s="70"/>
      <c r="DS154" s="338"/>
      <c r="DT154" s="338"/>
      <c r="DU154" s="338"/>
      <c r="DW154" s="338"/>
      <c r="DX154" s="338"/>
      <c r="DY154" s="338"/>
      <c r="EA154" s="338"/>
      <c r="EB154" s="338"/>
      <c r="EC154" s="338"/>
      <c r="EE154" s="338"/>
      <c r="EF154" s="338"/>
      <c r="EG154" s="338"/>
      <c r="EI154" s="336"/>
      <c r="EJ154" s="336"/>
      <c r="EK154" s="336"/>
      <c r="EL154" s="336"/>
      <c r="EM154" s="336"/>
      <c r="EN154" s="336"/>
      <c r="EO154" s="337"/>
      <c r="EP154" s="342"/>
      <c r="EQ154" s="336"/>
      <c r="ER154" s="342"/>
      <c r="ES154" s="336"/>
      <c r="ET154" s="342"/>
      <c r="EU154" s="336"/>
      <c r="EV154" s="342"/>
      <c r="EW154" s="336"/>
      <c r="EX154" s="342"/>
      <c r="EY154" s="342"/>
      <c r="EZ154" s="342"/>
      <c r="FA154" s="337"/>
      <c r="FE154" s="338"/>
      <c r="FH154" s="338"/>
      <c r="FI154" s="338"/>
      <c r="FJ154" s="338"/>
      <c r="FK154" s="338"/>
      <c r="FL154" s="338"/>
      <c r="FM154" s="337"/>
      <c r="FN154" s="336"/>
      <c r="FO154" s="336"/>
      <c r="FP154" s="336"/>
      <c r="FQ154" s="336"/>
      <c r="FR154" s="336"/>
      <c r="FS154" s="336"/>
      <c r="FT154" s="336"/>
      <c r="FU154" s="336"/>
      <c r="FV154" s="336"/>
      <c r="FW154" s="337"/>
      <c r="FX154" s="532"/>
      <c r="FY154" s="341"/>
      <c r="FZ154" s="341"/>
      <c r="GA154" s="336"/>
      <c r="GB154" s="341"/>
      <c r="GC154" s="341"/>
      <c r="GD154" s="341"/>
      <c r="GE154" s="336"/>
      <c r="GF154" s="336"/>
      <c r="GG154" s="336"/>
      <c r="GH154" s="336"/>
      <c r="GI154" s="336"/>
      <c r="GJ154" s="337"/>
      <c r="GM154" s="338"/>
      <c r="GN154" s="338"/>
      <c r="GO154" s="338"/>
      <c r="GS154" s="338"/>
      <c r="GT154" s="338"/>
      <c r="GU154" s="338"/>
      <c r="GY154" s="338"/>
      <c r="GZ154" s="338"/>
      <c r="HA154" s="338"/>
      <c r="HE154" s="338"/>
      <c r="HF154" s="338"/>
      <c r="HG154" s="338"/>
      <c r="HN154" s="68"/>
      <c r="HO154" s="68"/>
      <c r="HP154" s="68"/>
      <c r="HQ154" s="336"/>
      <c r="HR154" s="68"/>
      <c r="HS154" s="68"/>
      <c r="HT154" s="10"/>
      <c r="HW154" s="338"/>
      <c r="HX154" s="338"/>
      <c r="HY154" s="338"/>
      <c r="IC154" s="338"/>
      <c r="ID154" s="338"/>
      <c r="IE154" s="338"/>
      <c r="II154" s="338"/>
      <c r="IJ154" s="338"/>
      <c r="IK154" s="338"/>
      <c r="IO154" s="338"/>
      <c r="IP154" s="338"/>
      <c r="IQ154" s="338"/>
      <c r="IX154" s="68"/>
      <c r="IY154" s="68"/>
      <c r="IZ154" s="68"/>
      <c r="JA154" s="68"/>
      <c r="JB154" s="68"/>
      <c r="JC154" s="68"/>
      <c r="JD154" s="10"/>
      <c r="JG154" s="338"/>
      <c r="JH154" s="338"/>
      <c r="JI154" s="338"/>
      <c r="JM154" s="338"/>
      <c r="JN154" s="338"/>
      <c r="JQ154" s="338"/>
      <c r="JR154" s="338"/>
      <c r="JS154" s="338"/>
      <c r="JW154" s="358"/>
      <c r="JX154" s="336"/>
      <c r="JY154" s="336"/>
      <c r="JZ154" s="336"/>
      <c r="KA154" s="336"/>
      <c r="KB154" s="336"/>
      <c r="KC154" s="336"/>
      <c r="KD154" s="336"/>
      <c r="KE154" s="336"/>
      <c r="KF154" s="336"/>
      <c r="KG154" s="337"/>
      <c r="KH154" s="338"/>
      <c r="KI154" s="338"/>
      <c r="KJ154" s="338"/>
      <c r="KK154" s="338"/>
      <c r="KL154" s="338"/>
      <c r="KM154" s="338"/>
      <c r="KN154" s="338"/>
      <c r="KO154" s="338"/>
      <c r="KP154" s="338"/>
      <c r="KQ154" s="338"/>
      <c r="KR154" s="338"/>
      <c r="KS154" s="338"/>
      <c r="KT154" s="338"/>
      <c r="KU154" s="338"/>
      <c r="KV154" s="338"/>
      <c r="KW154" s="337"/>
      <c r="KX154" s="336"/>
      <c r="KY154" s="336"/>
      <c r="KZ154" s="336"/>
      <c r="LA154" s="336"/>
      <c r="LB154" s="336"/>
      <c r="LC154" s="336"/>
      <c r="LD154" s="336"/>
      <c r="LE154" s="336"/>
      <c r="LF154" s="336"/>
      <c r="LG154" s="336"/>
      <c r="LH154" s="336"/>
      <c r="LI154" s="336"/>
      <c r="LJ154" s="336"/>
      <c r="LK154" s="336"/>
      <c r="LL154" s="336"/>
      <c r="LM154" s="336"/>
      <c r="LN154" s="336"/>
      <c r="LO154" s="336"/>
      <c r="LP154" s="336"/>
      <c r="LQ154" s="337"/>
      <c r="MN154" s="10"/>
      <c r="OA154" s="10"/>
    </row>
    <row r="155" spans="1:391" s="370" customFormat="1" x14ac:dyDescent="0.25">
      <c r="A155" s="68"/>
      <c r="B155" s="10"/>
      <c r="C155" s="68"/>
      <c r="D155" s="68"/>
      <c r="E155" s="68"/>
      <c r="F155" s="68"/>
      <c r="G155" s="68"/>
      <c r="H155" s="68"/>
      <c r="I155" s="68"/>
      <c r="J155" s="68"/>
      <c r="K155" s="68"/>
      <c r="L155" s="68"/>
      <c r="M155" s="68"/>
      <c r="N155" s="68"/>
      <c r="O155" s="68"/>
      <c r="P155" s="68"/>
      <c r="Q155" s="68"/>
      <c r="R155" s="68"/>
      <c r="S155" s="68"/>
      <c r="T155" s="70"/>
      <c r="AC155" s="68"/>
      <c r="AD155" s="70"/>
      <c r="AM155" s="68"/>
      <c r="AN155" s="70"/>
      <c r="AU155" s="68"/>
      <c r="AV155" s="70"/>
      <c r="BB155" s="68"/>
      <c r="BC155" s="70"/>
      <c r="BD155" s="68"/>
      <c r="BE155" s="68"/>
      <c r="BF155" s="68"/>
      <c r="BG155" s="68"/>
      <c r="BH155" s="68"/>
      <c r="BI155" s="68"/>
      <c r="BJ155" s="70"/>
      <c r="BM155" s="68"/>
      <c r="BN155" s="70"/>
      <c r="BT155" s="68"/>
      <c r="BU155" s="70"/>
      <c r="BZ155" s="10"/>
      <c r="CF155" s="10"/>
      <c r="CI155" s="389"/>
      <c r="CJ155" s="389"/>
      <c r="CK155" s="68"/>
      <c r="CL155" s="70"/>
      <c r="CO155" s="10"/>
      <c r="CU155" s="10"/>
      <c r="DA155" s="10"/>
      <c r="DB155" s="70"/>
      <c r="DC155" s="70"/>
      <c r="DF155" s="68"/>
      <c r="DG155" s="70"/>
      <c r="DH155" s="68"/>
      <c r="DI155" s="386"/>
      <c r="DJ155" s="425"/>
      <c r="DL155" s="68"/>
      <c r="DM155" s="70"/>
      <c r="DQ155" s="68"/>
      <c r="DR155" s="70"/>
      <c r="DS155" s="338"/>
      <c r="DT155" s="338"/>
      <c r="DU155" s="338"/>
      <c r="DW155" s="338"/>
      <c r="DX155" s="338"/>
      <c r="DY155" s="338"/>
      <c r="EA155" s="338"/>
      <c r="EB155" s="338"/>
      <c r="EC155" s="338"/>
      <c r="EE155" s="338"/>
      <c r="EF155" s="338"/>
      <c r="EG155" s="338"/>
      <c r="EI155" s="336"/>
      <c r="EJ155" s="336"/>
      <c r="EK155" s="336"/>
      <c r="EL155" s="336"/>
      <c r="EM155" s="336"/>
      <c r="EN155" s="336"/>
      <c r="EO155" s="337"/>
      <c r="EP155" s="342"/>
      <c r="EQ155" s="336"/>
      <c r="ER155" s="342"/>
      <c r="ES155" s="336"/>
      <c r="ET155" s="342"/>
      <c r="EU155" s="336"/>
      <c r="EV155" s="342"/>
      <c r="EW155" s="336"/>
      <c r="EX155" s="342"/>
      <c r="EY155" s="342"/>
      <c r="EZ155" s="342"/>
      <c r="FA155" s="337"/>
      <c r="FE155" s="338"/>
      <c r="FH155" s="338"/>
      <c r="FI155" s="338"/>
      <c r="FJ155" s="338"/>
      <c r="FK155" s="338"/>
      <c r="FL155" s="338"/>
      <c r="FM155" s="337"/>
      <c r="FN155" s="336"/>
      <c r="FO155" s="336"/>
      <c r="FP155" s="336"/>
      <c r="FQ155" s="336"/>
      <c r="FR155" s="336"/>
      <c r="FS155" s="336"/>
      <c r="FT155" s="336"/>
      <c r="FU155" s="336"/>
      <c r="FV155" s="336"/>
      <c r="FW155" s="337"/>
      <c r="FX155" s="532"/>
      <c r="FY155" s="341"/>
      <c r="FZ155" s="341"/>
      <c r="GA155" s="336"/>
      <c r="GB155" s="341"/>
      <c r="GC155" s="341"/>
      <c r="GD155" s="341"/>
      <c r="GE155" s="336"/>
      <c r="GF155" s="336"/>
      <c r="GG155" s="336"/>
      <c r="GH155" s="336"/>
      <c r="GI155" s="336"/>
      <c r="GJ155" s="337"/>
      <c r="GM155" s="338"/>
      <c r="GN155" s="338"/>
      <c r="GO155" s="338"/>
      <c r="GS155" s="338"/>
      <c r="GT155" s="338"/>
      <c r="GU155" s="338"/>
      <c r="GY155" s="338"/>
      <c r="GZ155" s="338"/>
      <c r="HA155" s="338"/>
      <c r="HE155" s="338"/>
      <c r="HF155" s="338"/>
      <c r="HG155" s="338"/>
      <c r="HN155" s="68"/>
      <c r="HO155" s="68"/>
      <c r="HP155" s="68"/>
      <c r="HQ155" s="336"/>
      <c r="HR155" s="68"/>
      <c r="HS155" s="68"/>
      <c r="HT155" s="10"/>
      <c r="HW155" s="338"/>
      <c r="HX155" s="338"/>
      <c r="HY155" s="338"/>
      <c r="IC155" s="338"/>
      <c r="ID155" s="338"/>
      <c r="IE155" s="338"/>
      <c r="II155" s="338"/>
      <c r="IJ155" s="338"/>
      <c r="IK155" s="338"/>
      <c r="IO155" s="338"/>
      <c r="IP155" s="338"/>
      <c r="IQ155" s="338"/>
      <c r="IX155" s="68"/>
      <c r="IY155" s="68"/>
      <c r="IZ155" s="68"/>
      <c r="JA155" s="68"/>
      <c r="JB155" s="68"/>
      <c r="JC155" s="68"/>
      <c r="JD155" s="10"/>
      <c r="JG155" s="338"/>
      <c r="JH155" s="338"/>
      <c r="JI155" s="338"/>
      <c r="JM155" s="338"/>
      <c r="JN155" s="338"/>
      <c r="JQ155" s="338"/>
      <c r="JR155" s="338"/>
      <c r="JS155" s="338"/>
      <c r="JW155" s="358"/>
      <c r="JX155" s="336"/>
      <c r="JY155" s="336"/>
      <c r="JZ155" s="336"/>
      <c r="KA155" s="336"/>
      <c r="KB155" s="336"/>
      <c r="KC155" s="336"/>
      <c r="KD155" s="336"/>
      <c r="KE155" s="336"/>
      <c r="KF155" s="336"/>
      <c r="KG155" s="337"/>
      <c r="KH155" s="338"/>
      <c r="KI155" s="338"/>
      <c r="KJ155" s="338"/>
      <c r="KK155" s="338"/>
      <c r="KL155" s="338"/>
      <c r="KM155" s="338"/>
      <c r="KN155" s="338"/>
      <c r="KO155" s="338"/>
      <c r="KP155" s="338"/>
      <c r="KQ155" s="338"/>
      <c r="KR155" s="338"/>
      <c r="KS155" s="338"/>
      <c r="KT155" s="338"/>
      <c r="KU155" s="338"/>
      <c r="KV155" s="338"/>
      <c r="KW155" s="337"/>
      <c r="KX155" s="336"/>
      <c r="KY155" s="336"/>
      <c r="KZ155" s="336"/>
      <c r="LA155" s="336"/>
      <c r="LB155" s="336"/>
      <c r="LC155" s="336"/>
      <c r="LD155" s="336"/>
      <c r="LE155" s="336"/>
      <c r="LF155" s="336"/>
      <c r="LG155" s="336"/>
      <c r="LH155" s="336"/>
      <c r="LI155" s="336"/>
      <c r="LJ155" s="336"/>
      <c r="LK155" s="336"/>
      <c r="LL155" s="336"/>
      <c r="LM155" s="336"/>
      <c r="LN155" s="336"/>
      <c r="LO155" s="336"/>
      <c r="LP155" s="336"/>
      <c r="LQ155" s="337"/>
      <c r="MN155" s="10"/>
      <c r="OA155" s="10"/>
    </row>
    <row r="156" spans="1:391" s="370" customFormat="1" x14ac:dyDescent="0.25">
      <c r="A156" s="68"/>
      <c r="B156" s="10"/>
      <c r="C156" s="68"/>
      <c r="D156" s="68"/>
      <c r="E156" s="68"/>
      <c r="F156" s="68"/>
      <c r="G156" s="68"/>
      <c r="H156" s="68"/>
      <c r="I156" s="68"/>
      <c r="J156" s="68"/>
      <c r="K156" s="68"/>
      <c r="L156" s="68"/>
      <c r="M156" s="68"/>
      <c r="N156" s="68"/>
      <c r="O156" s="68"/>
      <c r="P156" s="68"/>
      <c r="Q156" s="68"/>
      <c r="R156" s="68"/>
      <c r="S156" s="68"/>
      <c r="T156" s="70"/>
      <c r="AC156" s="68"/>
      <c r="AD156" s="70"/>
      <c r="AM156" s="68"/>
      <c r="AN156" s="70"/>
      <c r="AU156" s="68"/>
      <c r="AV156" s="70"/>
      <c r="BB156" s="68"/>
      <c r="BC156" s="70"/>
      <c r="BD156" s="68"/>
      <c r="BE156" s="68"/>
      <c r="BF156" s="68"/>
      <c r="BG156" s="68"/>
      <c r="BH156" s="68"/>
      <c r="BI156" s="68"/>
      <c r="BJ156" s="70"/>
      <c r="BM156" s="68"/>
      <c r="BN156" s="70"/>
      <c r="BT156" s="68"/>
      <c r="BU156" s="70"/>
      <c r="BZ156" s="10"/>
      <c r="CF156" s="10"/>
      <c r="CI156" s="389"/>
      <c r="CJ156" s="389"/>
      <c r="CK156" s="68"/>
      <c r="CL156" s="70"/>
      <c r="CO156" s="10"/>
      <c r="CU156" s="10"/>
      <c r="DA156" s="10"/>
      <c r="DB156" s="70"/>
      <c r="DC156" s="70"/>
      <c r="DF156" s="68"/>
      <c r="DG156" s="70"/>
      <c r="DH156" s="68"/>
      <c r="DI156" s="386"/>
      <c r="DJ156" s="425"/>
      <c r="DL156" s="68"/>
      <c r="DM156" s="70"/>
      <c r="DQ156" s="68"/>
      <c r="DR156" s="70"/>
      <c r="DS156" s="338"/>
      <c r="DT156" s="338"/>
      <c r="DU156" s="338"/>
      <c r="DW156" s="338"/>
      <c r="DX156" s="338"/>
      <c r="DY156" s="338"/>
      <c r="EA156" s="338"/>
      <c r="EB156" s="338"/>
      <c r="EC156" s="338"/>
      <c r="EE156" s="338"/>
      <c r="EF156" s="338"/>
      <c r="EG156" s="338"/>
      <c r="EI156" s="336"/>
      <c r="EJ156" s="336"/>
      <c r="EK156" s="336"/>
      <c r="EL156" s="336"/>
      <c r="EM156" s="336"/>
      <c r="EN156" s="336"/>
      <c r="EO156" s="337"/>
      <c r="EP156" s="342"/>
      <c r="EQ156" s="336"/>
      <c r="ER156" s="342"/>
      <c r="ES156" s="336"/>
      <c r="ET156" s="342"/>
      <c r="EU156" s="336"/>
      <c r="EV156" s="342"/>
      <c r="EW156" s="336"/>
      <c r="EX156" s="342"/>
      <c r="EY156" s="342"/>
      <c r="EZ156" s="342"/>
      <c r="FA156" s="337"/>
      <c r="FE156" s="338"/>
      <c r="FH156" s="338"/>
      <c r="FI156" s="338"/>
      <c r="FJ156" s="338"/>
      <c r="FK156" s="338"/>
      <c r="FL156" s="338"/>
      <c r="FM156" s="337"/>
      <c r="FN156" s="336"/>
      <c r="FO156" s="336"/>
      <c r="FP156" s="336"/>
      <c r="FQ156" s="336"/>
      <c r="FR156" s="336"/>
      <c r="FS156" s="336"/>
      <c r="FT156" s="336"/>
      <c r="FU156" s="336"/>
      <c r="FV156" s="336"/>
      <c r="FW156" s="337"/>
      <c r="FX156" s="532"/>
      <c r="FY156" s="341"/>
      <c r="FZ156" s="341"/>
      <c r="GA156" s="336"/>
      <c r="GB156" s="341"/>
      <c r="GC156" s="341"/>
      <c r="GD156" s="341"/>
      <c r="GE156" s="336"/>
      <c r="GF156" s="336"/>
      <c r="GG156" s="336"/>
      <c r="GH156" s="336"/>
      <c r="GI156" s="336"/>
      <c r="GJ156" s="337"/>
      <c r="GM156" s="338"/>
      <c r="GN156" s="338"/>
      <c r="GO156" s="338"/>
      <c r="GS156" s="338"/>
      <c r="GT156" s="338"/>
      <c r="GU156" s="338"/>
      <c r="GY156" s="338"/>
      <c r="GZ156" s="338"/>
      <c r="HA156" s="338"/>
      <c r="HE156" s="338"/>
      <c r="HF156" s="338"/>
      <c r="HG156" s="338"/>
      <c r="HN156" s="68"/>
      <c r="HO156" s="68"/>
      <c r="HP156" s="68"/>
      <c r="HQ156" s="336"/>
      <c r="HR156" s="68"/>
      <c r="HS156" s="68"/>
      <c r="HT156" s="10"/>
      <c r="HW156" s="338"/>
      <c r="HX156" s="338"/>
      <c r="HY156" s="338"/>
      <c r="IC156" s="338"/>
      <c r="ID156" s="338"/>
      <c r="IE156" s="338"/>
      <c r="II156" s="338"/>
      <c r="IJ156" s="338"/>
      <c r="IK156" s="338"/>
      <c r="IO156" s="338"/>
      <c r="IP156" s="338"/>
      <c r="IQ156" s="338"/>
      <c r="IX156" s="68"/>
      <c r="IY156" s="68"/>
      <c r="IZ156" s="68"/>
      <c r="JA156" s="68"/>
      <c r="JB156" s="68"/>
      <c r="JC156" s="68"/>
      <c r="JD156" s="10"/>
      <c r="JG156" s="338"/>
      <c r="JH156" s="338"/>
      <c r="JI156" s="338"/>
      <c r="JM156" s="338"/>
      <c r="JN156" s="338"/>
      <c r="JQ156" s="338"/>
      <c r="JR156" s="338"/>
      <c r="JS156" s="338"/>
      <c r="JW156" s="358"/>
      <c r="JX156" s="336"/>
      <c r="JY156" s="336"/>
      <c r="JZ156" s="336"/>
      <c r="KA156" s="336"/>
      <c r="KB156" s="336"/>
      <c r="KC156" s="336"/>
      <c r="KD156" s="336"/>
      <c r="KE156" s="336"/>
      <c r="KF156" s="336"/>
      <c r="KG156" s="337"/>
      <c r="KH156" s="338"/>
      <c r="KI156" s="338"/>
      <c r="KJ156" s="338"/>
      <c r="KK156" s="338"/>
      <c r="KL156" s="338"/>
      <c r="KM156" s="338"/>
      <c r="KN156" s="338"/>
      <c r="KO156" s="338"/>
      <c r="KP156" s="338"/>
      <c r="KQ156" s="338"/>
      <c r="KR156" s="338"/>
      <c r="KS156" s="338"/>
      <c r="KT156" s="338"/>
      <c r="KU156" s="338"/>
      <c r="KV156" s="338"/>
      <c r="KW156" s="337"/>
      <c r="KX156" s="336"/>
      <c r="KY156" s="336"/>
      <c r="KZ156" s="336"/>
      <c r="LA156" s="336"/>
      <c r="LB156" s="336"/>
      <c r="LC156" s="336"/>
      <c r="LD156" s="336"/>
      <c r="LE156" s="336"/>
      <c r="LF156" s="336"/>
      <c r="LG156" s="336"/>
      <c r="LH156" s="336"/>
      <c r="LI156" s="336"/>
      <c r="LJ156" s="336"/>
      <c r="LK156" s="336"/>
      <c r="LL156" s="336"/>
      <c r="LM156" s="336"/>
      <c r="LN156" s="336"/>
      <c r="LO156" s="336"/>
      <c r="LP156" s="336"/>
      <c r="LQ156" s="337"/>
      <c r="MN156" s="10"/>
      <c r="OA156" s="10"/>
    </row>
    <row r="157" spans="1:391" s="370" customFormat="1" x14ac:dyDescent="0.25">
      <c r="A157" s="68"/>
      <c r="B157" s="10"/>
      <c r="C157" s="68"/>
      <c r="D157" s="68"/>
      <c r="E157" s="68"/>
      <c r="F157" s="68"/>
      <c r="G157" s="68"/>
      <c r="H157" s="68"/>
      <c r="I157" s="68"/>
      <c r="J157" s="68"/>
      <c r="K157" s="68"/>
      <c r="L157" s="68"/>
      <c r="M157" s="68"/>
      <c r="N157" s="68"/>
      <c r="O157" s="68"/>
      <c r="P157" s="68"/>
      <c r="Q157" s="68"/>
      <c r="R157" s="68"/>
      <c r="S157" s="68"/>
      <c r="T157" s="70"/>
      <c r="AC157" s="68"/>
      <c r="AD157" s="70"/>
      <c r="AM157" s="68"/>
      <c r="AN157" s="70"/>
      <c r="AU157" s="68"/>
      <c r="AV157" s="70"/>
      <c r="BB157" s="68"/>
      <c r="BC157" s="70"/>
      <c r="BD157" s="68"/>
      <c r="BE157" s="68"/>
      <c r="BF157" s="68"/>
      <c r="BG157" s="68"/>
      <c r="BH157" s="68"/>
      <c r="BI157" s="68"/>
      <c r="BJ157" s="70"/>
      <c r="BM157" s="68"/>
      <c r="BN157" s="70"/>
      <c r="BT157" s="68"/>
      <c r="BU157" s="70"/>
      <c r="BZ157" s="10"/>
      <c r="CF157" s="10"/>
      <c r="CI157" s="389"/>
      <c r="CJ157" s="389"/>
      <c r="CK157" s="68"/>
      <c r="CL157" s="70"/>
      <c r="CO157" s="10"/>
      <c r="CU157" s="10"/>
      <c r="DA157" s="10"/>
      <c r="DB157" s="70"/>
      <c r="DC157" s="70"/>
      <c r="DF157" s="68"/>
      <c r="DG157" s="70"/>
      <c r="DH157" s="68"/>
      <c r="DI157" s="386"/>
      <c r="DJ157" s="425"/>
      <c r="DL157" s="68"/>
      <c r="DM157" s="70"/>
      <c r="DQ157" s="68"/>
      <c r="DR157" s="70"/>
      <c r="DS157" s="338"/>
      <c r="DT157" s="338"/>
      <c r="DU157" s="338"/>
      <c r="DW157" s="338"/>
      <c r="DX157" s="338"/>
      <c r="DY157" s="338"/>
      <c r="EA157" s="338"/>
      <c r="EB157" s="338"/>
      <c r="EC157" s="338"/>
      <c r="EE157" s="338"/>
      <c r="EF157" s="338"/>
      <c r="EG157" s="338"/>
      <c r="EI157" s="336"/>
      <c r="EJ157" s="336"/>
      <c r="EK157" s="336"/>
      <c r="EL157" s="336"/>
      <c r="EM157" s="336"/>
      <c r="EN157" s="336"/>
      <c r="EO157" s="337"/>
      <c r="EP157" s="342"/>
      <c r="EQ157" s="336"/>
      <c r="ER157" s="342"/>
      <c r="ES157" s="336"/>
      <c r="ET157" s="342"/>
      <c r="EU157" s="336"/>
      <c r="EV157" s="342"/>
      <c r="EW157" s="336"/>
      <c r="EX157" s="342"/>
      <c r="EY157" s="342"/>
      <c r="EZ157" s="342"/>
      <c r="FA157" s="337"/>
      <c r="FE157" s="338"/>
      <c r="FH157" s="338"/>
      <c r="FI157" s="338"/>
      <c r="FJ157" s="338"/>
      <c r="FK157" s="338"/>
      <c r="FL157" s="338"/>
      <c r="FM157" s="337"/>
      <c r="FN157" s="336"/>
      <c r="FO157" s="336"/>
      <c r="FP157" s="336"/>
      <c r="FQ157" s="336"/>
      <c r="FR157" s="336"/>
      <c r="FS157" s="336"/>
      <c r="FT157" s="336"/>
      <c r="FU157" s="336"/>
      <c r="FV157" s="336"/>
      <c r="FW157" s="337"/>
      <c r="FX157" s="532"/>
      <c r="FY157" s="341"/>
      <c r="FZ157" s="341"/>
      <c r="GA157" s="336"/>
      <c r="GB157" s="341"/>
      <c r="GC157" s="341"/>
      <c r="GD157" s="341"/>
      <c r="GE157" s="336"/>
      <c r="GF157" s="336"/>
      <c r="GG157" s="336"/>
      <c r="GH157" s="336"/>
      <c r="GI157" s="336"/>
      <c r="GJ157" s="337"/>
      <c r="GM157" s="338"/>
      <c r="GN157" s="338"/>
      <c r="GO157" s="338"/>
      <c r="GS157" s="338"/>
      <c r="GT157" s="338"/>
      <c r="GU157" s="338"/>
      <c r="GY157" s="338"/>
      <c r="GZ157" s="338"/>
      <c r="HA157" s="338"/>
      <c r="HE157" s="338"/>
      <c r="HF157" s="338"/>
      <c r="HG157" s="338"/>
      <c r="HN157" s="68"/>
      <c r="HO157" s="68"/>
      <c r="HP157" s="68"/>
      <c r="HQ157" s="336"/>
      <c r="HR157" s="68"/>
      <c r="HS157" s="68"/>
      <c r="HT157" s="10"/>
      <c r="HW157" s="338"/>
      <c r="HX157" s="338"/>
      <c r="HY157" s="338"/>
      <c r="IC157" s="338"/>
      <c r="ID157" s="338"/>
      <c r="IE157" s="338"/>
      <c r="II157" s="338"/>
      <c r="IJ157" s="338"/>
      <c r="IK157" s="338"/>
      <c r="IO157" s="338"/>
      <c r="IP157" s="338"/>
      <c r="IQ157" s="338"/>
      <c r="IX157" s="68"/>
      <c r="IY157" s="68"/>
      <c r="IZ157" s="68"/>
      <c r="JA157" s="68"/>
      <c r="JB157" s="68"/>
      <c r="JC157" s="68"/>
      <c r="JD157" s="10"/>
      <c r="JG157" s="338"/>
      <c r="JH157" s="338"/>
      <c r="JI157" s="338"/>
      <c r="JM157" s="338"/>
      <c r="JN157" s="338"/>
      <c r="JQ157" s="338"/>
      <c r="JR157" s="338"/>
      <c r="JS157" s="338"/>
      <c r="JW157" s="358"/>
      <c r="JX157" s="336"/>
      <c r="JY157" s="336"/>
      <c r="JZ157" s="336"/>
      <c r="KA157" s="336"/>
      <c r="KB157" s="336"/>
      <c r="KC157" s="336"/>
      <c r="KD157" s="336"/>
      <c r="KE157" s="336"/>
      <c r="KF157" s="336"/>
      <c r="KG157" s="337"/>
      <c r="KH157" s="338"/>
      <c r="KI157" s="338"/>
      <c r="KJ157" s="338"/>
      <c r="KK157" s="338"/>
      <c r="KL157" s="338"/>
      <c r="KM157" s="338"/>
      <c r="KN157" s="338"/>
      <c r="KO157" s="338"/>
      <c r="KP157" s="338"/>
      <c r="KQ157" s="338"/>
      <c r="KR157" s="338"/>
      <c r="KS157" s="338"/>
      <c r="KT157" s="338"/>
      <c r="KU157" s="338"/>
      <c r="KV157" s="338"/>
      <c r="KW157" s="337"/>
      <c r="KX157" s="336"/>
      <c r="KY157" s="336"/>
      <c r="KZ157" s="336"/>
      <c r="LA157" s="336"/>
      <c r="LB157" s="336"/>
      <c r="LC157" s="336"/>
      <c r="LD157" s="336"/>
      <c r="LE157" s="336"/>
      <c r="LF157" s="336"/>
      <c r="LG157" s="336"/>
      <c r="LH157" s="336"/>
      <c r="LI157" s="336"/>
      <c r="LJ157" s="336"/>
      <c r="LK157" s="336"/>
      <c r="LL157" s="336"/>
      <c r="LM157" s="336"/>
      <c r="LN157" s="336"/>
      <c r="LO157" s="336"/>
      <c r="LP157" s="336"/>
      <c r="LQ157" s="337"/>
      <c r="MN157" s="10"/>
      <c r="OA157" s="10"/>
    </row>
    <row r="158" spans="1:391" s="370" customFormat="1" x14ac:dyDescent="0.25">
      <c r="A158" s="68"/>
      <c r="B158" s="10"/>
      <c r="C158" s="68"/>
      <c r="D158" s="68"/>
      <c r="E158" s="68"/>
      <c r="F158" s="68"/>
      <c r="G158" s="68"/>
      <c r="H158" s="68"/>
      <c r="I158" s="68"/>
      <c r="J158" s="68"/>
      <c r="K158" s="68"/>
      <c r="L158" s="68"/>
      <c r="M158" s="68"/>
      <c r="N158" s="68"/>
      <c r="O158" s="68"/>
      <c r="P158" s="68"/>
      <c r="Q158" s="68"/>
      <c r="R158" s="68"/>
      <c r="S158" s="68"/>
      <c r="T158" s="70"/>
      <c r="AC158" s="68"/>
      <c r="AD158" s="70"/>
      <c r="AM158" s="68"/>
      <c r="AN158" s="70"/>
      <c r="AU158" s="68"/>
      <c r="AV158" s="70"/>
      <c r="BB158" s="68"/>
      <c r="BC158" s="70"/>
      <c r="BD158" s="68"/>
      <c r="BE158" s="68"/>
      <c r="BF158" s="68"/>
      <c r="BG158" s="68"/>
      <c r="BH158" s="68"/>
      <c r="BI158" s="68"/>
      <c r="BJ158" s="70"/>
      <c r="BM158" s="68"/>
      <c r="BN158" s="70"/>
      <c r="BT158" s="68"/>
      <c r="BU158" s="70"/>
      <c r="BZ158" s="10"/>
      <c r="CF158" s="10"/>
      <c r="CI158" s="389"/>
      <c r="CJ158" s="389"/>
      <c r="CK158" s="68"/>
      <c r="CL158" s="70"/>
      <c r="CO158" s="10"/>
      <c r="CU158" s="10"/>
      <c r="DA158" s="10"/>
      <c r="DB158" s="70"/>
      <c r="DC158" s="70"/>
      <c r="DF158" s="68"/>
      <c r="DG158" s="70"/>
      <c r="DH158" s="68"/>
      <c r="DI158" s="386"/>
      <c r="DJ158" s="425"/>
      <c r="DL158" s="68"/>
      <c r="DM158" s="70"/>
      <c r="DQ158" s="68"/>
      <c r="DR158" s="70"/>
      <c r="DS158" s="338"/>
      <c r="DT158" s="338"/>
      <c r="DU158" s="338"/>
      <c r="DW158" s="338"/>
      <c r="DX158" s="338"/>
      <c r="DY158" s="338"/>
      <c r="EA158" s="338"/>
      <c r="EB158" s="338"/>
      <c r="EC158" s="338"/>
      <c r="EE158" s="338"/>
      <c r="EF158" s="338"/>
      <c r="EG158" s="338"/>
      <c r="EI158" s="336"/>
      <c r="EJ158" s="336"/>
      <c r="EK158" s="336"/>
      <c r="EL158" s="336"/>
      <c r="EM158" s="336"/>
      <c r="EN158" s="336"/>
      <c r="EO158" s="337"/>
      <c r="EP158" s="342"/>
      <c r="EQ158" s="336"/>
      <c r="ER158" s="342"/>
      <c r="ES158" s="336"/>
      <c r="ET158" s="342"/>
      <c r="EU158" s="336"/>
      <c r="EV158" s="342"/>
      <c r="EW158" s="336"/>
      <c r="EX158" s="342"/>
      <c r="EY158" s="342"/>
      <c r="EZ158" s="342"/>
      <c r="FA158" s="337"/>
      <c r="FE158" s="338"/>
      <c r="FH158" s="338"/>
      <c r="FI158" s="338"/>
      <c r="FJ158" s="338"/>
      <c r="FK158" s="338"/>
      <c r="FL158" s="338"/>
      <c r="FM158" s="337"/>
      <c r="FN158" s="336"/>
      <c r="FO158" s="336"/>
      <c r="FP158" s="336"/>
      <c r="FQ158" s="336"/>
      <c r="FR158" s="336"/>
      <c r="FS158" s="336"/>
      <c r="FT158" s="336"/>
      <c r="FU158" s="336"/>
      <c r="FV158" s="336"/>
      <c r="FW158" s="337"/>
      <c r="FX158" s="532"/>
      <c r="FY158" s="341"/>
      <c r="FZ158" s="341"/>
      <c r="GA158" s="336"/>
      <c r="GB158" s="341"/>
      <c r="GC158" s="341"/>
      <c r="GD158" s="341"/>
      <c r="GE158" s="336"/>
      <c r="GF158" s="336"/>
      <c r="GG158" s="336"/>
      <c r="GH158" s="336"/>
      <c r="GI158" s="336"/>
      <c r="GJ158" s="337"/>
      <c r="GM158" s="338"/>
      <c r="GN158" s="338"/>
      <c r="GO158" s="338"/>
      <c r="GS158" s="338"/>
      <c r="GT158" s="338"/>
      <c r="GU158" s="338"/>
      <c r="GY158" s="338"/>
      <c r="GZ158" s="338"/>
      <c r="HA158" s="338"/>
      <c r="HE158" s="338"/>
      <c r="HF158" s="338"/>
      <c r="HG158" s="338"/>
      <c r="HN158" s="68"/>
      <c r="HO158" s="68"/>
      <c r="HP158" s="68"/>
      <c r="HQ158" s="336"/>
      <c r="HR158" s="68"/>
      <c r="HS158" s="68"/>
      <c r="HT158" s="10"/>
      <c r="HW158" s="338"/>
      <c r="HX158" s="338"/>
      <c r="HY158" s="338"/>
      <c r="IC158" s="338"/>
      <c r="ID158" s="338"/>
      <c r="IE158" s="338"/>
      <c r="II158" s="338"/>
      <c r="IJ158" s="338"/>
      <c r="IK158" s="338"/>
      <c r="IO158" s="338"/>
      <c r="IP158" s="338"/>
      <c r="IQ158" s="338"/>
      <c r="IX158" s="68"/>
      <c r="IY158" s="68"/>
      <c r="IZ158" s="68"/>
      <c r="JA158" s="68"/>
      <c r="JB158" s="68"/>
      <c r="JC158" s="68"/>
      <c r="JD158" s="10"/>
      <c r="JG158" s="338"/>
      <c r="JH158" s="338"/>
      <c r="JI158" s="338"/>
      <c r="JM158" s="338"/>
      <c r="JN158" s="338"/>
      <c r="JQ158" s="338"/>
      <c r="JR158" s="338"/>
      <c r="JS158" s="338"/>
      <c r="JW158" s="358"/>
      <c r="JX158" s="336"/>
      <c r="JY158" s="336"/>
      <c r="JZ158" s="336"/>
      <c r="KA158" s="336"/>
      <c r="KB158" s="336"/>
      <c r="KC158" s="336"/>
      <c r="KD158" s="336"/>
      <c r="KE158" s="336"/>
      <c r="KF158" s="336"/>
      <c r="KG158" s="337"/>
      <c r="KH158" s="338"/>
      <c r="KI158" s="338"/>
      <c r="KJ158" s="338"/>
      <c r="KK158" s="338"/>
      <c r="KL158" s="338"/>
      <c r="KM158" s="338"/>
      <c r="KN158" s="338"/>
      <c r="KO158" s="338"/>
      <c r="KP158" s="338"/>
      <c r="KQ158" s="338"/>
      <c r="KR158" s="338"/>
      <c r="KS158" s="338"/>
      <c r="KT158" s="338"/>
      <c r="KU158" s="338"/>
      <c r="KV158" s="338"/>
      <c r="KW158" s="337"/>
      <c r="KX158" s="336"/>
      <c r="KY158" s="336"/>
      <c r="KZ158" s="336"/>
      <c r="LA158" s="336"/>
      <c r="LB158" s="336"/>
      <c r="LC158" s="336"/>
      <c r="LD158" s="336"/>
      <c r="LE158" s="336"/>
      <c r="LF158" s="336"/>
      <c r="LG158" s="336"/>
      <c r="LH158" s="336"/>
      <c r="LI158" s="336"/>
      <c r="LJ158" s="336"/>
      <c r="LK158" s="336"/>
      <c r="LL158" s="336"/>
      <c r="LM158" s="336"/>
      <c r="LN158" s="336"/>
      <c r="LO158" s="336"/>
      <c r="LP158" s="336"/>
      <c r="LQ158" s="337"/>
      <c r="MN158" s="10"/>
      <c r="OA158" s="10"/>
    </row>
    <row r="159" spans="1:391" s="370" customFormat="1" x14ac:dyDescent="0.25">
      <c r="A159" s="68"/>
      <c r="B159" s="10"/>
      <c r="C159" s="68"/>
      <c r="D159" s="68"/>
      <c r="E159" s="68"/>
      <c r="F159" s="68"/>
      <c r="G159" s="68"/>
      <c r="H159" s="68"/>
      <c r="I159" s="68"/>
      <c r="J159" s="68"/>
      <c r="K159" s="68"/>
      <c r="L159" s="68"/>
      <c r="M159" s="68"/>
      <c r="N159" s="68"/>
      <c r="O159" s="68"/>
      <c r="P159" s="68"/>
      <c r="Q159" s="68"/>
      <c r="R159" s="68"/>
      <c r="S159" s="68"/>
      <c r="T159" s="70"/>
      <c r="AC159" s="68"/>
      <c r="AD159" s="70"/>
      <c r="AM159" s="68"/>
      <c r="AN159" s="70"/>
      <c r="AU159" s="68"/>
      <c r="AV159" s="70"/>
      <c r="BB159" s="68"/>
      <c r="BC159" s="70"/>
      <c r="BD159" s="68"/>
      <c r="BE159" s="68"/>
      <c r="BF159" s="68"/>
      <c r="BG159" s="68"/>
      <c r="BH159" s="68"/>
      <c r="BI159" s="68"/>
      <c r="BJ159" s="70"/>
      <c r="BM159" s="68"/>
      <c r="BN159" s="70"/>
      <c r="BT159" s="68"/>
      <c r="BU159" s="70"/>
      <c r="BZ159" s="10"/>
      <c r="CF159" s="10"/>
      <c r="CI159" s="389"/>
      <c r="CJ159" s="389"/>
      <c r="CK159" s="68"/>
      <c r="CL159" s="70"/>
      <c r="CO159" s="10"/>
      <c r="CU159" s="10"/>
      <c r="DA159" s="10"/>
      <c r="DB159" s="70"/>
      <c r="DC159" s="70"/>
      <c r="DF159" s="68"/>
      <c r="DG159" s="70"/>
      <c r="DH159" s="68"/>
      <c r="DI159" s="386"/>
      <c r="DJ159" s="425"/>
      <c r="DL159" s="68"/>
      <c r="DM159" s="70"/>
      <c r="DQ159" s="68"/>
      <c r="DR159" s="70"/>
      <c r="DS159" s="338"/>
      <c r="DT159" s="338"/>
      <c r="DU159" s="338"/>
      <c r="DW159" s="338"/>
      <c r="DX159" s="338"/>
      <c r="DY159" s="338"/>
      <c r="EA159" s="338"/>
      <c r="EB159" s="338"/>
      <c r="EC159" s="338"/>
      <c r="EE159" s="338"/>
      <c r="EF159" s="338"/>
      <c r="EG159" s="338"/>
      <c r="EI159" s="336"/>
      <c r="EJ159" s="336"/>
      <c r="EK159" s="336"/>
      <c r="EL159" s="336"/>
      <c r="EM159" s="336"/>
      <c r="EN159" s="336"/>
      <c r="EO159" s="337"/>
      <c r="EP159" s="342"/>
      <c r="EQ159" s="336"/>
      <c r="ER159" s="342"/>
      <c r="ES159" s="336"/>
      <c r="ET159" s="342"/>
      <c r="EU159" s="336"/>
      <c r="EV159" s="342"/>
      <c r="EW159" s="336"/>
      <c r="EX159" s="342"/>
      <c r="EY159" s="342"/>
      <c r="EZ159" s="342"/>
      <c r="FA159" s="337"/>
      <c r="FE159" s="338"/>
      <c r="FH159" s="338"/>
      <c r="FI159" s="338"/>
      <c r="FJ159" s="338"/>
      <c r="FK159" s="338"/>
      <c r="FL159" s="338"/>
      <c r="FM159" s="337"/>
      <c r="FN159" s="336"/>
      <c r="FO159" s="336"/>
      <c r="FP159" s="336"/>
      <c r="FQ159" s="336"/>
      <c r="FR159" s="336"/>
      <c r="FS159" s="336"/>
      <c r="FT159" s="336"/>
      <c r="FU159" s="336"/>
      <c r="FV159" s="336"/>
      <c r="FW159" s="337"/>
      <c r="FX159" s="532"/>
      <c r="FY159" s="341"/>
      <c r="FZ159" s="341"/>
      <c r="GA159" s="336"/>
      <c r="GB159" s="341"/>
      <c r="GC159" s="341"/>
      <c r="GD159" s="341"/>
      <c r="GE159" s="336"/>
      <c r="GF159" s="336"/>
      <c r="GG159" s="336"/>
      <c r="GH159" s="336"/>
      <c r="GI159" s="336"/>
      <c r="GJ159" s="337"/>
      <c r="GM159" s="338"/>
      <c r="GN159" s="338"/>
      <c r="GO159" s="338"/>
      <c r="GS159" s="338"/>
      <c r="GT159" s="338"/>
      <c r="GU159" s="338"/>
      <c r="GY159" s="338"/>
      <c r="GZ159" s="338"/>
      <c r="HA159" s="338"/>
      <c r="HE159" s="338"/>
      <c r="HF159" s="338"/>
      <c r="HG159" s="338"/>
      <c r="HN159" s="68"/>
      <c r="HO159" s="68"/>
      <c r="HP159" s="68"/>
      <c r="HQ159" s="336"/>
      <c r="HR159" s="68"/>
      <c r="HS159" s="68"/>
      <c r="HT159" s="10"/>
      <c r="HW159" s="338"/>
      <c r="HX159" s="338"/>
      <c r="HY159" s="338"/>
      <c r="IC159" s="338"/>
      <c r="ID159" s="338"/>
      <c r="IE159" s="338"/>
      <c r="II159" s="338"/>
      <c r="IJ159" s="338"/>
      <c r="IK159" s="338"/>
      <c r="IO159" s="338"/>
      <c r="IP159" s="338"/>
      <c r="IQ159" s="338"/>
      <c r="IX159" s="68"/>
      <c r="IY159" s="68"/>
      <c r="IZ159" s="68"/>
      <c r="JA159" s="68"/>
      <c r="JB159" s="68"/>
      <c r="JC159" s="68"/>
      <c r="JD159" s="10"/>
      <c r="JG159" s="338"/>
      <c r="JH159" s="338"/>
      <c r="JI159" s="338"/>
      <c r="JM159" s="338"/>
      <c r="JN159" s="338"/>
      <c r="JQ159" s="338"/>
      <c r="JR159" s="338"/>
      <c r="JS159" s="338"/>
      <c r="JW159" s="358"/>
      <c r="JX159" s="336"/>
      <c r="JY159" s="336"/>
      <c r="JZ159" s="336"/>
      <c r="KA159" s="336"/>
      <c r="KB159" s="336"/>
      <c r="KC159" s="336"/>
      <c r="KD159" s="336"/>
      <c r="KE159" s="336"/>
      <c r="KF159" s="336"/>
      <c r="KG159" s="337"/>
      <c r="KH159" s="338"/>
      <c r="KI159" s="338"/>
      <c r="KJ159" s="338"/>
      <c r="KK159" s="338"/>
      <c r="KL159" s="338"/>
      <c r="KM159" s="338"/>
      <c r="KN159" s="338"/>
      <c r="KO159" s="338"/>
      <c r="KP159" s="338"/>
      <c r="KQ159" s="338"/>
      <c r="KR159" s="338"/>
      <c r="KS159" s="338"/>
      <c r="KT159" s="338"/>
      <c r="KU159" s="338"/>
      <c r="KV159" s="338"/>
      <c r="KW159" s="337"/>
      <c r="KX159" s="336"/>
      <c r="KY159" s="336"/>
      <c r="KZ159" s="336"/>
      <c r="LA159" s="336"/>
      <c r="LB159" s="336"/>
      <c r="LC159" s="336"/>
      <c r="LD159" s="336"/>
      <c r="LE159" s="336"/>
      <c r="LF159" s="336"/>
      <c r="LG159" s="336"/>
      <c r="LH159" s="336"/>
      <c r="LI159" s="336"/>
      <c r="LJ159" s="336"/>
      <c r="LK159" s="336"/>
      <c r="LL159" s="336"/>
      <c r="LM159" s="336"/>
      <c r="LN159" s="336"/>
      <c r="LO159" s="336"/>
      <c r="LP159" s="336"/>
      <c r="LQ159" s="337"/>
      <c r="MN159" s="10"/>
      <c r="OA159" s="10"/>
    </row>
    <row r="160" spans="1:391" s="370" customFormat="1" x14ac:dyDescent="0.25">
      <c r="A160" s="68"/>
      <c r="B160" s="10"/>
      <c r="C160" s="68"/>
      <c r="D160" s="68"/>
      <c r="E160" s="68"/>
      <c r="F160" s="68"/>
      <c r="G160" s="68"/>
      <c r="H160" s="68"/>
      <c r="I160" s="68"/>
      <c r="J160" s="68"/>
      <c r="K160" s="68"/>
      <c r="L160" s="68"/>
      <c r="M160" s="68"/>
      <c r="N160" s="68"/>
      <c r="O160" s="68"/>
      <c r="P160" s="68"/>
      <c r="Q160" s="68"/>
      <c r="R160" s="68"/>
      <c r="S160" s="68"/>
      <c r="T160" s="70"/>
      <c r="AC160" s="68"/>
      <c r="AD160" s="70"/>
      <c r="AM160" s="68"/>
      <c r="AN160" s="70"/>
      <c r="AU160" s="68"/>
      <c r="AV160" s="70"/>
      <c r="BB160" s="68"/>
      <c r="BC160" s="70"/>
      <c r="BD160" s="68"/>
      <c r="BE160" s="68"/>
      <c r="BF160" s="68"/>
      <c r="BG160" s="68"/>
      <c r="BH160" s="68"/>
      <c r="BI160" s="68"/>
      <c r="BJ160" s="70"/>
      <c r="BM160" s="68"/>
      <c r="BN160" s="70"/>
      <c r="BT160" s="68"/>
      <c r="BU160" s="70"/>
      <c r="BZ160" s="10"/>
      <c r="CF160" s="10"/>
      <c r="CI160" s="389"/>
      <c r="CJ160" s="389"/>
      <c r="CK160" s="68"/>
      <c r="CL160" s="70"/>
      <c r="CO160" s="10"/>
      <c r="CU160" s="10"/>
      <c r="DA160" s="10"/>
      <c r="DB160" s="70"/>
      <c r="DC160" s="70"/>
      <c r="DF160" s="68"/>
      <c r="DG160" s="70"/>
      <c r="DH160" s="68"/>
      <c r="DI160" s="386"/>
      <c r="DJ160" s="425"/>
      <c r="DL160" s="68"/>
      <c r="DM160" s="70"/>
      <c r="DQ160" s="68"/>
      <c r="DR160" s="70"/>
      <c r="DS160" s="338"/>
      <c r="DT160" s="338"/>
      <c r="DU160" s="338"/>
      <c r="DW160" s="338"/>
      <c r="DX160" s="338"/>
      <c r="DY160" s="338"/>
      <c r="EA160" s="338"/>
      <c r="EB160" s="338"/>
      <c r="EC160" s="338"/>
      <c r="EE160" s="338"/>
      <c r="EF160" s="338"/>
      <c r="EG160" s="338"/>
      <c r="EI160" s="336"/>
      <c r="EJ160" s="336"/>
      <c r="EK160" s="336"/>
      <c r="EL160" s="336"/>
      <c r="EM160" s="336"/>
      <c r="EN160" s="336"/>
      <c r="EO160" s="337"/>
      <c r="EP160" s="342"/>
      <c r="EQ160" s="336"/>
      <c r="ER160" s="342"/>
      <c r="ES160" s="336"/>
      <c r="ET160" s="342"/>
      <c r="EU160" s="336"/>
      <c r="EV160" s="342"/>
      <c r="EW160" s="336"/>
      <c r="EX160" s="342"/>
      <c r="EY160" s="342"/>
      <c r="EZ160" s="342"/>
      <c r="FA160" s="337"/>
      <c r="FE160" s="338"/>
      <c r="FH160" s="338"/>
      <c r="FI160" s="338"/>
      <c r="FJ160" s="338"/>
      <c r="FK160" s="338"/>
      <c r="FL160" s="338"/>
      <c r="FM160" s="337"/>
      <c r="FN160" s="336"/>
      <c r="FO160" s="336"/>
      <c r="FP160" s="336"/>
      <c r="FQ160" s="336"/>
      <c r="FR160" s="336"/>
      <c r="FS160" s="336"/>
      <c r="FT160" s="336"/>
      <c r="FU160" s="336"/>
      <c r="FV160" s="336"/>
      <c r="FW160" s="337"/>
      <c r="FX160" s="532"/>
      <c r="FY160" s="341"/>
      <c r="FZ160" s="341"/>
      <c r="GA160" s="336"/>
      <c r="GB160" s="341"/>
      <c r="GC160" s="341"/>
      <c r="GD160" s="341"/>
      <c r="GE160" s="336"/>
      <c r="GF160" s="336"/>
      <c r="GG160" s="336"/>
      <c r="GH160" s="336"/>
      <c r="GI160" s="336"/>
      <c r="GJ160" s="337"/>
      <c r="GM160" s="338"/>
      <c r="GN160" s="338"/>
      <c r="GO160" s="338"/>
      <c r="GS160" s="338"/>
      <c r="GT160" s="338"/>
      <c r="GU160" s="338"/>
      <c r="GY160" s="338"/>
      <c r="GZ160" s="338"/>
      <c r="HA160" s="338"/>
      <c r="HE160" s="338"/>
      <c r="HF160" s="338"/>
      <c r="HG160" s="338"/>
      <c r="HN160" s="68"/>
      <c r="HO160" s="68"/>
      <c r="HP160" s="68"/>
      <c r="HQ160" s="336"/>
      <c r="HR160" s="68"/>
      <c r="HS160" s="68"/>
      <c r="HT160" s="10"/>
      <c r="HW160" s="338"/>
      <c r="HX160" s="338"/>
      <c r="HY160" s="338"/>
      <c r="IC160" s="338"/>
      <c r="ID160" s="338"/>
      <c r="IE160" s="338"/>
      <c r="II160" s="338"/>
      <c r="IJ160" s="338"/>
      <c r="IK160" s="338"/>
      <c r="IO160" s="338"/>
      <c r="IP160" s="338"/>
      <c r="IQ160" s="338"/>
      <c r="IX160" s="68"/>
      <c r="IY160" s="68"/>
      <c r="IZ160" s="68"/>
      <c r="JA160" s="68"/>
      <c r="JB160" s="68"/>
      <c r="JC160" s="68"/>
      <c r="JD160" s="10"/>
      <c r="JG160" s="338"/>
      <c r="JH160" s="338"/>
      <c r="JI160" s="338"/>
      <c r="JM160" s="338"/>
      <c r="JN160" s="338"/>
      <c r="JQ160" s="338"/>
      <c r="JR160" s="338"/>
      <c r="JS160" s="338"/>
      <c r="JW160" s="358"/>
      <c r="JX160" s="336"/>
      <c r="JY160" s="336"/>
      <c r="JZ160" s="336"/>
      <c r="KA160" s="336"/>
      <c r="KB160" s="336"/>
      <c r="KC160" s="336"/>
      <c r="KD160" s="336"/>
      <c r="KE160" s="336"/>
      <c r="KF160" s="336"/>
      <c r="KG160" s="337"/>
      <c r="KH160" s="338"/>
      <c r="KI160" s="338"/>
      <c r="KJ160" s="338"/>
      <c r="KK160" s="338"/>
      <c r="KL160" s="338"/>
      <c r="KM160" s="338"/>
      <c r="KN160" s="338"/>
      <c r="KO160" s="338"/>
      <c r="KP160" s="338"/>
      <c r="KQ160" s="338"/>
      <c r="KR160" s="338"/>
      <c r="KS160" s="338"/>
      <c r="KT160" s="338"/>
      <c r="KU160" s="338"/>
      <c r="KV160" s="338"/>
      <c r="KW160" s="337"/>
      <c r="KX160" s="336"/>
      <c r="KY160" s="336"/>
      <c r="KZ160" s="336"/>
      <c r="LA160" s="336"/>
      <c r="LB160" s="336"/>
      <c r="LC160" s="336"/>
      <c r="LD160" s="336"/>
      <c r="LE160" s="336"/>
      <c r="LF160" s="336"/>
      <c r="LG160" s="336"/>
      <c r="LH160" s="336"/>
      <c r="LI160" s="336"/>
      <c r="LJ160" s="336"/>
      <c r="LK160" s="336"/>
      <c r="LL160" s="336"/>
      <c r="LM160" s="336"/>
      <c r="LN160" s="336"/>
      <c r="LO160" s="336"/>
      <c r="LP160" s="336"/>
      <c r="LQ160" s="337"/>
      <c r="MN160" s="10"/>
      <c r="OA160" s="10"/>
    </row>
    <row r="161" spans="1:391" s="370" customFormat="1" x14ac:dyDescent="0.25">
      <c r="A161" s="68"/>
      <c r="B161" s="10"/>
      <c r="C161" s="68"/>
      <c r="D161" s="68"/>
      <c r="E161" s="68"/>
      <c r="F161" s="68"/>
      <c r="G161" s="68"/>
      <c r="H161" s="68"/>
      <c r="I161" s="68"/>
      <c r="J161" s="68"/>
      <c r="K161" s="68"/>
      <c r="L161" s="68"/>
      <c r="M161" s="68"/>
      <c r="N161" s="68"/>
      <c r="O161" s="68"/>
      <c r="P161" s="68"/>
      <c r="Q161" s="68"/>
      <c r="R161" s="68"/>
      <c r="S161" s="68"/>
      <c r="T161" s="70"/>
      <c r="AC161" s="68"/>
      <c r="AD161" s="70"/>
      <c r="AM161" s="68"/>
      <c r="AN161" s="70"/>
      <c r="AU161" s="68"/>
      <c r="AV161" s="70"/>
      <c r="BB161" s="68"/>
      <c r="BC161" s="70"/>
      <c r="BD161" s="68"/>
      <c r="BE161" s="68"/>
      <c r="BF161" s="68"/>
      <c r="BG161" s="68"/>
      <c r="BH161" s="68"/>
      <c r="BI161" s="68"/>
      <c r="BJ161" s="70"/>
      <c r="BM161" s="68"/>
      <c r="BN161" s="70"/>
      <c r="BT161" s="68"/>
      <c r="BU161" s="70"/>
      <c r="BZ161" s="10"/>
      <c r="CF161" s="10"/>
      <c r="CI161" s="389"/>
      <c r="CJ161" s="389"/>
      <c r="CK161" s="68"/>
      <c r="CL161" s="70"/>
      <c r="CO161" s="10"/>
      <c r="CU161" s="10"/>
      <c r="DA161" s="10"/>
      <c r="DB161" s="70"/>
      <c r="DC161" s="70"/>
      <c r="DF161" s="68"/>
      <c r="DG161" s="70"/>
      <c r="DH161" s="68"/>
      <c r="DI161" s="386"/>
      <c r="DJ161" s="425"/>
      <c r="DL161" s="68"/>
      <c r="DM161" s="70"/>
      <c r="DQ161" s="68"/>
      <c r="DR161" s="70"/>
      <c r="DS161" s="338"/>
      <c r="DT161" s="338"/>
      <c r="DU161" s="338"/>
      <c r="DW161" s="338"/>
      <c r="DX161" s="338"/>
      <c r="DY161" s="338"/>
      <c r="EA161" s="338"/>
      <c r="EB161" s="338"/>
      <c r="EC161" s="338"/>
      <c r="EE161" s="338"/>
      <c r="EF161" s="338"/>
      <c r="EG161" s="338"/>
      <c r="EI161" s="336"/>
      <c r="EJ161" s="336"/>
      <c r="EK161" s="336"/>
      <c r="EL161" s="336"/>
      <c r="EM161" s="336"/>
      <c r="EN161" s="336"/>
      <c r="EO161" s="337"/>
      <c r="EP161" s="342"/>
      <c r="EQ161" s="336"/>
      <c r="ER161" s="342"/>
      <c r="ES161" s="336"/>
      <c r="ET161" s="342"/>
      <c r="EU161" s="336"/>
      <c r="EV161" s="342"/>
      <c r="EW161" s="336"/>
      <c r="EX161" s="342"/>
      <c r="EY161" s="342"/>
      <c r="EZ161" s="342"/>
      <c r="FA161" s="337"/>
      <c r="FE161" s="338"/>
      <c r="FH161" s="338"/>
      <c r="FI161" s="338"/>
      <c r="FJ161" s="338"/>
      <c r="FK161" s="338"/>
      <c r="FL161" s="338"/>
      <c r="FM161" s="337"/>
      <c r="FN161" s="336"/>
      <c r="FO161" s="336"/>
      <c r="FP161" s="336"/>
      <c r="FQ161" s="336"/>
      <c r="FR161" s="336"/>
      <c r="FS161" s="336"/>
      <c r="FT161" s="336"/>
      <c r="FU161" s="336"/>
      <c r="FV161" s="336"/>
      <c r="FW161" s="337"/>
      <c r="FX161" s="532"/>
      <c r="FY161" s="341"/>
      <c r="FZ161" s="341"/>
      <c r="GA161" s="336"/>
      <c r="GB161" s="341"/>
      <c r="GC161" s="341"/>
      <c r="GD161" s="341"/>
      <c r="GE161" s="336"/>
      <c r="GF161" s="336"/>
      <c r="GG161" s="336"/>
      <c r="GH161" s="336"/>
      <c r="GI161" s="336"/>
      <c r="GJ161" s="337"/>
      <c r="GM161" s="338"/>
      <c r="GN161" s="338"/>
      <c r="GO161" s="338"/>
      <c r="GS161" s="338"/>
      <c r="GT161" s="338"/>
      <c r="GU161" s="338"/>
      <c r="GY161" s="338"/>
      <c r="GZ161" s="338"/>
      <c r="HA161" s="338"/>
      <c r="HE161" s="338"/>
      <c r="HF161" s="338"/>
      <c r="HG161" s="338"/>
      <c r="HN161" s="68"/>
      <c r="HO161" s="68"/>
      <c r="HP161" s="68"/>
      <c r="HQ161" s="336"/>
      <c r="HR161" s="68"/>
      <c r="HS161" s="68"/>
      <c r="HT161" s="10"/>
      <c r="HW161" s="338"/>
      <c r="HX161" s="338"/>
      <c r="HY161" s="338"/>
      <c r="IC161" s="338"/>
      <c r="ID161" s="338"/>
      <c r="IE161" s="338"/>
      <c r="II161" s="338"/>
      <c r="IJ161" s="338"/>
      <c r="IK161" s="338"/>
      <c r="IO161" s="338"/>
      <c r="IP161" s="338"/>
      <c r="IQ161" s="338"/>
      <c r="IX161" s="68"/>
      <c r="IY161" s="68"/>
      <c r="IZ161" s="68"/>
      <c r="JA161" s="68"/>
      <c r="JB161" s="68"/>
      <c r="JC161" s="68"/>
      <c r="JD161" s="10"/>
      <c r="JG161" s="338"/>
      <c r="JH161" s="338"/>
      <c r="JI161" s="338"/>
      <c r="JM161" s="338"/>
      <c r="JN161" s="338"/>
      <c r="JQ161" s="338"/>
      <c r="JR161" s="338"/>
      <c r="JS161" s="338"/>
      <c r="JW161" s="358"/>
      <c r="JX161" s="336"/>
      <c r="JY161" s="336"/>
      <c r="JZ161" s="336"/>
      <c r="KA161" s="336"/>
      <c r="KB161" s="336"/>
      <c r="KC161" s="336"/>
      <c r="KD161" s="336"/>
      <c r="KE161" s="336"/>
      <c r="KF161" s="336"/>
      <c r="KG161" s="337"/>
      <c r="KH161" s="338"/>
      <c r="KI161" s="338"/>
      <c r="KJ161" s="338"/>
      <c r="KK161" s="338"/>
      <c r="KL161" s="338"/>
      <c r="KM161" s="338"/>
      <c r="KN161" s="338"/>
      <c r="KO161" s="338"/>
      <c r="KP161" s="338"/>
      <c r="KQ161" s="338"/>
      <c r="KR161" s="338"/>
      <c r="KS161" s="338"/>
      <c r="KT161" s="338"/>
      <c r="KU161" s="338"/>
      <c r="KV161" s="338"/>
      <c r="KW161" s="337"/>
      <c r="KX161" s="336"/>
      <c r="KY161" s="336"/>
      <c r="KZ161" s="336"/>
      <c r="LA161" s="336"/>
      <c r="LB161" s="336"/>
      <c r="LC161" s="336"/>
      <c r="LD161" s="336"/>
      <c r="LE161" s="336"/>
      <c r="LF161" s="336"/>
      <c r="LG161" s="336"/>
      <c r="LH161" s="336"/>
      <c r="LI161" s="336"/>
      <c r="LJ161" s="336"/>
      <c r="LK161" s="336"/>
      <c r="LL161" s="336"/>
      <c r="LM161" s="336"/>
      <c r="LN161" s="336"/>
      <c r="LO161" s="336"/>
      <c r="LP161" s="336"/>
      <c r="LQ161" s="337"/>
      <c r="MN161" s="10"/>
      <c r="OA161" s="10"/>
    </row>
    <row r="162" spans="1:391" s="370" customFormat="1" x14ac:dyDescent="0.25">
      <c r="A162" s="68"/>
      <c r="B162" s="10"/>
      <c r="C162" s="68"/>
      <c r="D162" s="68"/>
      <c r="E162" s="68"/>
      <c r="F162" s="68"/>
      <c r="G162" s="68"/>
      <c r="H162" s="68"/>
      <c r="I162" s="68"/>
      <c r="J162" s="68"/>
      <c r="K162" s="68"/>
      <c r="L162" s="68"/>
      <c r="M162" s="68"/>
      <c r="N162" s="68"/>
      <c r="O162" s="68"/>
      <c r="P162" s="68"/>
      <c r="Q162" s="68"/>
      <c r="R162" s="68"/>
      <c r="S162" s="68"/>
      <c r="T162" s="70"/>
      <c r="AC162" s="68"/>
      <c r="AD162" s="70"/>
      <c r="AM162" s="68"/>
      <c r="AN162" s="70"/>
      <c r="AU162" s="68"/>
      <c r="AV162" s="70"/>
      <c r="BB162" s="68"/>
      <c r="BC162" s="70"/>
      <c r="BD162" s="68"/>
      <c r="BE162" s="68"/>
      <c r="BF162" s="68"/>
      <c r="BG162" s="68"/>
      <c r="BH162" s="68"/>
      <c r="BI162" s="68"/>
      <c r="BJ162" s="70"/>
      <c r="BM162" s="68"/>
      <c r="BN162" s="70"/>
      <c r="BT162" s="68"/>
      <c r="BU162" s="70"/>
      <c r="BZ162" s="10"/>
      <c r="CF162" s="10"/>
      <c r="CI162" s="389"/>
      <c r="CJ162" s="389"/>
      <c r="CK162" s="68"/>
      <c r="CL162" s="70"/>
      <c r="CO162" s="10"/>
      <c r="CU162" s="10"/>
      <c r="DA162" s="10"/>
      <c r="DB162" s="70"/>
      <c r="DC162" s="70"/>
      <c r="DF162" s="68"/>
      <c r="DG162" s="70"/>
      <c r="DH162" s="68"/>
      <c r="DI162" s="386"/>
      <c r="DJ162" s="425"/>
      <c r="DL162" s="68"/>
      <c r="DM162" s="70"/>
      <c r="DQ162" s="68"/>
      <c r="DR162" s="70"/>
      <c r="DS162" s="338"/>
      <c r="DT162" s="338"/>
      <c r="DU162" s="338"/>
      <c r="DW162" s="338"/>
      <c r="DX162" s="338"/>
      <c r="DY162" s="338"/>
      <c r="EA162" s="338"/>
      <c r="EB162" s="338"/>
      <c r="EC162" s="338"/>
      <c r="EE162" s="338"/>
      <c r="EF162" s="338"/>
      <c r="EG162" s="338"/>
      <c r="EI162" s="336"/>
      <c r="EJ162" s="336"/>
      <c r="EK162" s="336"/>
      <c r="EL162" s="336"/>
      <c r="EM162" s="336"/>
      <c r="EN162" s="336"/>
      <c r="EO162" s="337"/>
      <c r="EP162" s="342"/>
      <c r="EQ162" s="336"/>
      <c r="ER162" s="342"/>
      <c r="ES162" s="336"/>
      <c r="ET162" s="342"/>
      <c r="EU162" s="336"/>
      <c r="EV162" s="342"/>
      <c r="EW162" s="336"/>
      <c r="EX162" s="342"/>
      <c r="EY162" s="342"/>
      <c r="EZ162" s="342"/>
      <c r="FA162" s="337"/>
      <c r="FE162" s="338"/>
      <c r="FH162" s="338"/>
      <c r="FI162" s="338"/>
      <c r="FJ162" s="338"/>
      <c r="FK162" s="338"/>
      <c r="FL162" s="338"/>
      <c r="FM162" s="337"/>
      <c r="FN162" s="336"/>
      <c r="FO162" s="336"/>
      <c r="FP162" s="336"/>
      <c r="FQ162" s="336"/>
      <c r="FR162" s="336"/>
      <c r="FS162" s="336"/>
      <c r="FT162" s="336"/>
      <c r="FU162" s="336"/>
      <c r="FV162" s="336"/>
      <c r="FW162" s="337"/>
      <c r="FX162" s="532"/>
      <c r="FY162" s="341"/>
      <c r="FZ162" s="341"/>
      <c r="GA162" s="336"/>
      <c r="GB162" s="341"/>
      <c r="GC162" s="341"/>
      <c r="GD162" s="341"/>
      <c r="GE162" s="336"/>
      <c r="GF162" s="336"/>
      <c r="GG162" s="336"/>
      <c r="GH162" s="336"/>
      <c r="GI162" s="336"/>
      <c r="GJ162" s="337"/>
      <c r="GM162" s="338"/>
      <c r="GN162" s="338"/>
      <c r="GO162" s="338"/>
      <c r="GS162" s="338"/>
      <c r="GT162" s="338"/>
      <c r="GU162" s="338"/>
      <c r="GY162" s="338"/>
      <c r="GZ162" s="338"/>
      <c r="HA162" s="338"/>
      <c r="HE162" s="338"/>
      <c r="HF162" s="338"/>
      <c r="HG162" s="338"/>
      <c r="HN162" s="68"/>
      <c r="HO162" s="68"/>
      <c r="HP162" s="68"/>
      <c r="HQ162" s="336"/>
      <c r="HR162" s="68"/>
      <c r="HS162" s="68"/>
      <c r="HT162" s="10"/>
      <c r="HW162" s="338"/>
      <c r="HX162" s="338"/>
      <c r="HY162" s="338"/>
      <c r="IC162" s="338"/>
      <c r="ID162" s="338"/>
      <c r="IE162" s="338"/>
      <c r="II162" s="338"/>
      <c r="IJ162" s="338"/>
      <c r="IK162" s="338"/>
      <c r="IO162" s="338"/>
      <c r="IP162" s="338"/>
      <c r="IQ162" s="338"/>
      <c r="IX162" s="68"/>
      <c r="IY162" s="68"/>
      <c r="IZ162" s="68"/>
      <c r="JA162" s="68"/>
      <c r="JB162" s="68"/>
      <c r="JC162" s="68"/>
      <c r="JD162" s="10"/>
      <c r="JG162" s="338"/>
      <c r="JH162" s="338"/>
      <c r="JI162" s="338"/>
      <c r="JM162" s="338"/>
      <c r="JN162" s="338"/>
      <c r="JQ162" s="338"/>
      <c r="JR162" s="338"/>
      <c r="JS162" s="338"/>
      <c r="JW162" s="358"/>
      <c r="JX162" s="336"/>
      <c r="JY162" s="336"/>
      <c r="JZ162" s="336"/>
      <c r="KA162" s="336"/>
      <c r="KB162" s="336"/>
      <c r="KC162" s="336"/>
      <c r="KD162" s="336"/>
      <c r="KE162" s="336"/>
      <c r="KF162" s="336"/>
      <c r="KG162" s="337"/>
      <c r="KH162" s="338"/>
      <c r="KI162" s="338"/>
      <c r="KJ162" s="338"/>
      <c r="KK162" s="338"/>
      <c r="KL162" s="338"/>
      <c r="KM162" s="338"/>
      <c r="KN162" s="338"/>
      <c r="KO162" s="338"/>
      <c r="KP162" s="338"/>
      <c r="KQ162" s="338"/>
      <c r="KR162" s="338"/>
      <c r="KS162" s="338"/>
      <c r="KT162" s="338"/>
      <c r="KU162" s="338"/>
      <c r="KV162" s="338"/>
      <c r="KW162" s="337"/>
      <c r="KX162" s="336"/>
      <c r="KY162" s="336"/>
      <c r="KZ162" s="336"/>
      <c r="LA162" s="336"/>
      <c r="LB162" s="336"/>
      <c r="LC162" s="336"/>
      <c r="LD162" s="336"/>
      <c r="LE162" s="336"/>
      <c r="LF162" s="336"/>
      <c r="LG162" s="336"/>
      <c r="LH162" s="336"/>
      <c r="LI162" s="336"/>
      <c r="LJ162" s="336"/>
      <c r="LK162" s="336"/>
      <c r="LL162" s="336"/>
      <c r="LM162" s="336"/>
      <c r="LN162" s="336"/>
      <c r="LO162" s="336"/>
      <c r="LP162" s="336"/>
      <c r="LQ162" s="337"/>
      <c r="MN162" s="10"/>
      <c r="OA162" s="10"/>
    </row>
    <row r="163" spans="1:391" s="370" customFormat="1" x14ac:dyDescent="0.25">
      <c r="A163" s="68"/>
      <c r="B163" s="10"/>
      <c r="C163" s="68"/>
      <c r="D163" s="68"/>
      <c r="E163" s="68"/>
      <c r="F163" s="68"/>
      <c r="G163" s="68"/>
      <c r="H163" s="68"/>
      <c r="I163" s="68"/>
      <c r="J163" s="68"/>
      <c r="K163" s="68"/>
      <c r="L163" s="68"/>
      <c r="M163" s="68"/>
      <c r="N163" s="68"/>
      <c r="O163" s="68"/>
      <c r="P163" s="68"/>
      <c r="Q163" s="68"/>
      <c r="R163" s="68"/>
      <c r="S163" s="68"/>
      <c r="T163" s="70"/>
      <c r="AC163" s="68"/>
      <c r="AD163" s="70"/>
      <c r="AM163" s="68"/>
      <c r="AN163" s="70"/>
      <c r="AU163" s="68"/>
      <c r="AV163" s="70"/>
      <c r="BB163" s="68"/>
      <c r="BC163" s="70"/>
      <c r="BD163" s="68"/>
      <c r="BE163" s="68"/>
      <c r="BF163" s="68"/>
      <c r="BG163" s="68"/>
      <c r="BH163" s="68"/>
      <c r="BI163" s="68"/>
      <c r="BJ163" s="70"/>
      <c r="BM163" s="68"/>
      <c r="BN163" s="70"/>
      <c r="BT163" s="68"/>
      <c r="BU163" s="70"/>
      <c r="BZ163" s="10"/>
      <c r="CF163" s="10"/>
      <c r="CI163" s="389"/>
      <c r="CJ163" s="389"/>
      <c r="CK163" s="68"/>
      <c r="CL163" s="70"/>
      <c r="CO163" s="10"/>
      <c r="CU163" s="10"/>
      <c r="DA163" s="10"/>
      <c r="DB163" s="70"/>
      <c r="DC163" s="70"/>
      <c r="DF163" s="68"/>
      <c r="DG163" s="70"/>
      <c r="DH163" s="68"/>
      <c r="DI163" s="386"/>
      <c r="DJ163" s="425"/>
      <c r="DL163" s="68"/>
      <c r="DM163" s="70"/>
      <c r="DQ163" s="68"/>
      <c r="DR163" s="70"/>
      <c r="DS163" s="338"/>
      <c r="DT163" s="338"/>
      <c r="DU163" s="338"/>
      <c r="DW163" s="338"/>
      <c r="DX163" s="338"/>
      <c r="DY163" s="338"/>
      <c r="EA163" s="338"/>
      <c r="EB163" s="338"/>
      <c r="EC163" s="338"/>
      <c r="EE163" s="338"/>
      <c r="EF163" s="338"/>
      <c r="EG163" s="338"/>
      <c r="EI163" s="336"/>
      <c r="EJ163" s="336"/>
      <c r="EK163" s="336"/>
      <c r="EL163" s="336"/>
      <c r="EM163" s="336"/>
      <c r="EN163" s="336"/>
      <c r="EO163" s="337"/>
      <c r="EP163" s="342"/>
      <c r="EQ163" s="336"/>
      <c r="ER163" s="342"/>
      <c r="ES163" s="336"/>
      <c r="ET163" s="342"/>
      <c r="EU163" s="336"/>
      <c r="EV163" s="342"/>
      <c r="EW163" s="336"/>
      <c r="EX163" s="342"/>
      <c r="EY163" s="342"/>
      <c r="EZ163" s="342"/>
      <c r="FA163" s="337"/>
      <c r="FE163" s="338"/>
      <c r="FH163" s="338"/>
      <c r="FI163" s="338"/>
      <c r="FJ163" s="338"/>
      <c r="FK163" s="338"/>
      <c r="FL163" s="338"/>
      <c r="FM163" s="337"/>
      <c r="FN163" s="336"/>
      <c r="FO163" s="336"/>
      <c r="FP163" s="336"/>
      <c r="FQ163" s="336"/>
      <c r="FR163" s="336"/>
      <c r="FS163" s="336"/>
      <c r="FT163" s="336"/>
      <c r="FU163" s="336"/>
      <c r="FV163" s="336"/>
      <c r="FW163" s="337"/>
      <c r="FX163" s="532"/>
      <c r="FY163" s="341"/>
      <c r="FZ163" s="341"/>
      <c r="GA163" s="336"/>
      <c r="GB163" s="341"/>
      <c r="GC163" s="341"/>
      <c r="GD163" s="341"/>
      <c r="GE163" s="336"/>
      <c r="GF163" s="336"/>
      <c r="GG163" s="336"/>
      <c r="GH163" s="336"/>
      <c r="GI163" s="336"/>
      <c r="GJ163" s="337"/>
      <c r="GM163" s="338"/>
      <c r="GN163" s="338"/>
      <c r="GO163" s="338"/>
      <c r="GS163" s="338"/>
      <c r="GT163" s="338"/>
      <c r="GU163" s="338"/>
      <c r="GY163" s="338"/>
      <c r="GZ163" s="338"/>
      <c r="HA163" s="338"/>
      <c r="HE163" s="338"/>
      <c r="HF163" s="338"/>
      <c r="HG163" s="338"/>
      <c r="HN163" s="68"/>
      <c r="HO163" s="68"/>
      <c r="HP163" s="68"/>
      <c r="HQ163" s="336"/>
      <c r="HR163" s="68"/>
      <c r="HS163" s="68"/>
      <c r="HT163" s="10"/>
      <c r="HW163" s="338"/>
      <c r="HX163" s="338"/>
      <c r="HY163" s="338"/>
      <c r="IC163" s="338"/>
      <c r="ID163" s="338"/>
      <c r="IE163" s="338"/>
      <c r="II163" s="338"/>
      <c r="IJ163" s="338"/>
      <c r="IK163" s="338"/>
      <c r="IO163" s="338"/>
      <c r="IP163" s="338"/>
      <c r="IQ163" s="338"/>
      <c r="IX163" s="68"/>
      <c r="IY163" s="68"/>
      <c r="IZ163" s="68"/>
      <c r="JA163" s="68"/>
      <c r="JB163" s="68"/>
      <c r="JC163" s="68"/>
      <c r="JD163" s="10"/>
      <c r="JG163" s="338"/>
      <c r="JH163" s="338"/>
      <c r="JI163" s="338"/>
      <c r="JM163" s="338"/>
      <c r="JN163" s="338"/>
      <c r="JQ163" s="338"/>
      <c r="JR163" s="338"/>
      <c r="JS163" s="338"/>
      <c r="JW163" s="358"/>
      <c r="JX163" s="336"/>
      <c r="JY163" s="336"/>
      <c r="JZ163" s="336"/>
      <c r="KA163" s="336"/>
      <c r="KB163" s="336"/>
      <c r="KC163" s="336"/>
      <c r="KD163" s="336"/>
      <c r="KE163" s="336"/>
      <c r="KF163" s="336"/>
      <c r="KG163" s="337"/>
      <c r="KH163" s="338"/>
      <c r="KI163" s="338"/>
      <c r="KJ163" s="338"/>
      <c r="KK163" s="338"/>
      <c r="KL163" s="338"/>
      <c r="KM163" s="338"/>
      <c r="KN163" s="338"/>
      <c r="KO163" s="338"/>
      <c r="KP163" s="338"/>
      <c r="KQ163" s="338"/>
      <c r="KR163" s="338"/>
      <c r="KS163" s="338"/>
      <c r="KT163" s="338"/>
      <c r="KU163" s="338"/>
      <c r="KV163" s="338"/>
      <c r="KW163" s="337"/>
      <c r="KX163" s="336"/>
      <c r="KY163" s="336"/>
      <c r="KZ163" s="336"/>
      <c r="LA163" s="336"/>
      <c r="LB163" s="336"/>
      <c r="LC163" s="336"/>
      <c r="LD163" s="336"/>
      <c r="LE163" s="336"/>
      <c r="LF163" s="336"/>
      <c r="LG163" s="336"/>
      <c r="LH163" s="336"/>
      <c r="LI163" s="336"/>
      <c r="LJ163" s="336"/>
      <c r="LK163" s="336"/>
      <c r="LL163" s="336"/>
      <c r="LM163" s="336"/>
      <c r="LN163" s="336"/>
      <c r="LO163" s="336"/>
      <c r="LP163" s="336"/>
      <c r="LQ163" s="337"/>
      <c r="MN163" s="10"/>
      <c r="OA163" s="10"/>
    </row>
    <row r="164" spans="1:391" s="370" customFormat="1" x14ac:dyDescent="0.25">
      <c r="A164" s="68"/>
      <c r="B164" s="10"/>
      <c r="C164" s="68"/>
      <c r="D164" s="68"/>
      <c r="E164" s="68"/>
      <c r="F164" s="68"/>
      <c r="G164" s="68"/>
      <c r="H164" s="68"/>
      <c r="I164" s="68"/>
      <c r="J164" s="68"/>
      <c r="K164" s="68"/>
      <c r="L164" s="68"/>
      <c r="M164" s="68"/>
      <c r="N164" s="68"/>
      <c r="O164" s="68"/>
      <c r="P164" s="68"/>
      <c r="Q164" s="68"/>
      <c r="R164" s="68"/>
      <c r="S164" s="68"/>
      <c r="T164" s="70"/>
      <c r="AC164" s="68"/>
      <c r="AD164" s="70"/>
      <c r="AM164" s="68"/>
      <c r="AN164" s="70"/>
      <c r="AU164" s="68"/>
      <c r="AV164" s="70"/>
      <c r="BB164" s="68"/>
      <c r="BC164" s="70"/>
      <c r="BD164" s="68"/>
      <c r="BE164" s="68"/>
      <c r="BF164" s="68"/>
      <c r="BG164" s="68"/>
      <c r="BH164" s="68"/>
      <c r="BI164" s="68"/>
      <c r="BJ164" s="70"/>
      <c r="BM164" s="68"/>
      <c r="BN164" s="70"/>
      <c r="BT164" s="68"/>
      <c r="BU164" s="70"/>
      <c r="BZ164" s="10"/>
      <c r="CF164" s="10"/>
      <c r="CI164" s="389"/>
      <c r="CJ164" s="389"/>
      <c r="CK164" s="68"/>
      <c r="CL164" s="70"/>
      <c r="CO164" s="10"/>
      <c r="CU164" s="10"/>
      <c r="DA164" s="10"/>
      <c r="DB164" s="70"/>
      <c r="DC164" s="70"/>
      <c r="DF164" s="68"/>
      <c r="DG164" s="70"/>
      <c r="DH164" s="68"/>
      <c r="DI164" s="386"/>
      <c r="DJ164" s="425"/>
      <c r="DL164" s="68"/>
      <c r="DM164" s="70"/>
      <c r="DQ164" s="68"/>
      <c r="DR164" s="70"/>
      <c r="DS164" s="338"/>
      <c r="DT164" s="338"/>
      <c r="DU164" s="338"/>
      <c r="DW164" s="338"/>
      <c r="DX164" s="338"/>
      <c r="DY164" s="338"/>
      <c r="EA164" s="338"/>
      <c r="EB164" s="338"/>
      <c r="EC164" s="338"/>
      <c r="EE164" s="338"/>
      <c r="EF164" s="338"/>
      <c r="EG164" s="338"/>
      <c r="EI164" s="336"/>
      <c r="EJ164" s="336"/>
      <c r="EK164" s="336"/>
      <c r="EL164" s="336"/>
      <c r="EM164" s="336"/>
      <c r="EN164" s="336"/>
      <c r="EO164" s="337"/>
      <c r="EP164" s="342"/>
      <c r="EQ164" s="336"/>
      <c r="ER164" s="342"/>
      <c r="ES164" s="336"/>
      <c r="ET164" s="342"/>
      <c r="EU164" s="336"/>
      <c r="EV164" s="342"/>
      <c r="EW164" s="336"/>
      <c r="EX164" s="342"/>
      <c r="EY164" s="342"/>
      <c r="EZ164" s="342"/>
      <c r="FA164" s="337"/>
      <c r="FE164" s="338"/>
      <c r="FH164" s="338"/>
      <c r="FI164" s="338"/>
      <c r="FJ164" s="338"/>
      <c r="FK164" s="338"/>
      <c r="FL164" s="338"/>
      <c r="FM164" s="337"/>
      <c r="FN164" s="336"/>
      <c r="FO164" s="336"/>
      <c r="FP164" s="336"/>
      <c r="FQ164" s="336"/>
      <c r="FR164" s="336"/>
      <c r="FS164" s="336"/>
      <c r="FT164" s="336"/>
      <c r="FU164" s="336"/>
      <c r="FV164" s="336"/>
      <c r="FW164" s="337"/>
      <c r="FX164" s="532"/>
      <c r="FY164" s="341"/>
      <c r="FZ164" s="341"/>
      <c r="GA164" s="336"/>
      <c r="GB164" s="341"/>
      <c r="GC164" s="341"/>
      <c r="GD164" s="341"/>
      <c r="GE164" s="336"/>
      <c r="GF164" s="336"/>
      <c r="GG164" s="336"/>
      <c r="GH164" s="336"/>
      <c r="GI164" s="336"/>
      <c r="GJ164" s="337"/>
      <c r="GM164" s="338"/>
      <c r="GN164" s="338"/>
      <c r="GO164" s="338"/>
      <c r="GS164" s="338"/>
      <c r="GT164" s="338"/>
      <c r="GU164" s="338"/>
      <c r="GY164" s="338"/>
      <c r="GZ164" s="338"/>
      <c r="HA164" s="338"/>
      <c r="HE164" s="338"/>
      <c r="HF164" s="338"/>
      <c r="HG164" s="338"/>
      <c r="HN164" s="68"/>
      <c r="HO164" s="68"/>
      <c r="HP164" s="68"/>
      <c r="HQ164" s="336"/>
      <c r="HR164" s="68"/>
      <c r="HS164" s="68"/>
      <c r="HT164" s="10"/>
      <c r="HW164" s="338"/>
      <c r="HX164" s="338"/>
      <c r="HY164" s="338"/>
      <c r="IC164" s="338"/>
      <c r="ID164" s="338"/>
      <c r="IE164" s="338"/>
      <c r="II164" s="338"/>
      <c r="IJ164" s="338"/>
      <c r="IK164" s="338"/>
      <c r="IO164" s="338"/>
      <c r="IP164" s="338"/>
      <c r="IQ164" s="338"/>
      <c r="IX164" s="68"/>
      <c r="IY164" s="68"/>
      <c r="IZ164" s="68"/>
      <c r="JA164" s="68"/>
      <c r="JB164" s="68"/>
      <c r="JC164" s="68"/>
      <c r="JD164" s="10"/>
      <c r="JG164" s="338"/>
      <c r="JH164" s="338"/>
      <c r="JI164" s="338"/>
      <c r="JM164" s="338"/>
      <c r="JN164" s="338"/>
      <c r="JQ164" s="338"/>
      <c r="JR164" s="338"/>
      <c r="JS164" s="338"/>
      <c r="JW164" s="358"/>
      <c r="JX164" s="336"/>
      <c r="JY164" s="336"/>
      <c r="JZ164" s="336"/>
      <c r="KA164" s="336"/>
      <c r="KB164" s="336"/>
      <c r="KC164" s="336"/>
      <c r="KD164" s="336"/>
      <c r="KE164" s="336"/>
      <c r="KF164" s="336"/>
      <c r="KG164" s="337"/>
      <c r="KH164" s="338"/>
      <c r="KI164" s="338"/>
      <c r="KJ164" s="338"/>
      <c r="KK164" s="338"/>
      <c r="KL164" s="338"/>
      <c r="KM164" s="338"/>
      <c r="KN164" s="338"/>
      <c r="KO164" s="338"/>
      <c r="KP164" s="338"/>
      <c r="KQ164" s="338"/>
      <c r="KR164" s="338"/>
      <c r="KS164" s="338"/>
      <c r="KT164" s="338"/>
      <c r="KU164" s="338"/>
      <c r="KV164" s="338"/>
      <c r="KW164" s="337"/>
      <c r="KX164" s="336"/>
      <c r="KY164" s="336"/>
      <c r="KZ164" s="336"/>
      <c r="LA164" s="336"/>
      <c r="LB164" s="336"/>
      <c r="LC164" s="336"/>
      <c r="LD164" s="336"/>
      <c r="LE164" s="336"/>
      <c r="LF164" s="336"/>
      <c r="LG164" s="336"/>
      <c r="LH164" s="336"/>
      <c r="LI164" s="336"/>
      <c r="LJ164" s="336"/>
      <c r="LK164" s="336"/>
      <c r="LL164" s="336"/>
      <c r="LM164" s="336"/>
      <c r="LN164" s="336"/>
      <c r="LO164" s="336"/>
      <c r="LP164" s="336"/>
      <c r="LQ164" s="337"/>
      <c r="MN164" s="10"/>
      <c r="OA164" s="10"/>
    </row>
    <row r="165" spans="1:391" s="370" customFormat="1" x14ac:dyDescent="0.25">
      <c r="A165" s="68"/>
      <c r="B165" s="10"/>
      <c r="C165" s="68"/>
      <c r="D165" s="68"/>
      <c r="E165" s="68"/>
      <c r="F165" s="68"/>
      <c r="G165" s="68"/>
      <c r="H165" s="68"/>
      <c r="I165" s="68"/>
      <c r="J165" s="68"/>
      <c r="K165" s="68"/>
      <c r="L165" s="68"/>
      <c r="M165" s="68"/>
      <c r="N165" s="68"/>
      <c r="O165" s="68"/>
      <c r="P165" s="68"/>
      <c r="Q165" s="68"/>
      <c r="R165" s="68"/>
      <c r="S165" s="68"/>
      <c r="T165" s="70"/>
      <c r="AC165" s="68"/>
      <c r="AD165" s="70"/>
      <c r="AM165" s="68"/>
      <c r="AN165" s="70"/>
      <c r="AU165" s="68"/>
      <c r="AV165" s="70"/>
      <c r="BB165" s="68"/>
      <c r="BC165" s="70"/>
      <c r="BD165" s="68"/>
      <c r="BE165" s="68"/>
      <c r="BF165" s="68"/>
      <c r="BG165" s="68"/>
      <c r="BH165" s="68"/>
      <c r="BI165" s="68"/>
      <c r="BJ165" s="70"/>
      <c r="BM165" s="68"/>
      <c r="BN165" s="70"/>
      <c r="BT165" s="68"/>
      <c r="BU165" s="70"/>
      <c r="BZ165" s="10"/>
      <c r="CF165" s="10"/>
      <c r="CI165" s="389"/>
      <c r="CJ165" s="389"/>
      <c r="CK165" s="68"/>
      <c r="CL165" s="70"/>
      <c r="CO165" s="10"/>
      <c r="CU165" s="10"/>
      <c r="DA165" s="10"/>
      <c r="DB165" s="70"/>
      <c r="DC165" s="70"/>
      <c r="DF165" s="68"/>
      <c r="DG165" s="70"/>
      <c r="DH165" s="68"/>
      <c r="DI165" s="386"/>
      <c r="DJ165" s="425"/>
      <c r="DL165" s="68"/>
      <c r="DM165" s="70"/>
      <c r="DQ165" s="68"/>
      <c r="DR165" s="70"/>
      <c r="DS165" s="338"/>
      <c r="DT165" s="338"/>
      <c r="DU165" s="338"/>
      <c r="DW165" s="338"/>
      <c r="DX165" s="338"/>
      <c r="DY165" s="338"/>
      <c r="EA165" s="338"/>
      <c r="EB165" s="338"/>
      <c r="EC165" s="338"/>
      <c r="EE165" s="338"/>
      <c r="EF165" s="338"/>
      <c r="EG165" s="338"/>
      <c r="EI165" s="336"/>
      <c r="EJ165" s="336"/>
      <c r="EK165" s="336"/>
      <c r="EL165" s="336"/>
      <c r="EM165" s="336"/>
      <c r="EN165" s="336"/>
      <c r="EO165" s="337"/>
      <c r="EP165" s="342"/>
      <c r="EQ165" s="336"/>
      <c r="ER165" s="342"/>
      <c r="ES165" s="336"/>
      <c r="ET165" s="342"/>
      <c r="EU165" s="336"/>
      <c r="EV165" s="342"/>
      <c r="EW165" s="336"/>
      <c r="EX165" s="342"/>
      <c r="EY165" s="342"/>
      <c r="EZ165" s="342"/>
      <c r="FA165" s="337"/>
      <c r="FE165" s="338"/>
      <c r="FH165" s="338"/>
      <c r="FI165" s="338"/>
      <c r="FJ165" s="338"/>
      <c r="FK165" s="338"/>
      <c r="FL165" s="338"/>
      <c r="FM165" s="337"/>
      <c r="FN165" s="336"/>
      <c r="FO165" s="336"/>
      <c r="FP165" s="336"/>
      <c r="FQ165" s="336"/>
      <c r="FR165" s="336"/>
      <c r="FS165" s="336"/>
      <c r="FT165" s="336"/>
      <c r="FU165" s="336"/>
      <c r="FV165" s="336"/>
      <c r="FW165" s="337"/>
      <c r="FX165" s="532"/>
      <c r="FY165" s="341"/>
      <c r="FZ165" s="341"/>
      <c r="GA165" s="336"/>
      <c r="GB165" s="341"/>
      <c r="GC165" s="341"/>
      <c r="GD165" s="341"/>
      <c r="GE165" s="336"/>
      <c r="GF165" s="336"/>
      <c r="GG165" s="336"/>
      <c r="GH165" s="336"/>
      <c r="GI165" s="336"/>
      <c r="GJ165" s="337"/>
      <c r="GM165" s="338"/>
      <c r="GN165" s="338"/>
      <c r="GO165" s="338"/>
      <c r="GS165" s="338"/>
      <c r="GT165" s="338"/>
      <c r="GU165" s="338"/>
      <c r="GY165" s="338"/>
      <c r="GZ165" s="338"/>
      <c r="HA165" s="338"/>
      <c r="HE165" s="338"/>
      <c r="HF165" s="338"/>
      <c r="HG165" s="338"/>
      <c r="HN165" s="68"/>
      <c r="HO165" s="68"/>
      <c r="HP165" s="68"/>
      <c r="HQ165" s="336"/>
      <c r="HR165" s="68"/>
      <c r="HS165" s="68"/>
      <c r="HT165" s="10"/>
      <c r="HW165" s="338"/>
      <c r="HX165" s="338"/>
      <c r="HY165" s="338"/>
      <c r="IC165" s="338"/>
      <c r="ID165" s="338"/>
      <c r="IE165" s="338"/>
      <c r="II165" s="338"/>
      <c r="IJ165" s="338"/>
      <c r="IK165" s="338"/>
      <c r="IO165" s="338"/>
      <c r="IP165" s="338"/>
      <c r="IQ165" s="338"/>
      <c r="IX165" s="68"/>
      <c r="IY165" s="68"/>
      <c r="IZ165" s="68"/>
      <c r="JA165" s="68"/>
      <c r="JB165" s="68"/>
      <c r="JC165" s="68"/>
      <c r="JD165" s="10"/>
      <c r="JG165" s="338"/>
      <c r="JH165" s="338"/>
      <c r="JI165" s="338"/>
      <c r="JM165" s="338"/>
      <c r="JN165" s="338"/>
      <c r="JQ165" s="338"/>
      <c r="JR165" s="338"/>
      <c r="JS165" s="338"/>
      <c r="JW165" s="358"/>
      <c r="JX165" s="336"/>
      <c r="JY165" s="336"/>
      <c r="JZ165" s="336"/>
      <c r="KA165" s="336"/>
      <c r="KB165" s="336"/>
      <c r="KC165" s="336"/>
      <c r="KD165" s="336"/>
      <c r="KE165" s="336"/>
      <c r="KF165" s="336"/>
      <c r="KG165" s="337"/>
      <c r="KH165" s="338"/>
      <c r="KI165" s="338"/>
      <c r="KJ165" s="338"/>
      <c r="KK165" s="338"/>
      <c r="KL165" s="338"/>
      <c r="KM165" s="338"/>
      <c r="KN165" s="338"/>
      <c r="KO165" s="338"/>
      <c r="KP165" s="338"/>
      <c r="KQ165" s="338"/>
      <c r="KR165" s="338"/>
      <c r="KS165" s="338"/>
      <c r="KT165" s="338"/>
      <c r="KU165" s="338"/>
      <c r="KV165" s="338"/>
      <c r="KW165" s="337"/>
      <c r="KX165" s="336"/>
      <c r="KY165" s="336"/>
      <c r="KZ165" s="336"/>
      <c r="LA165" s="336"/>
      <c r="LB165" s="336"/>
      <c r="LC165" s="336"/>
      <c r="LD165" s="336"/>
      <c r="LE165" s="336"/>
      <c r="LF165" s="336"/>
      <c r="LG165" s="336"/>
      <c r="LH165" s="336"/>
      <c r="LI165" s="336"/>
      <c r="LJ165" s="336"/>
      <c r="LK165" s="336"/>
      <c r="LL165" s="336"/>
      <c r="LM165" s="336"/>
      <c r="LN165" s="336"/>
      <c r="LO165" s="336"/>
      <c r="LP165" s="336"/>
      <c r="LQ165" s="337"/>
      <c r="MN165" s="10"/>
      <c r="OA165" s="10"/>
    </row>
    <row r="166" spans="1:391" s="370" customFormat="1" x14ac:dyDescent="0.25">
      <c r="A166" s="68"/>
      <c r="B166" s="10"/>
      <c r="C166" s="68"/>
      <c r="D166" s="68"/>
      <c r="E166" s="68"/>
      <c r="F166" s="68"/>
      <c r="G166" s="68"/>
      <c r="H166" s="68"/>
      <c r="I166" s="68"/>
      <c r="J166" s="68"/>
      <c r="K166" s="68"/>
      <c r="L166" s="68"/>
      <c r="M166" s="68"/>
      <c r="N166" s="68"/>
      <c r="O166" s="68"/>
      <c r="P166" s="68"/>
      <c r="Q166" s="68"/>
      <c r="R166" s="68"/>
      <c r="S166" s="68"/>
      <c r="T166" s="70"/>
      <c r="AC166" s="68"/>
      <c r="AD166" s="70"/>
      <c r="AM166" s="68"/>
      <c r="AN166" s="70"/>
      <c r="AU166" s="68"/>
      <c r="AV166" s="70"/>
      <c r="BB166" s="68"/>
      <c r="BC166" s="70"/>
      <c r="BD166" s="68"/>
      <c r="BE166" s="68"/>
      <c r="BF166" s="68"/>
      <c r="BG166" s="68"/>
      <c r="BH166" s="68"/>
      <c r="BI166" s="68"/>
      <c r="BJ166" s="70"/>
      <c r="BM166" s="68"/>
      <c r="BN166" s="70"/>
      <c r="BT166" s="68"/>
      <c r="BU166" s="70"/>
      <c r="BZ166" s="10"/>
      <c r="CF166" s="10"/>
      <c r="CI166" s="389"/>
      <c r="CJ166" s="389"/>
      <c r="CK166" s="68"/>
      <c r="CL166" s="70"/>
      <c r="CO166" s="10"/>
      <c r="CU166" s="10"/>
      <c r="DA166" s="10"/>
      <c r="DB166" s="70"/>
      <c r="DC166" s="70"/>
      <c r="DF166" s="68"/>
      <c r="DG166" s="70"/>
      <c r="DH166" s="68"/>
      <c r="DI166" s="386"/>
      <c r="DJ166" s="425"/>
      <c r="DL166" s="68"/>
      <c r="DM166" s="70"/>
      <c r="DQ166" s="68"/>
      <c r="DR166" s="70"/>
      <c r="DS166" s="338"/>
      <c r="DT166" s="338"/>
      <c r="DU166" s="338"/>
      <c r="DW166" s="338"/>
      <c r="DX166" s="338"/>
      <c r="DY166" s="338"/>
      <c r="EA166" s="338"/>
      <c r="EB166" s="338"/>
      <c r="EC166" s="338"/>
      <c r="EE166" s="338"/>
      <c r="EF166" s="338"/>
      <c r="EG166" s="338"/>
      <c r="EI166" s="336"/>
      <c r="EJ166" s="336"/>
      <c r="EK166" s="336"/>
      <c r="EL166" s="336"/>
      <c r="EM166" s="336"/>
      <c r="EN166" s="336"/>
      <c r="EO166" s="337"/>
      <c r="EP166" s="342"/>
      <c r="EQ166" s="336"/>
      <c r="ER166" s="342"/>
      <c r="ES166" s="336"/>
      <c r="ET166" s="342"/>
      <c r="EU166" s="336"/>
      <c r="EV166" s="342"/>
      <c r="EW166" s="336"/>
      <c r="EX166" s="342"/>
      <c r="EY166" s="342"/>
      <c r="EZ166" s="342"/>
      <c r="FA166" s="337"/>
      <c r="FE166" s="338"/>
      <c r="FH166" s="338"/>
      <c r="FI166" s="338"/>
      <c r="FJ166" s="338"/>
      <c r="FK166" s="338"/>
      <c r="FL166" s="338"/>
      <c r="FM166" s="337"/>
      <c r="FN166" s="336"/>
      <c r="FO166" s="336"/>
      <c r="FP166" s="336"/>
      <c r="FQ166" s="336"/>
      <c r="FR166" s="336"/>
      <c r="FS166" s="336"/>
      <c r="FT166" s="336"/>
      <c r="FU166" s="336"/>
      <c r="FV166" s="336"/>
      <c r="FW166" s="337"/>
      <c r="FX166" s="532"/>
      <c r="FY166" s="341"/>
      <c r="FZ166" s="341"/>
      <c r="GA166" s="336"/>
      <c r="GB166" s="341"/>
      <c r="GC166" s="341"/>
      <c r="GD166" s="341"/>
      <c r="GE166" s="336"/>
      <c r="GF166" s="336"/>
      <c r="GG166" s="336"/>
      <c r="GH166" s="336"/>
      <c r="GI166" s="336"/>
      <c r="GJ166" s="337"/>
      <c r="GM166" s="338"/>
      <c r="GN166" s="338"/>
      <c r="GO166" s="338"/>
      <c r="GS166" s="338"/>
      <c r="GT166" s="338"/>
      <c r="GU166" s="338"/>
      <c r="GY166" s="338"/>
      <c r="GZ166" s="338"/>
      <c r="HA166" s="338"/>
      <c r="HE166" s="338"/>
      <c r="HF166" s="338"/>
      <c r="HG166" s="338"/>
      <c r="HN166" s="68"/>
      <c r="HO166" s="68"/>
      <c r="HP166" s="68"/>
      <c r="HQ166" s="336"/>
      <c r="HR166" s="68"/>
      <c r="HS166" s="68"/>
      <c r="HT166" s="10"/>
      <c r="HW166" s="338"/>
      <c r="HX166" s="338"/>
      <c r="HY166" s="338"/>
      <c r="IC166" s="338"/>
      <c r="ID166" s="338"/>
      <c r="IE166" s="338"/>
      <c r="II166" s="338"/>
      <c r="IJ166" s="338"/>
      <c r="IK166" s="338"/>
      <c r="IO166" s="338"/>
      <c r="IP166" s="338"/>
      <c r="IQ166" s="338"/>
      <c r="IX166" s="68"/>
      <c r="IY166" s="68"/>
      <c r="IZ166" s="68"/>
      <c r="JA166" s="68"/>
      <c r="JB166" s="68"/>
      <c r="JC166" s="68"/>
      <c r="JD166" s="10"/>
      <c r="JG166" s="338"/>
      <c r="JH166" s="338"/>
      <c r="JI166" s="338"/>
      <c r="JM166" s="338"/>
      <c r="JN166" s="338"/>
      <c r="JQ166" s="338"/>
      <c r="JR166" s="338"/>
      <c r="JS166" s="338"/>
      <c r="JW166" s="358"/>
      <c r="JX166" s="336"/>
      <c r="JY166" s="336"/>
      <c r="JZ166" s="336"/>
      <c r="KA166" s="336"/>
      <c r="KB166" s="336"/>
      <c r="KC166" s="336"/>
      <c r="KD166" s="336"/>
      <c r="KE166" s="336"/>
      <c r="KF166" s="336"/>
      <c r="KG166" s="337"/>
      <c r="KH166" s="338"/>
      <c r="KI166" s="338"/>
      <c r="KJ166" s="338"/>
      <c r="KK166" s="338"/>
      <c r="KL166" s="338"/>
      <c r="KM166" s="338"/>
      <c r="KN166" s="338"/>
      <c r="KO166" s="338"/>
      <c r="KP166" s="338"/>
      <c r="KQ166" s="338"/>
      <c r="KR166" s="338"/>
      <c r="KS166" s="338"/>
      <c r="KT166" s="338"/>
      <c r="KU166" s="338"/>
      <c r="KV166" s="338"/>
      <c r="KW166" s="337"/>
      <c r="KX166" s="336"/>
      <c r="KY166" s="336"/>
      <c r="KZ166" s="336"/>
      <c r="LA166" s="336"/>
      <c r="LB166" s="336"/>
      <c r="LC166" s="336"/>
      <c r="LD166" s="336"/>
      <c r="LE166" s="336"/>
      <c r="LF166" s="336"/>
      <c r="LG166" s="336"/>
      <c r="LH166" s="336"/>
      <c r="LI166" s="336"/>
      <c r="LJ166" s="336"/>
      <c r="LK166" s="336"/>
      <c r="LL166" s="336"/>
      <c r="LM166" s="336"/>
      <c r="LN166" s="336"/>
      <c r="LO166" s="336"/>
      <c r="LP166" s="336"/>
      <c r="LQ166" s="337"/>
      <c r="MN166" s="10"/>
      <c r="OA166" s="10"/>
    </row>
    <row r="167" spans="1:391" s="370" customFormat="1" x14ac:dyDescent="0.25">
      <c r="A167" s="68"/>
      <c r="B167" s="10"/>
      <c r="C167" s="68"/>
      <c r="D167" s="68"/>
      <c r="E167" s="68"/>
      <c r="F167" s="68"/>
      <c r="G167" s="68"/>
      <c r="H167" s="68"/>
      <c r="I167" s="68"/>
      <c r="J167" s="68"/>
      <c r="K167" s="68"/>
      <c r="L167" s="68"/>
      <c r="M167" s="68"/>
      <c r="N167" s="68"/>
      <c r="O167" s="68"/>
      <c r="P167" s="68"/>
      <c r="Q167" s="68"/>
      <c r="R167" s="68"/>
      <c r="S167" s="68"/>
      <c r="T167" s="70"/>
      <c r="AC167" s="68"/>
      <c r="AD167" s="70"/>
      <c r="AM167" s="68"/>
      <c r="AN167" s="70"/>
      <c r="AU167" s="68"/>
      <c r="AV167" s="70"/>
      <c r="BB167" s="68"/>
      <c r="BC167" s="70"/>
      <c r="BD167" s="68"/>
      <c r="BE167" s="68"/>
      <c r="BF167" s="68"/>
      <c r="BG167" s="68"/>
      <c r="BH167" s="68"/>
      <c r="BI167" s="68"/>
      <c r="BJ167" s="70"/>
      <c r="BM167" s="68"/>
      <c r="BN167" s="70"/>
      <c r="BT167" s="68"/>
      <c r="BU167" s="70"/>
      <c r="BZ167" s="10"/>
      <c r="CF167" s="10"/>
      <c r="CI167" s="389"/>
      <c r="CJ167" s="389"/>
      <c r="CK167" s="68"/>
      <c r="CL167" s="70"/>
      <c r="CO167" s="10"/>
      <c r="CU167" s="10"/>
      <c r="DA167" s="10"/>
      <c r="DB167" s="70"/>
      <c r="DC167" s="70"/>
      <c r="DF167" s="68"/>
      <c r="DG167" s="70"/>
      <c r="DH167" s="68"/>
      <c r="DI167" s="386"/>
      <c r="DJ167" s="425"/>
      <c r="DL167" s="68"/>
      <c r="DM167" s="70"/>
      <c r="DQ167" s="68"/>
      <c r="DR167" s="70"/>
      <c r="DS167" s="338"/>
      <c r="DT167" s="338"/>
      <c r="DU167" s="338"/>
      <c r="DW167" s="338"/>
      <c r="DX167" s="338"/>
      <c r="DY167" s="338"/>
      <c r="EA167" s="338"/>
      <c r="EB167" s="338"/>
      <c r="EC167" s="338"/>
      <c r="EE167" s="338"/>
      <c r="EF167" s="338"/>
      <c r="EG167" s="338"/>
      <c r="EI167" s="336"/>
      <c r="EJ167" s="336"/>
      <c r="EK167" s="336"/>
      <c r="EL167" s="336"/>
      <c r="EM167" s="336"/>
      <c r="EN167" s="336"/>
      <c r="EO167" s="337"/>
      <c r="EP167" s="342"/>
      <c r="EQ167" s="336"/>
      <c r="ER167" s="342"/>
      <c r="ES167" s="336"/>
      <c r="ET167" s="342"/>
      <c r="EU167" s="336"/>
      <c r="EV167" s="342"/>
      <c r="EW167" s="336"/>
      <c r="EX167" s="342"/>
      <c r="EY167" s="342"/>
      <c r="EZ167" s="342"/>
      <c r="FA167" s="337"/>
      <c r="FE167" s="338"/>
      <c r="FH167" s="338"/>
      <c r="FI167" s="338"/>
      <c r="FJ167" s="338"/>
      <c r="FK167" s="338"/>
      <c r="FL167" s="338"/>
      <c r="FM167" s="337"/>
      <c r="FN167" s="336"/>
      <c r="FO167" s="336"/>
      <c r="FP167" s="336"/>
      <c r="FQ167" s="336"/>
      <c r="FR167" s="336"/>
      <c r="FS167" s="336"/>
      <c r="FT167" s="336"/>
      <c r="FU167" s="336"/>
      <c r="FV167" s="336"/>
      <c r="FW167" s="337"/>
      <c r="FX167" s="532"/>
      <c r="FY167" s="341"/>
      <c r="FZ167" s="341"/>
      <c r="GA167" s="336"/>
      <c r="GB167" s="341"/>
      <c r="GC167" s="341"/>
      <c r="GD167" s="341"/>
      <c r="GE167" s="336"/>
      <c r="GF167" s="336"/>
      <c r="GG167" s="336"/>
      <c r="GH167" s="336"/>
      <c r="GI167" s="336"/>
      <c r="GJ167" s="337"/>
      <c r="GM167" s="338"/>
      <c r="GN167" s="338"/>
      <c r="GO167" s="338"/>
      <c r="GS167" s="338"/>
      <c r="GT167" s="338"/>
      <c r="GU167" s="338"/>
      <c r="GY167" s="338"/>
      <c r="GZ167" s="338"/>
      <c r="HA167" s="338"/>
      <c r="HE167" s="338"/>
      <c r="HF167" s="338"/>
      <c r="HG167" s="338"/>
      <c r="HN167" s="68"/>
      <c r="HO167" s="68"/>
      <c r="HP167" s="68"/>
      <c r="HQ167" s="336"/>
      <c r="HR167" s="68"/>
      <c r="HS167" s="68"/>
      <c r="HT167" s="10"/>
      <c r="HW167" s="338"/>
      <c r="HX167" s="338"/>
      <c r="HY167" s="338"/>
      <c r="IC167" s="338"/>
      <c r="ID167" s="338"/>
      <c r="IE167" s="338"/>
      <c r="II167" s="338"/>
      <c r="IJ167" s="338"/>
      <c r="IK167" s="338"/>
      <c r="IO167" s="338"/>
      <c r="IP167" s="338"/>
      <c r="IQ167" s="338"/>
      <c r="IX167" s="68"/>
      <c r="IY167" s="68"/>
      <c r="IZ167" s="68"/>
      <c r="JA167" s="68"/>
      <c r="JB167" s="68"/>
      <c r="JC167" s="68"/>
      <c r="JD167" s="10"/>
      <c r="JG167" s="338"/>
      <c r="JH167" s="338"/>
      <c r="JI167" s="338"/>
      <c r="JM167" s="338"/>
      <c r="JN167" s="338"/>
      <c r="JQ167" s="338"/>
      <c r="JR167" s="338"/>
      <c r="JS167" s="338"/>
      <c r="JW167" s="358"/>
      <c r="JX167" s="336"/>
      <c r="JY167" s="336"/>
      <c r="JZ167" s="336"/>
      <c r="KA167" s="336"/>
      <c r="KB167" s="336"/>
      <c r="KC167" s="336"/>
      <c r="KD167" s="336"/>
      <c r="KE167" s="336"/>
      <c r="KF167" s="336"/>
      <c r="KG167" s="337"/>
      <c r="KH167" s="338"/>
      <c r="KI167" s="338"/>
      <c r="KJ167" s="338"/>
      <c r="KK167" s="338"/>
      <c r="KL167" s="338"/>
      <c r="KM167" s="338"/>
      <c r="KN167" s="338"/>
      <c r="KO167" s="338"/>
      <c r="KP167" s="338"/>
      <c r="KQ167" s="338"/>
      <c r="KR167" s="338"/>
      <c r="KS167" s="338"/>
      <c r="KT167" s="338"/>
      <c r="KU167" s="338"/>
      <c r="KV167" s="338"/>
      <c r="KW167" s="337"/>
      <c r="KX167" s="336"/>
      <c r="KY167" s="336"/>
      <c r="KZ167" s="336"/>
      <c r="LA167" s="336"/>
      <c r="LB167" s="336"/>
      <c r="LC167" s="336"/>
      <c r="LD167" s="336"/>
      <c r="LE167" s="336"/>
      <c r="LF167" s="336"/>
      <c r="LG167" s="336"/>
      <c r="LH167" s="336"/>
      <c r="LI167" s="336"/>
      <c r="LJ167" s="336"/>
      <c r="LK167" s="336"/>
      <c r="LL167" s="336"/>
      <c r="LM167" s="336"/>
      <c r="LN167" s="336"/>
      <c r="LO167" s="336"/>
      <c r="LP167" s="336"/>
      <c r="LQ167" s="337"/>
      <c r="MN167" s="10"/>
      <c r="OA167" s="10"/>
    </row>
    <row r="168" spans="1:391" s="370" customFormat="1" x14ac:dyDescent="0.25">
      <c r="A168" s="68"/>
      <c r="B168" s="10"/>
      <c r="C168" s="68"/>
      <c r="D168" s="68"/>
      <c r="E168" s="68"/>
      <c r="F168" s="68"/>
      <c r="G168" s="68"/>
      <c r="H168" s="68"/>
      <c r="I168" s="68"/>
      <c r="J168" s="68"/>
      <c r="K168" s="68"/>
      <c r="L168" s="68"/>
      <c r="M168" s="68"/>
      <c r="N168" s="68"/>
      <c r="O168" s="68"/>
      <c r="P168" s="68"/>
      <c r="Q168" s="68"/>
      <c r="R168" s="68"/>
      <c r="S168" s="68"/>
      <c r="T168" s="70"/>
      <c r="AC168" s="68"/>
      <c r="AD168" s="70"/>
      <c r="AM168" s="68"/>
      <c r="AN168" s="70"/>
      <c r="AU168" s="68"/>
      <c r="AV168" s="70"/>
      <c r="BB168" s="68"/>
      <c r="BC168" s="70"/>
      <c r="BD168" s="68"/>
      <c r="BE168" s="68"/>
      <c r="BF168" s="68"/>
      <c r="BG168" s="68"/>
      <c r="BH168" s="68"/>
      <c r="BI168" s="68"/>
      <c r="BJ168" s="70"/>
      <c r="BM168" s="68"/>
      <c r="BN168" s="70"/>
      <c r="BT168" s="68"/>
      <c r="BU168" s="70"/>
      <c r="BZ168" s="10"/>
      <c r="CF168" s="10"/>
      <c r="CI168" s="389"/>
      <c r="CJ168" s="389"/>
      <c r="CK168" s="68"/>
      <c r="CL168" s="70"/>
      <c r="CO168" s="10"/>
      <c r="CU168" s="10"/>
      <c r="DA168" s="10"/>
      <c r="DB168" s="70"/>
      <c r="DC168" s="70"/>
      <c r="DF168" s="68"/>
      <c r="DG168" s="70"/>
      <c r="DH168" s="68"/>
      <c r="DI168" s="386"/>
      <c r="DJ168" s="425"/>
      <c r="DL168" s="68"/>
      <c r="DM168" s="70"/>
      <c r="DQ168" s="68"/>
      <c r="DR168" s="70"/>
      <c r="DS168" s="338"/>
      <c r="DT168" s="338"/>
      <c r="DU168" s="338"/>
      <c r="DW168" s="338"/>
      <c r="DX168" s="338"/>
      <c r="DY168" s="338"/>
      <c r="EA168" s="338"/>
      <c r="EB168" s="338"/>
      <c r="EC168" s="338"/>
      <c r="EE168" s="338"/>
      <c r="EF168" s="338"/>
      <c r="EG168" s="338"/>
      <c r="EI168" s="336"/>
      <c r="EJ168" s="336"/>
      <c r="EK168" s="336"/>
      <c r="EL168" s="336"/>
      <c r="EM168" s="336"/>
      <c r="EN168" s="336"/>
      <c r="EO168" s="337"/>
      <c r="EP168" s="342"/>
      <c r="EQ168" s="336"/>
      <c r="ER168" s="342"/>
      <c r="ES168" s="336"/>
      <c r="ET168" s="342"/>
      <c r="EU168" s="336"/>
      <c r="EV168" s="342"/>
      <c r="EW168" s="336"/>
      <c r="EX168" s="342"/>
      <c r="EY168" s="342"/>
      <c r="EZ168" s="342"/>
      <c r="FA168" s="337"/>
      <c r="FE168" s="338"/>
      <c r="FH168" s="338"/>
      <c r="FI168" s="338"/>
      <c r="FJ168" s="338"/>
      <c r="FK168" s="338"/>
      <c r="FL168" s="338"/>
      <c r="FM168" s="337"/>
      <c r="FN168" s="336"/>
      <c r="FO168" s="336"/>
      <c r="FP168" s="336"/>
      <c r="FQ168" s="336"/>
      <c r="FR168" s="336"/>
      <c r="FS168" s="336"/>
      <c r="FT168" s="336"/>
      <c r="FU168" s="336"/>
      <c r="FV168" s="336"/>
      <c r="FW168" s="337"/>
      <c r="FX168" s="532"/>
      <c r="FY168" s="341"/>
      <c r="FZ168" s="341"/>
      <c r="GA168" s="336"/>
      <c r="GB168" s="341"/>
      <c r="GC168" s="341"/>
      <c r="GD168" s="341"/>
      <c r="GE168" s="336"/>
      <c r="GF168" s="336"/>
      <c r="GG168" s="336"/>
      <c r="GH168" s="336"/>
      <c r="GI168" s="336"/>
      <c r="GJ168" s="337"/>
      <c r="GM168" s="338"/>
      <c r="GN168" s="338"/>
      <c r="GO168" s="338"/>
      <c r="GS168" s="338"/>
      <c r="GT168" s="338"/>
      <c r="GU168" s="338"/>
      <c r="GY168" s="338"/>
      <c r="GZ168" s="338"/>
      <c r="HA168" s="338"/>
      <c r="HE168" s="338"/>
      <c r="HF168" s="338"/>
      <c r="HG168" s="338"/>
      <c r="HN168" s="68"/>
      <c r="HO168" s="68"/>
      <c r="HP168" s="68"/>
      <c r="HQ168" s="336"/>
      <c r="HR168" s="68"/>
      <c r="HS168" s="68"/>
      <c r="HT168" s="10"/>
      <c r="HW168" s="338"/>
      <c r="HX168" s="338"/>
      <c r="HY168" s="338"/>
      <c r="IC168" s="338"/>
      <c r="ID168" s="338"/>
      <c r="IE168" s="338"/>
      <c r="II168" s="338"/>
      <c r="IJ168" s="338"/>
      <c r="IK168" s="338"/>
      <c r="IO168" s="338"/>
      <c r="IP168" s="338"/>
      <c r="IQ168" s="338"/>
      <c r="IX168" s="68"/>
      <c r="IY168" s="68"/>
      <c r="IZ168" s="68"/>
      <c r="JA168" s="68"/>
      <c r="JB168" s="68"/>
      <c r="JC168" s="68"/>
      <c r="JD168" s="10"/>
      <c r="JG168" s="338"/>
      <c r="JH168" s="338"/>
      <c r="JI168" s="338"/>
      <c r="JM168" s="338"/>
      <c r="JN168" s="338"/>
      <c r="JQ168" s="338"/>
      <c r="JR168" s="338"/>
      <c r="JS168" s="338"/>
      <c r="JW168" s="358"/>
      <c r="JX168" s="336"/>
      <c r="JY168" s="336"/>
      <c r="JZ168" s="336"/>
      <c r="KA168" s="336"/>
      <c r="KB168" s="336"/>
      <c r="KC168" s="336"/>
      <c r="KD168" s="336"/>
      <c r="KE168" s="336"/>
      <c r="KF168" s="336"/>
      <c r="KG168" s="337"/>
      <c r="KH168" s="338"/>
      <c r="KI168" s="338"/>
      <c r="KJ168" s="338"/>
      <c r="KK168" s="338"/>
      <c r="KL168" s="338"/>
      <c r="KM168" s="338"/>
      <c r="KN168" s="338"/>
      <c r="KO168" s="338"/>
      <c r="KP168" s="338"/>
      <c r="KQ168" s="338"/>
      <c r="KR168" s="338"/>
      <c r="KS168" s="338"/>
      <c r="KT168" s="338"/>
      <c r="KU168" s="338"/>
      <c r="KV168" s="338"/>
      <c r="KW168" s="337"/>
      <c r="KX168" s="336"/>
      <c r="KY168" s="336"/>
      <c r="KZ168" s="336"/>
      <c r="LA168" s="336"/>
      <c r="LB168" s="336"/>
      <c r="LC168" s="336"/>
      <c r="LD168" s="336"/>
      <c r="LE168" s="336"/>
      <c r="LF168" s="336"/>
      <c r="LG168" s="336"/>
      <c r="LH168" s="336"/>
      <c r="LI168" s="336"/>
      <c r="LJ168" s="336"/>
      <c r="LK168" s="336"/>
      <c r="LL168" s="336"/>
      <c r="LM168" s="336"/>
      <c r="LN168" s="336"/>
      <c r="LO168" s="336"/>
      <c r="LP168" s="336"/>
      <c r="LQ168" s="337"/>
      <c r="MN168" s="10"/>
      <c r="OA168" s="10"/>
    </row>
    <row r="169" spans="1:391" s="370" customFormat="1" x14ac:dyDescent="0.25">
      <c r="A169" s="68"/>
      <c r="B169" s="10"/>
      <c r="C169" s="68"/>
      <c r="D169" s="68"/>
      <c r="E169" s="68"/>
      <c r="F169" s="68"/>
      <c r="G169" s="68"/>
      <c r="H169" s="68"/>
      <c r="I169" s="68"/>
      <c r="J169" s="68"/>
      <c r="K169" s="68"/>
      <c r="L169" s="68"/>
      <c r="M169" s="68"/>
      <c r="N169" s="68"/>
      <c r="O169" s="68"/>
      <c r="P169" s="68"/>
      <c r="Q169" s="68"/>
      <c r="R169" s="68"/>
      <c r="S169" s="68"/>
      <c r="T169" s="70"/>
      <c r="AC169" s="68"/>
      <c r="AD169" s="70"/>
      <c r="AM169" s="68"/>
      <c r="AN169" s="70"/>
      <c r="AU169" s="68"/>
      <c r="AV169" s="70"/>
      <c r="BB169" s="68"/>
      <c r="BC169" s="70"/>
      <c r="BD169" s="68"/>
      <c r="BE169" s="68"/>
      <c r="BF169" s="68"/>
      <c r="BG169" s="68"/>
      <c r="BH169" s="68"/>
      <c r="BI169" s="68"/>
      <c r="BJ169" s="70"/>
      <c r="BM169" s="68"/>
      <c r="BN169" s="70"/>
      <c r="BT169" s="68"/>
      <c r="BU169" s="70"/>
      <c r="BZ169" s="10"/>
      <c r="CF169" s="10"/>
      <c r="CI169" s="389"/>
      <c r="CJ169" s="389"/>
      <c r="CK169" s="68"/>
      <c r="CL169" s="70"/>
      <c r="CO169" s="10"/>
      <c r="CU169" s="10"/>
      <c r="DA169" s="10"/>
      <c r="DB169" s="70"/>
      <c r="DC169" s="70"/>
      <c r="DF169" s="68"/>
      <c r="DG169" s="70"/>
      <c r="DH169" s="68"/>
      <c r="DI169" s="386"/>
      <c r="DJ169" s="425"/>
      <c r="DL169" s="68"/>
      <c r="DM169" s="70"/>
      <c r="DQ169" s="68"/>
      <c r="DR169" s="70"/>
      <c r="DS169" s="338"/>
      <c r="DT169" s="338"/>
      <c r="DU169" s="338"/>
      <c r="DW169" s="338"/>
      <c r="DX169" s="338"/>
      <c r="DY169" s="338"/>
      <c r="EA169" s="338"/>
      <c r="EB169" s="338"/>
      <c r="EC169" s="338"/>
      <c r="EE169" s="338"/>
      <c r="EF169" s="338"/>
      <c r="EG169" s="338"/>
      <c r="EI169" s="336"/>
      <c r="EJ169" s="336"/>
      <c r="EK169" s="336"/>
      <c r="EL169" s="336"/>
      <c r="EM169" s="336"/>
      <c r="EN169" s="336"/>
      <c r="EO169" s="337"/>
      <c r="EP169" s="342"/>
      <c r="EQ169" s="336"/>
      <c r="ER169" s="342"/>
      <c r="ES169" s="336"/>
      <c r="ET169" s="342"/>
      <c r="EU169" s="336"/>
      <c r="EV169" s="342"/>
      <c r="EW169" s="336"/>
      <c r="EX169" s="342"/>
      <c r="EY169" s="342"/>
      <c r="EZ169" s="342"/>
      <c r="FA169" s="337"/>
      <c r="FE169" s="338"/>
      <c r="FH169" s="338"/>
      <c r="FI169" s="338"/>
      <c r="FJ169" s="338"/>
      <c r="FK169" s="338"/>
      <c r="FL169" s="338"/>
      <c r="FM169" s="337"/>
      <c r="FN169" s="336"/>
      <c r="FO169" s="336"/>
      <c r="FP169" s="336"/>
      <c r="FQ169" s="336"/>
      <c r="FR169" s="336"/>
      <c r="FS169" s="336"/>
      <c r="FT169" s="336"/>
      <c r="FU169" s="336"/>
      <c r="FV169" s="336"/>
      <c r="FW169" s="337"/>
      <c r="FX169" s="532"/>
      <c r="FY169" s="341"/>
      <c r="FZ169" s="341"/>
      <c r="GA169" s="336"/>
      <c r="GB169" s="341"/>
      <c r="GC169" s="341"/>
      <c r="GD169" s="341"/>
      <c r="GE169" s="336"/>
      <c r="GF169" s="336"/>
      <c r="GG169" s="336"/>
      <c r="GH169" s="336"/>
      <c r="GI169" s="336"/>
      <c r="GJ169" s="337"/>
      <c r="GM169" s="338"/>
      <c r="GN169" s="338"/>
      <c r="GO169" s="338"/>
      <c r="GS169" s="338"/>
      <c r="GT169" s="338"/>
      <c r="GU169" s="338"/>
      <c r="GY169" s="338"/>
      <c r="GZ169" s="338"/>
      <c r="HA169" s="338"/>
      <c r="HE169" s="338"/>
      <c r="HF169" s="338"/>
      <c r="HG169" s="338"/>
      <c r="HN169" s="68"/>
      <c r="HO169" s="68"/>
      <c r="HP169" s="68"/>
      <c r="HQ169" s="336"/>
      <c r="HR169" s="68"/>
      <c r="HS169" s="68"/>
      <c r="HT169" s="10"/>
      <c r="HW169" s="338"/>
      <c r="HX169" s="338"/>
      <c r="HY169" s="338"/>
      <c r="IC169" s="338"/>
      <c r="ID169" s="338"/>
      <c r="IE169" s="338"/>
      <c r="II169" s="338"/>
      <c r="IJ169" s="338"/>
      <c r="IK169" s="338"/>
      <c r="IO169" s="338"/>
      <c r="IP169" s="338"/>
      <c r="IQ169" s="338"/>
      <c r="IX169" s="68"/>
      <c r="IY169" s="68"/>
      <c r="IZ169" s="68"/>
      <c r="JA169" s="68"/>
      <c r="JB169" s="68"/>
      <c r="JC169" s="68"/>
      <c r="JD169" s="10"/>
      <c r="JG169" s="338"/>
      <c r="JH169" s="338"/>
      <c r="JI169" s="338"/>
      <c r="JM169" s="338"/>
      <c r="JN169" s="338"/>
      <c r="JQ169" s="338"/>
      <c r="JR169" s="338"/>
      <c r="JS169" s="338"/>
      <c r="JW169" s="358"/>
      <c r="JX169" s="336"/>
      <c r="JY169" s="336"/>
      <c r="JZ169" s="336"/>
      <c r="KA169" s="336"/>
      <c r="KB169" s="336"/>
      <c r="KC169" s="336"/>
      <c r="KD169" s="336"/>
      <c r="KE169" s="336"/>
      <c r="KF169" s="336"/>
      <c r="KG169" s="337"/>
      <c r="KH169" s="338"/>
      <c r="KI169" s="338"/>
      <c r="KJ169" s="338"/>
      <c r="KK169" s="338"/>
      <c r="KL169" s="338"/>
      <c r="KM169" s="338"/>
      <c r="KN169" s="338"/>
      <c r="KO169" s="338"/>
      <c r="KP169" s="338"/>
      <c r="KQ169" s="338"/>
      <c r="KR169" s="338"/>
      <c r="KS169" s="338"/>
      <c r="KT169" s="338"/>
      <c r="KU169" s="338"/>
      <c r="KV169" s="338"/>
      <c r="KW169" s="337"/>
      <c r="KX169" s="336"/>
      <c r="KY169" s="336"/>
      <c r="KZ169" s="336"/>
      <c r="LA169" s="336"/>
      <c r="LB169" s="336"/>
      <c r="LC169" s="336"/>
      <c r="LD169" s="336"/>
      <c r="LE169" s="336"/>
      <c r="LF169" s="336"/>
      <c r="LG169" s="336"/>
      <c r="LH169" s="336"/>
      <c r="LI169" s="336"/>
      <c r="LJ169" s="336"/>
      <c r="LK169" s="336"/>
      <c r="LL169" s="336"/>
      <c r="LM169" s="336"/>
      <c r="LN169" s="336"/>
      <c r="LO169" s="336"/>
      <c r="LP169" s="336"/>
      <c r="LQ169" s="337"/>
      <c r="MN169" s="10"/>
      <c r="OA169" s="10"/>
    </row>
    <row r="170" spans="1:391" s="370" customFormat="1" x14ac:dyDescent="0.25">
      <c r="A170" s="68"/>
      <c r="B170" s="10"/>
      <c r="C170" s="68"/>
      <c r="D170" s="68"/>
      <c r="E170" s="68"/>
      <c r="F170" s="68"/>
      <c r="G170" s="68"/>
      <c r="H170" s="68"/>
      <c r="I170" s="68"/>
      <c r="J170" s="68"/>
      <c r="K170" s="68"/>
      <c r="L170" s="68"/>
      <c r="M170" s="68"/>
      <c r="N170" s="68"/>
      <c r="O170" s="68"/>
      <c r="P170" s="68"/>
      <c r="Q170" s="68"/>
      <c r="R170" s="68"/>
      <c r="S170" s="68"/>
      <c r="T170" s="70"/>
      <c r="AC170" s="68"/>
      <c r="AD170" s="70"/>
      <c r="AM170" s="68"/>
      <c r="AN170" s="70"/>
      <c r="AU170" s="68"/>
      <c r="AV170" s="70"/>
      <c r="BB170" s="68"/>
      <c r="BC170" s="70"/>
      <c r="BD170" s="68"/>
      <c r="BE170" s="68"/>
      <c r="BF170" s="68"/>
      <c r="BG170" s="68"/>
      <c r="BH170" s="68"/>
      <c r="BI170" s="68"/>
      <c r="BJ170" s="70"/>
      <c r="BM170" s="68"/>
      <c r="BN170" s="70"/>
      <c r="BT170" s="68"/>
      <c r="BU170" s="70"/>
      <c r="BZ170" s="10"/>
      <c r="CF170" s="10"/>
      <c r="CI170" s="389"/>
      <c r="CJ170" s="389"/>
      <c r="CK170" s="68"/>
      <c r="CL170" s="70"/>
      <c r="CO170" s="10"/>
      <c r="CU170" s="10"/>
      <c r="DA170" s="10"/>
      <c r="DB170" s="70"/>
      <c r="DC170" s="70"/>
      <c r="DF170" s="68"/>
      <c r="DG170" s="70"/>
      <c r="DH170" s="68"/>
      <c r="DI170" s="386"/>
      <c r="DJ170" s="425"/>
      <c r="DL170" s="68"/>
      <c r="DM170" s="70"/>
      <c r="DQ170" s="68"/>
      <c r="DR170" s="70"/>
      <c r="DS170" s="338"/>
      <c r="DT170" s="338"/>
      <c r="DU170" s="338"/>
      <c r="DW170" s="338"/>
      <c r="DX170" s="338"/>
      <c r="DY170" s="338"/>
      <c r="EA170" s="338"/>
      <c r="EB170" s="338"/>
      <c r="EC170" s="338"/>
      <c r="EE170" s="338"/>
      <c r="EF170" s="338"/>
      <c r="EG170" s="338"/>
      <c r="EI170" s="336"/>
      <c r="EJ170" s="336"/>
      <c r="EK170" s="336"/>
      <c r="EL170" s="336"/>
      <c r="EM170" s="336"/>
      <c r="EN170" s="336"/>
      <c r="EO170" s="337"/>
      <c r="EP170" s="342"/>
      <c r="EQ170" s="336"/>
      <c r="ER170" s="342"/>
      <c r="ES170" s="336"/>
      <c r="ET170" s="342"/>
      <c r="EU170" s="336"/>
      <c r="EV170" s="342"/>
      <c r="EW170" s="336"/>
      <c r="EX170" s="342"/>
      <c r="EY170" s="342"/>
      <c r="EZ170" s="342"/>
      <c r="FA170" s="337"/>
      <c r="FE170" s="338"/>
      <c r="FH170" s="338"/>
      <c r="FI170" s="338"/>
      <c r="FJ170" s="338"/>
      <c r="FK170" s="338"/>
      <c r="FL170" s="338"/>
      <c r="FM170" s="337"/>
      <c r="FN170" s="336"/>
      <c r="FO170" s="336"/>
      <c r="FP170" s="336"/>
      <c r="FQ170" s="336"/>
      <c r="FR170" s="336"/>
      <c r="FS170" s="336"/>
      <c r="FT170" s="336"/>
      <c r="FU170" s="336"/>
      <c r="FV170" s="336"/>
      <c r="FW170" s="337"/>
      <c r="FX170" s="532"/>
      <c r="FY170" s="341"/>
      <c r="FZ170" s="341"/>
      <c r="GA170" s="336"/>
      <c r="GB170" s="341"/>
      <c r="GC170" s="341"/>
      <c r="GD170" s="341"/>
      <c r="GE170" s="336"/>
      <c r="GF170" s="336"/>
      <c r="GG170" s="336"/>
      <c r="GH170" s="336"/>
      <c r="GI170" s="336"/>
      <c r="GJ170" s="337"/>
      <c r="GM170" s="338"/>
      <c r="GN170" s="338"/>
      <c r="GO170" s="338"/>
      <c r="GS170" s="338"/>
      <c r="GT170" s="338"/>
      <c r="GU170" s="338"/>
      <c r="GY170" s="338"/>
      <c r="GZ170" s="338"/>
      <c r="HA170" s="338"/>
      <c r="HE170" s="338"/>
      <c r="HF170" s="338"/>
      <c r="HG170" s="338"/>
      <c r="HN170" s="68"/>
      <c r="HO170" s="68"/>
      <c r="HP170" s="68"/>
      <c r="HQ170" s="336"/>
      <c r="HR170" s="68"/>
      <c r="HS170" s="68"/>
      <c r="HT170" s="10"/>
      <c r="HW170" s="338"/>
      <c r="HX170" s="338"/>
      <c r="HY170" s="338"/>
      <c r="IC170" s="338"/>
      <c r="ID170" s="338"/>
      <c r="IE170" s="338"/>
      <c r="II170" s="338"/>
      <c r="IJ170" s="338"/>
      <c r="IK170" s="338"/>
      <c r="IO170" s="338"/>
      <c r="IP170" s="338"/>
      <c r="IQ170" s="338"/>
      <c r="IX170" s="68"/>
      <c r="IY170" s="68"/>
      <c r="IZ170" s="68"/>
      <c r="JA170" s="68"/>
      <c r="JB170" s="68"/>
      <c r="JC170" s="68"/>
      <c r="JD170" s="10"/>
      <c r="JG170" s="338"/>
      <c r="JH170" s="338"/>
      <c r="JI170" s="338"/>
      <c r="JM170" s="338"/>
      <c r="JN170" s="338"/>
      <c r="JQ170" s="338"/>
      <c r="JR170" s="338"/>
      <c r="JS170" s="338"/>
      <c r="JW170" s="358"/>
      <c r="JX170" s="336"/>
      <c r="JY170" s="336"/>
      <c r="JZ170" s="336"/>
      <c r="KA170" s="336"/>
      <c r="KB170" s="336"/>
      <c r="KC170" s="336"/>
      <c r="KD170" s="336"/>
      <c r="KE170" s="336"/>
      <c r="KF170" s="336"/>
      <c r="KG170" s="337"/>
      <c r="KH170" s="338"/>
      <c r="KI170" s="338"/>
      <c r="KJ170" s="338"/>
      <c r="KK170" s="338"/>
      <c r="KL170" s="338"/>
      <c r="KM170" s="338"/>
      <c r="KN170" s="338"/>
      <c r="KO170" s="338"/>
      <c r="KP170" s="338"/>
      <c r="KQ170" s="338"/>
      <c r="KR170" s="338"/>
      <c r="KS170" s="338"/>
      <c r="KT170" s="338"/>
      <c r="KU170" s="338"/>
      <c r="KV170" s="338"/>
      <c r="KW170" s="337"/>
      <c r="KX170" s="336"/>
      <c r="KY170" s="336"/>
      <c r="KZ170" s="336"/>
      <c r="LA170" s="336"/>
      <c r="LB170" s="336"/>
      <c r="LC170" s="336"/>
      <c r="LD170" s="336"/>
      <c r="LE170" s="336"/>
      <c r="LF170" s="336"/>
      <c r="LG170" s="336"/>
      <c r="LH170" s="336"/>
      <c r="LI170" s="336"/>
      <c r="LJ170" s="336"/>
      <c r="LK170" s="336"/>
      <c r="LL170" s="336"/>
      <c r="LM170" s="336"/>
      <c r="LN170" s="336"/>
      <c r="LO170" s="336"/>
      <c r="LP170" s="336"/>
      <c r="LQ170" s="337"/>
      <c r="MN170" s="10"/>
      <c r="OA170" s="10"/>
    </row>
    <row r="171" spans="1:391" s="370" customFormat="1" x14ac:dyDescent="0.25">
      <c r="A171" s="68"/>
      <c r="B171" s="10"/>
      <c r="C171" s="68"/>
      <c r="D171" s="68"/>
      <c r="E171" s="68"/>
      <c r="F171" s="68"/>
      <c r="G171" s="68"/>
      <c r="H171" s="68"/>
      <c r="I171" s="68"/>
      <c r="J171" s="68"/>
      <c r="K171" s="68"/>
      <c r="L171" s="68"/>
      <c r="M171" s="68"/>
      <c r="N171" s="68"/>
      <c r="O171" s="68"/>
      <c r="P171" s="68"/>
      <c r="Q171" s="68"/>
      <c r="R171" s="68"/>
      <c r="S171" s="68"/>
      <c r="T171" s="70"/>
      <c r="AC171" s="68"/>
      <c r="AD171" s="70"/>
      <c r="AM171" s="68"/>
      <c r="AN171" s="70"/>
      <c r="AU171" s="68"/>
      <c r="AV171" s="70"/>
      <c r="BB171" s="68"/>
      <c r="BC171" s="70"/>
      <c r="BD171" s="68"/>
      <c r="BE171" s="68"/>
      <c r="BF171" s="68"/>
      <c r="BG171" s="68"/>
      <c r="BH171" s="68"/>
      <c r="BI171" s="68"/>
      <c r="BJ171" s="70"/>
      <c r="BM171" s="68"/>
      <c r="BN171" s="70"/>
      <c r="BT171" s="68"/>
      <c r="BU171" s="70"/>
      <c r="BZ171" s="10"/>
      <c r="CF171" s="10"/>
      <c r="CI171" s="389"/>
      <c r="CJ171" s="389"/>
      <c r="CK171" s="68"/>
      <c r="CL171" s="70"/>
      <c r="CO171" s="10"/>
      <c r="CU171" s="10"/>
      <c r="DA171" s="10"/>
      <c r="DB171" s="70"/>
      <c r="DC171" s="70"/>
      <c r="DF171" s="68"/>
      <c r="DG171" s="70"/>
      <c r="DH171" s="68"/>
      <c r="DI171" s="386"/>
      <c r="DJ171" s="425"/>
      <c r="DL171" s="68"/>
      <c r="DM171" s="70"/>
      <c r="DQ171" s="68"/>
      <c r="DR171" s="70"/>
      <c r="DS171" s="338"/>
      <c r="DT171" s="338"/>
      <c r="DU171" s="338"/>
      <c r="DW171" s="338"/>
      <c r="DX171" s="338"/>
      <c r="DY171" s="338"/>
      <c r="EA171" s="338"/>
      <c r="EB171" s="338"/>
      <c r="EC171" s="338"/>
      <c r="EE171" s="338"/>
      <c r="EF171" s="338"/>
      <c r="EG171" s="338"/>
      <c r="EI171" s="336"/>
      <c r="EJ171" s="336"/>
      <c r="EK171" s="336"/>
      <c r="EL171" s="336"/>
      <c r="EM171" s="336"/>
      <c r="EN171" s="336"/>
      <c r="EO171" s="337"/>
      <c r="EP171" s="342"/>
      <c r="EQ171" s="336"/>
      <c r="ER171" s="342"/>
      <c r="ES171" s="336"/>
      <c r="ET171" s="342"/>
      <c r="EU171" s="336"/>
      <c r="EV171" s="342"/>
      <c r="EW171" s="336"/>
      <c r="EX171" s="342"/>
      <c r="EY171" s="342"/>
      <c r="EZ171" s="342"/>
      <c r="FA171" s="337"/>
      <c r="FE171" s="338"/>
      <c r="FH171" s="338"/>
      <c r="FI171" s="338"/>
      <c r="FJ171" s="338"/>
      <c r="FK171" s="338"/>
      <c r="FL171" s="338"/>
      <c r="FM171" s="337"/>
      <c r="FN171" s="336"/>
      <c r="FO171" s="336"/>
      <c r="FP171" s="336"/>
      <c r="FQ171" s="336"/>
      <c r="FR171" s="336"/>
      <c r="FS171" s="336"/>
      <c r="FT171" s="336"/>
      <c r="FU171" s="336"/>
      <c r="FV171" s="336"/>
      <c r="FW171" s="337"/>
      <c r="FX171" s="532"/>
      <c r="FY171" s="341"/>
      <c r="FZ171" s="341"/>
      <c r="GA171" s="336"/>
      <c r="GB171" s="341"/>
      <c r="GC171" s="341"/>
      <c r="GD171" s="341"/>
      <c r="GE171" s="336"/>
      <c r="GF171" s="336"/>
      <c r="GG171" s="336"/>
      <c r="GH171" s="336"/>
      <c r="GI171" s="336"/>
      <c r="GJ171" s="337"/>
      <c r="GM171" s="338"/>
      <c r="GN171" s="338"/>
      <c r="GO171" s="338"/>
      <c r="GS171" s="338"/>
      <c r="GT171" s="338"/>
      <c r="GU171" s="338"/>
      <c r="GY171" s="338"/>
      <c r="GZ171" s="338"/>
      <c r="HA171" s="338"/>
      <c r="HE171" s="338"/>
      <c r="HF171" s="338"/>
      <c r="HG171" s="338"/>
      <c r="HN171" s="68"/>
      <c r="HO171" s="68"/>
      <c r="HP171" s="68"/>
      <c r="HQ171" s="336"/>
      <c r="HR171" s="68"/>
      <c r="HS171" s="68"/>
      <c r="HT171" s="10"/>
      <c r="HW171" s="338"/>
      <c r="HX171" s="338"/>
      <c r="HY171" s="338"/>
      <c r="IC171" s="338"/>
      <c r="ID171" s="338"/>
      <c r="IE171" s="338"/>
      <c r="II171" s="338"/>
      <c r="IJ171" s="338"/>
      <c r="IK171" s="338"/>
      <c r="IO171" s="338"/>
      <c r="IP171" s="338"/>
      <c r="IQ171" s="338"/>
      <c r="IX171" s="68"/>
      <c r="IY171" s="68"/>
      <c r="IZ171" s="68"/>
      <c r="JA171" s="68"/>
      <c r="JB171" s="68"/>
      <c r="JC171" s="68"/>
      <c r="JD171" s="10"/>
      <c r="JG171" s="338"/>
      <c r="JH171" s="338"/>
      <c r="JI171" s="338"/>
      <c r="JM171" s="338"/>
      <c r="JN171" s="338"/>
      <c r="JQ171" s="338"/>
      <c r="JR171" s="338"/>
      <c r="JS171" s="338"/>
      <c r="JW171" s="358"/>
      <c r="JX171" s="336"/>
      <c r="JY171" s="336"/>
      <c r="JZ171" s="336"/>
      <c r="KA171" s="336"/>
      <c r="KB171" s="336"/>
      <c r="KC171" s="336"/>
      <c r="KD171" s="336"/>
      <c r="KE171" s="336"/>
      <c r="KF171" s="336"/>
      <c r="KG171" s="337"/>
      <c r="KH171" s="338"/>
      <c r="KI171" s="338"/>
      <c r="KJ171" s="338"/>
      <c r="KK171" s="338"/>
      <c r="KL171" s="338"/>
      <c r="KM171" s="338"/>
      <c r="KN171" s="338"/>
      <c r="KO171" s="338"/>
      <c r="KP171" s="338"/>
      <c r="KQ171" s="338"/>
      <c r="KR171" s="338"/>
      <c r="KS171" s="338"/>
      <c r="KT171" s="338"/>
      <c r="KU171" s="338"/>
      <c r="KV171" s="338"/>
      <c r="KW171" s="337"/>
      <c r="KX171" s="336"/>
      <c r="KY171" s="336"/>
      <c r="KZ171" s="336"/>
      <c r="LA171" s="336"/>
      <c r="LB171" s="336"/>
      <c r="LC171" s="336"/>
      <c r="LD171" s="336"/>
      <c r="LE171" s="336"/>
      <c r="LF171" s="336"/>
      <c r="LG171" s="336"/>
      <c r="LH171" s="336"/>
      <c r="LI171" s="336"/>
      <c r="LJ171" s="336"/>
      <c r="LK171" s="336"/>
      <c r="LL171" s="336"/>
      <c r="LM171" s="336"/>
      <c r="LN171" s="336"/>
      <c r="LO171" s="336"/>
      <c r="LP171" s="336"/>
      <c r="LQ171" s="337"/>
      <c r="MN171" s="10"/>
      <c r="OA171" s="10"/>
    </row>
    <row r="172" spans="1:391" s="370" customFormat="1" x14ac:dyDescent="0.25">
      <c r="A172" s="68"/>
      <c r="B172" s="10"/>
      <c r="C172" s="68"/>
      <c r="D172" s="68"/>
      <c r="E172" s="68"/>
      <c r="F172" s="68"/>
      <c r="G172" s="68"/>
      <c r="H172" s="68"/>
      <c r="I172" s="68"/>
      <c r="J172" s="68"/>
      <c r="K172" s="68"/>
      <c r="L172" s="68"/>
      <c r="M172" s="68"/>
      <c r="N172" s="68"/>
      <c r="O172" s="68"/>
      <c r="P172" s="68"/>
      <c r="Q172" s="68"/>
      <c r="R172" s="68"/>
      <c r="S172" s="68"/>
      <c r="T172" s="70"/>
      <c r="AC172" s="68"/>
      <c r="AD172" s="70"/>
      <c r="AM172" s="68"/>
      <c r="AN172" s="70"/>
      <c r="AU172" s="68"/>
      <c r="AV172" s="70"/>
      <c r="BB172" s="68"/>
      <c r="BC172" s="70"/>
      <c r="BD172" s="68"/>
      <c r="BE172" s="68"/>
      <c r="BF172" s="68"/>
      <c r="BG172" s="68"/>
      <c r="BH172" s="68"/>
      <c r="BI172" s="68"/>
      <c r="BJ172" s="70"/>
      <c r="BM172" s="68"/>
      <c r="BN172" s="70"/>
      <c r="BT172" s="68"/>
      <c r="BU172" s="70"/>
      <c r="BZ172" s="10"/>
      <c r="CF172" s="10"/>
      <c r="CI172" s="389"/>
      <c r="CJ172" s="389"/>
      <c r="CK172" s="68"/>
      <c r="CL172" s="70"/>
      <c r="CO172" s="10"/>
      <c r="CU172" s="10"/>
      <c r="DA172" s="10"/>
      <c r="DB172" s="70"/>
      <c r="DC172" s="70"/>
      <c r="DF172" s="68"/>
      <c r="DG172" s="70"/>
      <c r="DH172" s="68"/>
      <c r="DI172" s="386"/>
      <c r="DJ172" s="425"/>
      <c r="DL172" s="68"/>
      <c r="DM172" s="70"/>
      <c r="DQ172" s="68"/>
      <c r="DR172" s="70"/>
      <c r="DS172" s="338"/>
      <c r="DT172" s="338"/>
      <c r="DU172" s="338"/>
      <c r="DW172" s="338"/>
      <c r="DX172" s="338"/>
      <c r="DY172" s="338"/>
      <c r="EA172" s="338"/>
      <c r="EB172" s="338"/>
      <c r="EC172" s="338"/>
      <c r="EE172" s="338"/>
      <c r="EF172" s="338"/>
      <c r="EG172" s="338"/>
      <c r="EI172" s="336"/>
      <c r="EJ172" s="336"/>
      <c r="EK172" s="336"/>
      <c r="EL172" s="336"/>
      <c r="EM172" s="336"/>
      <c r="EN172" s="336"/>
      <c r="EO172" s="337"/>
      <c r="EP172" s="342"/>
      <c r="EQ172" s="336"/>
      <c r="ER172" s="342"/>
      <c r="ES172" s="336"/>
      <c r="ET172" s="342"/>
      <c r="EU172" s="336"/>
      <c r="EV172" s="342"/>
      <c r="EW172" s="336"/>
      <c r="EX172" s="342"/>
      <c r="EY172" s="342"/>
      <c r="EZ172" s="342"/>
      <c r="FA172" s="337"/>
      <c r="FE172" s="338"/>
      <c r="FH172" s="338"/>
      <c r="FI172" s="338"/>
      <c r="FJ172" s="338"/>
      <c r="FK172" s="338"/>
      <c r="FL172" s="338"/>
      <c r="FM172" s="337"/>
      <c r="FN172" s="336"/>
      <c r="FO172" s="336"/>
      <c r="FP172" s="336"/>
      <c r="FQ172" s="336"/>
      <c r="FR172" s="336"/>
      <c r="FS172" s="336"/>
      <c r="FT172" s="336"/>
      <c r="FU172" s="336"/>
      <c r="FV172" s="336"/>
      <c r="FW172" s="337"/>
      <c r="FX172" s="532"/>
      <c r="FY172" s="341"/>
      <c r="FZ172" s="341"/>
      <c r="GA172" s="336"/>
      <c r="GB172" s="341"/>
      <c r="GC172" s="341"/>
      <c r="GD172" s="341"/>
      <c r="GE172" s="336"/>
      <c r="GF172" s="336"/>
      <c r="GG172" s="336"/>
      <c r="GH172" s="336"/>
      <c r="GI172" s="336"/>
      <c r="GJ172" s="337"/>
      <c r="GM172" s="338"/>
      <c r="GN172" s="338"/>
      <c r="GO172" s="338"/>
      <c r="GS172" s="338"/>
      <c r="GT172" s="338"/>
      <c r="GU172" s="338"/>
      <c r="GY172" s="338"/>
      <c r="GZ172" s="338"/>
      <c r="HA172" s="338"/>
      <c r="HE172" s="338"/>
      <c r="HF172" s="338"/>
      <c r="HG172" s="338"/>
      <c r="HN172" s="68"/>
      <c r="HO172" s="68"/>
      <c r="HP172" s="68"/>
      <c r="HQ172" s="336"/>
      <c r="HR172" s="68"/>
      <c r="HS172" s="68"/>
      <c r="HT172" s="10"/>
      <c r="HW172" s="338"/>
      <c r="HX172" s="338"/>
      <c r="HY172" s="338"/>
      <c r="IC172" s="338"/>
      <c r="ID172" s="338"/>
      <c r="IE172" s="338"/>
      <c r="II172" s="338"/>
      <c r="IJ172" s="338"/>
      <c r="IK172" s="338"/>
      <c r="IO172" s="338"/>
      <c r="IP172" s="338"/>
      <c r="IQ172" s="338"/>
      <c r="IX172" s="68"/>
      <c r="IY172" s="68"/>
      <c r="IZ172" s="68"/>
      <c r="JA172" s="68"/>
      <c r="JB172" s="68"/>
      <c r="JC172" s="68"/>
      <c r="JD172" s="10"/>
      <c r="JG172" s="338"/>
      <c r="JH172" s="338"/>
      <c r="JI172" s="338"/>
      <c r="JM172" s="338"/>
      <c r="JN172" s="338"/>
      <c r="JQ172" s="338"/>
      <c r="JR172" s="338"/>
      <c r="JS172" s="338"/>
      <c r="JW172" s="358"/>
      <c r="JX172" s="336"/>
      <c r="JY172" s="336"/>
      <c r="JZ172" s="336"/>
      <c r="KA172" s="336"/>
      <c r="KB172" s="336"/>
      <c r="KC172" s="336"/>
      <c r="KD172" s="336"/>
      <c r="KE172" s="336"/>
      <c r="KF172" s="336"/>
      <c r="KG172" s="337"/>
      <c r="KH172" s="338"/>
      <c r="KI172" s="338"/>
      <c r="KJ172" s="338"/>
      <c r="KK172" s="338"/>
      <c r="KL172" s="338"/>
      <c r="KM172" s="338"/>
      <c r="KN172" s="338"/>
      <c r="KO172" s="338"/>
      <c r="KP172" s="338"/>
      <c r="KQ172" s="338"/>
      <c r="KR172" s="338"/>
      <c r="KS172" s="338"/>
      <c r="KT172" s="338"/>
      <c r="KU172" s="338"/>
      <c r="KV172" s="338"/>
      <c r="KW172" s="337"/>
      <c r="KX172" s="336"/>
      <c r="KY172" s="336"/>
      <c r="KZ172" s="336"/>
      <c r="LA172" s="336"/>
      <c r="LB172" s="336"/>
      <c r="LC172" s="336"/>
      <c r="LD172" s="336"/>
      <c r="LE172" s="336"/>
      <c r="LF172" s="336"/>
      <c r="LG172" s="336"/>
      <c r="LH172" s="336"/>
      <c r="LI172" s="336"/>
      <c r="LJ172" s="336"/>
      <c r="LK172" s="336"/>
      <c r="LL172" s="336"/>
      <c r="LM172" s="336"/>
      <c r="LN172" s="336"/>
      <c r="LO172" s="336"/>
      <c r="LP172" s="336"/>
      <c r="LQ172" s="337"/>
      <c r="MN172" s="10"/>
      <c r="OA172" s="10"/>
    </row>
    <row r="173" spans="1:391" s="370" customFormat="1" x14ac:dyDescent="0.25">
      <c r="A173" s="68"/>
      <c r="B173" s="10"/>
      <c r="C173" s="68"/>
      <c r="D173" s="68"/>
      <c r="E173" s="68"/>
      <c r="F173" s="68"/>
      <c r="G173" s="68"/>
      <c r="H173" s="68"/>
      <c r="I173" s="68"/>
      <c r="J173" s="68"/>
      <c r="K173" s="68"/>
      <c r="L173" s="68"/>
      <c r="M173" s="68"/>
      <c r="N173" s="68"/>
      <c r="O173" s="68"/>
      <c r="P173" s="68"/>
      <c r="Q173" s="68"/>
      <c r="R173" s="68"/>
      <c r="S173" s="68"/>
      <c r="T173" s="70"/>
      <c r="AC173" s="68"/>
      <c r="AD173" s="70"/>
      <c r="AM173" s="68"/>
      <c r="AN173" s="70"/>
      <c r="AU173" s="68"/>
      <c r="AV173" s="70"/>
      <c r="BB173" s="68"/>
      <c r="BC173" s="70"/>
      <c r="BD173" s="68"/>
      <c r="BE173" s="68"/>
      <c r="BF173" s="68"/>
      <c r="BG173" s="68"/>
      <c r="BH173" s="68"/>
      <c r="BI173" s="68"/>
      <c r="BJ173" s="70"/>
      <c r="BM173" s="68"/>
      <c r="BN173" s="70"/>
      <c r="BT173" s="68"/>
      <c r="BU173" s="70"/>
      <c r="BZ173" s="10"/>
      <c r="CF173" s="10"/>
      <c r="CI173" s="389"/>
      <c r="CJ173" s="389"/>
      <c r="CK173" s="68"/>
      <c r="CL173" s="70"/>
      <c r="CO173" s="10"/>
      <c r="CU173" s="10"/>
      <c r="DA173" s="10"/>
      <c r="DB173" s="70"/>
      <c r="DC173" s="70"/>
      <c r="DF173" s="68"/>
      <c r="DG173" s="70"/>
      <c r="DH173" s="68"/>
      <c r="DI173" s="386"/>
      <c r="DJ173" s="425"/>
      <c r="DL173" s="68"/>
      <c r="DM173" s="70"/>
      <c r="DQ173" s="68"/>
      <c r="DR173" s="70"/>
      <c r="DS173" s="338"/>
      <c r="DT173" s="338"/>
      <c r="DU173" s="338"/>
      <c r="DW173" s="338"/>
      <c r="DX173" s="338"/>
      <c r="DY173" s="338"/>
      <c r="EA173" s="338"/>
      <c r="EB173" s="338"/>
      <c r="EC173" s="338"/>
      <c r="EE173" s="338"/>
      <c r="EF173" s="338"/>
      <c r="EG173" s="338"/>
      <c r="EI173" s="336"/>
      <c r="EJ173" s="336"/>
      <c r="EK173" s="336"/>
      <c r="EL173" s="336"/>
      <c r="EM173" s="336"/>
      <c r="EN173" s="336"/>
      <c r="EO173" s="337"/>
      <c r="EP173" s="342"/>
      <c r="EQ173" s="336"/>
      <c r="ER173" s="342"/>
      <c r="ES173" s="336"/>
      <c r="ET173" s="342"/>
      <c r="EU173" s="336"/>
      <c r="EV173" s="342"/>
      <c r="EW173" s="336"/>
      <c r="EX173" s="342"/>
      <c r="EY173" s="342"/>
      <c r="EZ173" s="342"/>
      <c r="FA173" s="337"/>
      <c r="FE173" s="338"/>
      <c r="FH173" s="338"/>
      <c r="FI173" s="338"/>
      <c r="FJ173" s="338"/>
      <c r="FK173" s="338"/>
      <c r="FL173" s="338"/>
      <c r="FM173" s="337"/>
      <c r="FN173" s="336"/>
      <c r="FO173" s="336"/>
      <c r="FP173" s="336"/>
      <c r="FQ173" s="336"/>
      <c r="FR173" s="336"/>
      <c r="FS173" s="336"/>
      <c r="FT173" s="336"/>
      <c r="FU173" s="336"/>
      <c r="FV173" s="336"/>
      <c r="FW173" s="337"/>
      <c r="FX173" s="532"/>
      <c r="FY173" s="341"/>
      <c r="FZ173" s="341"/>
      <c r="GA173" s="336"/>
      <c r="GB173" s="341"/>
      <c r="GC173" s="341"/>
      <c r="GD173" s="341"/>
      <c r="GE173" s="336"/>
      <c r="GF173" s="336"/>
      <c r="GG173" s="336"/>
      <c r="GH173" s="336"/>
      <c r="GI173" s="336"/>
      <c r="GJ173" s="337"/>
      <c r="GM173" s="338"/>
      <c r="GN173" s="338"/>
      <c r="GO173" s="338"/>
      <c r="GS173" s="338"/>
      <c r="GT173" s="338"/>
      <c r="GU173" s="338"/>
      <c r="GY173" s="338"/>
      <c r="GZ173" s="338"/>
      <c r="HA173" s="338"/>
      <c r="HE173" s="338"/>
      <c r="HF173" s="338"/>
      <c r="HG173" s="338"/>
      <c r="HN173" s="68"/>
      <c r="HO173" s="68"/>
      <c r="HP173" s="68"/>
      <c r="HQ173" s="336"/>
      <c r="HR173" s="68"/>
      <c r="HS173" s="68"/>
      <c r="HT173" s="10"/>
      <c r="HW173" s="338"/>
      <c r="HX173" s="338"/>
      <c r="HY173" s="338"/>
      <c r="IC173" s="338"/>
      <c r="ID173" s="338"/>
      <c r="IE173" s="338"/>
      <c r="II173" s="338"/>
      <c r="IJ173" s="338"/>
      <c r="IK173" s="338"/>
      <c r="IO173" s="338"/>
      <c r="IP173" s="338"/>
      <c r="IQ173" s="338"/>
      <c r="IX173" s="68"/>
      <c r="IY173" s="68"/>
      <c r="IZ173" s="68"/>
      <c r="JA173" s="68"/>
      <c r="JB173" s="68"/>
      <c r="JC173" s="68"/>
      <c r="JD173" s="10"/>
      <c r="JG173" s="338"/>
      <c r="JH173" s="338"/>
      <c r="JI173" s="338"/>
      <c r="JM173" s="338"/>
      <c r="JN173" s="338"/>
      <c r="JQ173" s="338"/>
      <c r="JR173" s="338"/>
      <c r="JS173" s="338"/>
      <c r="JW173" s="358"/>
      <c r="JX173" s="336"/>
      <c r="JY173" s="336"/>
      <c r="JZ173" s="336"/>
      <c r="KA173" s="336"/>
      <c r="KB173" s="336"/>
      <c r="KC173" s="336"/>
      <c r="KD173" s="336"/>
      <c r="KE173" s="336"/>
      <c r="KF173" s="336"/>
      <c r="KG173" s="337"/>
      <c r="KH173" s="338"/>
      <c r="KI173" s="338"/>
      <c r="KJ173" s="338"/>
      <c r="KK173" s="338"/>
      <c r="KL173" s="338"/>
      <c r="KM173" s="338"/>
      <c r="KN173" s="338"/>
      <c r="KO173" s="338"/>
      <c r="KP173" s="338"/>
      <c r="KQ173" s="338"/>
      <c r="KR173" s="338"/>
      <c r="KS173" s="338"/>
      <c r="KT173" s="338"/>
      <c r="KU173" s="338"/>
      <c r="KV173" s="338"/>
      <c r="KW173" s="337"/>
      <c r="KX173" s="336"/>
      <c r="KY173" s="336"/>
      <c r="KZ173" s="336"/>
      <c r="LA173" s="336"/>
      <c r="LB173" s="336"/>
      <c r="LC173" s="336"/>
      <c r="LD173" s="336"/>
      <c r="LE173" s="336"/>
      <c r="LF173" s="336"/>
      <c r="LG173" s="336"/>
      <c r="LH173" s="336"/>
      <c r="LI173" s="336"/>
      <c r="LJ173" s="336"/>
      <c r="LK173" s="336"/>
      <c r="LL173" s="336"/>
      <c r="LM173" s="336"/>
      <c r="LN173" s="336"/>
      <c r="LO173" s="336"/>
      <c r="LP173" s="336"/>
      <c r="LQ173" s="337"/>
      <c r="MN173" s="10"/>
      <c r="OA173" s="10"/>
    </row>
    <row r="174" spans="1:391" s="370" customFormat="1" x14ac:dyDescent="0.25">
      <c r="A174" s="68"/>
      <c r="B174" s="10"/>
      <c r="C174" s="68"/>
      <c r="D174" s="68"/>
      <c r="E174" s="68"/>
      <c r="F174" s="68"/>
      <c r="G174" s="68"/>
      <c r="H174" s="68"/>
      <c r="I174" s="68"/>
      <c r="J174" s="68"/>
      <c r="K174" s="68"/>
      <c r="L174" s="68"/>
      <c r="M174" s="68"/>
      <c r="N174" s="68"/>
      <c r="O174" s="68"/>
      <c r="P174" s="68"/>
      <c r="Q174" s="68"/>
      <c r="R174" s="68"/>
      <c r="S174" s="68"/>
      <c r="T174" s="70"/>
      <c r="AC174" s="68"/>
      <c r="AD174" s="70"/>
      <c r="AM174" s="68"/>
      <c r="AN174" s="70"/>
      <c r="AU174" s="68"/>
      <c r="AV174" s="70"/>
      <c r="BB174" s="68"/>
      <c r="BC174" s="70"/>
      <c r="BD174" s="68"/>
      <c r="BE174" s="68"/>
      <c r="BF174" s="68"/>
      <c r="BG174" s="68"/>
      <c r="BH174" s="68"/>
      <c r="BI174" s="68"/>
      <c r="BJ174" s="70"/>
      <c r="BM174" s="68"/>
      <c r="BN174" s="70"/>
      <c r="BT174" s="68"/>
      <c r="BU174" s="70"/>
      <c r="BZ174" s="10"/>
      <c r="CF174" s="10"/>
      <c r="CI174" s="389"/>
      <c r="CJ174" s="389"/>
      <c r="CK174" s="68"/>
      <c r="CL174" s="70"/>
      <c r="CO174" s="10"/>
      <c r="CU174" s="10"/>
      <c r="DA174" s="10"/>
      <c r="DB174" s="70"/>
      <c r="DC174" s="70"/>
      <c r="DF174" s="68"/>
      <c r="DG174" s="70"/>
      <c r="DH174" s="68"/>
      <c r="DI174" s="386"/>
      <c r="DJ174" s="425"/>
      <c r="DL174" s="68"/>
      <c r="DM174" s="70"/>
      <c r="DQ174" s="68"/>
      <c r="DR174" s="70"/>
      <c r="DS174" s="338"/>
      <c r="DT174" s="338"/>
      <c r="DU174" s="338"/>
      <c r="DW174" s="338"/>
      <c r="DX174" s="338"/>
      <c r="DY174" s="338"/>
      <c r="EA174" s="338"/>
      <c r="EB174" s="338"/>
      <c r="EC174" s="338"/>
      <c r="EE174" s="338"/>
      <c r="EF174" s="338"/>
      <c r="EG174" s="338"/>
      <c r="EI174" s="336"/>
      <c r="EJ174" s="336"/>
      <c r="EK174" s="336"/>
      <c r="EL174" s="336"/>
      <c r="EM174" s="336"/>
      <c r="EN174" s="336"/>
      <c r="EO174" s="337"/>
      <c r="EP174" s="342"/>
      <c r="EQ174" s="336"/>
      <c r="ER174" s="342"/>
      <c r="ES174" s="336"/>
      <c r="ET174" s="342"/>
      <c r="EU174" s="336"/>
      <c r="EV174" s="342"/>
      <c r="EW174" s="336"/>
      <c r="EX174" s="342"/>
      <c r="EY174" s="342"/>
      <c r="EZ174" s="342"/>
      <c r="FA174" s="337"/>
      <c r="FE174" s="338"/>
      <c r="FH174" s="338"/>
      <c r="FI174" s="338"/>
      <c r="FJ174" s="338"/>
      <c r="FK174" s="338"/>
      <c r="FL174" s="338"/>
      <c r="FM174" s="337"/>
      <c r="FN174" s="336"/>
      <c r="FO174" s="336"/>
      <c r="FP174" s="336"/>
      <c r="FQ174" s="336"/>
      <c r="FR174" s="336"/>
      <c r="FS174" s="336"/>
      <c r="FT174" s="336"/>
      <c r="FU174" s="336"/>
      <c r="FV174" s="336"/>
      <c r="FW174" s="337"/>
      <c r="FX174" s="532"/>
      <c r="FY174" s="341"/>
      <c r="FZ174" s="341"/>
      <c r="GA174" s="336"/>
      <c r="GB174" s="341"/>
      <c r="GC174" s="341"/>
      <c r="GD174" s="341"/>
      <c r="GE174" s="336"/>
      <c r="GF174" s="336"/>
      <c r="GG174" s="336"/>
      <c r="GH174" s="336"/>
      <c r="GI174" s="336"/>
      <c r="GJ174" s="337"/>
      <c r="GM174" s="338"/>
      <c r="GN174" s="338"/>
      <c r="GO174" s="338"/>
      <c r="GS174" s="338"/>
      <c r="GT174" s="338"/>
      <c r="GU174" s="338"/>
      <c r="GY174" s="338"/>
      <c r="GZ174" s="338"/>
      <c r="HA174" s="338"/>
      <c r="HE174" s="338"/>
      <c r="HF174" s="338"/>
      <c r="HG174" s="338"/>
      <c r="HN174" s="68"/>
      <c r="HO174" s="68"/>
      <c r="HP174" s="68"/>
      <c r="HQ174" s="336"/>
      <c r="HR174" s="68"/>
      <c r="HS174" s="68"/>
      <c r="HT174" s="10"/>
      <c r="HW174" s="338"/>
      <c r="HX174" s="338"/>
      <c r="HY174" s="338"/>
      <c r="IC174" s="338"/>
      <c r="ID174" s="338"/>
      <c r="IE174" s="338"/>
      <c r="II174" s="338"/>
      <c r="IJ174" s="338"/>
      <c r="IK174" s="338"/>
      <c r="IO174" s="338"/>
      <c r="IP174" s="338"/>
      <c r="IQ174" s="338"/>
      <c r="IX174" s="68"/>
      <c r="IY174" s="68"/>
      <c r="IZ174" s="68"/>
      <c r="JA174" s="68"/>
      <c r="JB174" s="68"/>
      <c r="JC174" s="68"/>
      <c r="JD174" s="10"/>
      <c r="JG174" s="338"/>
      <c r="JH174" s="338"/>
      <c r="JI174" s="338"/>
      <c r="JM174" s="338"/>
      <c r="JN174" s="338"/>
      <c r="JQ174" s="338"/>
      <c r="JR174" s="338"/>
      <c r="JS174" s="338"/>
      <c r="JW174" s="358"/>
      <c r="JX174" s="336"/>
      <c r="JY174" s="336"/>
      <c r="JZ174" s="336"/>
      <c r="KA174" s="336"/>
      <c r="KB174" s="336"/>
      <c r="KC174" s="336"/>
      <c r="KD174" s="336"/>
      <c r="KE174" s="336"/>
      <c r="KF174" s="336"/>
      <c r="KG174" s="337"/>
      <c r="KH174" s="338"/>
      <c r="KI174" s="338"/>
      <c r="KJ174" s="338"/>
      <c r="KK174" s="338"/>
      <c r="KL174" s="338"/>
      <c r="KM174" s="338"/>
      <c r="KN174" s="338"/>
      <c r="KO174" s="338"/>
      <c r="KP174" s="338"/>
      <c r="KQ174" s="338"/>
      <c r="KR174" s="338"/>
      <c r="KS174" s="338"/>
      <c r="KT174" s="338"/>
      <c r="KU174" s="338"/>
      <c r="KV174" s="338"/>
      <c r="KW174" s="337"/>
      <c r="KX174" s="336"/>
      <c r="KY174" s="336"/>
      <c r="KZ174" s="336"/>
      <c r="LA174" s="336"/>
      <c r="LB174" s="336"/>
      <c r="LC174" s="336"/>
      <c r="LD174" s="336"/>
      <c r="LE174" s="336"/>
      <c r="LF174" s="336"/>
      <c r="LG174" s="336"/>
      <c r="LH174" s="336"/>
      <c r="LI174" s="336"/>
      <c r="LJ174" s="336"/>
      <c r="LK174" s="336"/>
      <c r="LL174" s="336"/>
      <c r="LM174" s="336"/>
      <c r="LN174" s="336"/>
      <c r="LO174" s="336"/>
      <c r="LP174" s="336"/>
      <c r="LQ174" s="337"/>
      <c r="MN174" s="10"/>
      <c r="OA174" s="10"/>
    </row>
    <row r="175" spans="1:391" s="370" customFormat="1" x14ac:dyDescent="0.25">
      <c r="A175" s="68"/>
      <c r="B175" s="10"/>
      <c r="C175" s="68"/>
      <c r="D175" s="68"/>
      <c r="E175" s="68"/>
      <c r="F175" s="68"/>
      <c r="G175" s="68"/>
      <c r="H175" s="68"/>
      <c r="I175" s="68"/>
      <c r="J175" s="68"/>
      <c r="K175" s="68"/>
      <c r="L175" s="68"/>
      <c r="M175" s="68"/>
      <c r="N175" s="68"/>
      <c r="O175" s="68"/>
      <c r="P175" s="68"/>
      <c r="Q175" s="68"/>
      <c r="R175" s="68"/>
      <c r="S175" s="68"/>
      <c r="T175" s="70"/>
      <c r="AC175" s="68"/>
      <c r="AD175" s="70"/>
      <c r="AM175" s="68"/>
      <c r="AN175" s="70"/>
      <c r="AU175" s="68"/>
      <c r="AV175" s="70"/>
      <c r="BB175" s="68"/>
      <c r="BC175" s="70"/>
      <c r="BD175" s="68"/>
      <c r="BE175" s="68"/>
      <c r="BF175" s="68"/>
      <c r="BG175" s="68"/>
      <c r="BH175" s="68"/>
      <c r="BI175" s="68"/>
      <c r="BJ175" s="70"/>
      <c r="BM175" s="68"/>
      <c r="BN175" s="70"/>
      <c r="BT175" s="68"/>
      <c r="BU175" s="70"/>
      <c r="BZ175" s="10"/>
      <c r="CF175" s="10"/>
      <c r="CI175" s="389"/>
      <c r="CJ175" s="389"/>
      <c r="CK175" s="68"/>
      <c r="CL175" s="70"/>
      <c r="CO175" s="10"/>
      <c r="CU175" s="10"/>
      <c r="DA175" s="10"/>
      <c r="DB175" s="70"/>
      <c r="DC175" s="70"/>
      <c r="DF175" s="68"/>
      <c r="DG175" s="70"/>
      <c r="DH175" s="68"/>
      <c r="DI175" s="386"/>
      <c r="DJ175" s="425"/>
      <c r="DL175" s="68"/>
      <c r="DM175" s="70"/>
      <c r="DQ175" s="68"/>
      <c r="DR175" s="70"/>
      <c r="DS175" s="338"/>
      <c r="DT175" s="338"/>
      <c r="DU175" s="338"/>
      <c r="DW175" s="338"/>
      <c r="DX175" s="338"/>
      <c r="DY175" s="338"/>
      <c r="EA175" s="338"/>
      <c r="EB175" s="338"/>
      <c r="EC175" s="338"/>
      <c r="EE175" s="338"/>
      <c r="EF175" s="338"/>
      <c r="EG175" s="338"/>
      <c r="EI175" s="336"/>
      <c r="EJ175" s="336"/>
      <c r="EK175" s="336"/>
      <c r="EL175" s="336"/>
      <c r="EM175" s="336"/>
      <c r="EN175" s="336"/>
      <c r="EO175" s="337"/>
      <c r="EP175" s="342"/>
      <c r="EQ175" s="336"/>
      <c r="ER175" s="342"/>
      <c r="ES175" s="336"/>
      <c r="ET175" s="342"/>
      <c r="EU175" s="336"/>
      <c r="EV175" s="342"/>
      <c r="EW175" s="336"/>
      <c r="EX175" s="342"/>
      <c r="EY175" s="342"/>
      <c r="EZ175" s="342"/>
      <c r="FA175" s="337"/>
      <c r="FE175" s="338"/>
      <c r="FH175" s="338"/>
      <c r="FI175" s="338"/>
      <c r="FJ175" s="338"/>
      <c r="FK175" s="338"/>
      <c r="FL175" s="338"/>
      <c r="FM175" s="337"/>
      <c r="FN175" s="336"/>
      <c r="FO175" s="336"/>
      <c r="FP175" s="336"/>
      <c r="FQ175" s="336"/>
      <c r="FR175" s="336"/>
      <c r="FS175" s="336"/>
      <c r="FT175" s="336"/>
      <c r="FU175" s="336"/>
      <c r="FV175" s="336"/>
      <c r="FW175" s="337"/>
      <c r="FX175" s="532"/>
      <c r="FY175" s="341"/>
      <c r="FZ175" s="341"/>
      <c r="GA175" s="336"/>
      <c r="GB175" s="341"/>
      <c r="GC175" s="341"/>
      <c r="GD175" s="341"/>
      <c r="GE175" s="336"/>
      <c r="GF175" s="336"/>
      <c r="GG175" s="336"/>
      <c r="GH175" s="336"/>
      <c r="GI175" s="336"/>
      <c r="GJ175" s="337"/>
      <c r="GM175" s="338"/>
      <c r="GN175" s="338"/>
      <c r="GO175" s="338"/>
      <c r="GS175" s="338"/>
      <c r="GT175" s="338"/>
      <c r="GU175" s="338"/>
      <c r="GY175" s="338"/>
      <c r="GZ175" s="338"/>
      <c r="HA175" s="338"/>
      <c r="HE175" s="338"/>
      <c r="HF175" s="338"/>
      <c r="HG175" s="338"/>
      <c r="HN175" s="68"/>
      <c r="HO175" s="68"/>
      <c r="HP175" s="68"/>
      <c r="HQ175" s="336"/>
      <c r="HR175" s="68"/>
      <c r="HS175" s="68"/>
      <c r="HT175" s="10"/>
      <c r="HW175" s="338"/>
      <c r="HX175" s="338"/>
      <c r="HY175" s="338"/>
      <c r="IC175" s="338"/>
      <c r="ID175" s="338"/>
      <c r="IE175" s="338"/>
      <c r="II175" s="338"/>
      <c r="IJ175" s="338"/>
      <c r="IK175" s="338"/>
      <c r="IO175" s="338"/>
      <c r="IP175" s="338"/>
      <c r="IQ175" s="338"/>
      <c r="IX175" s="68"/>
      <c r="IY175" s="68"/>
      <c r="IZ175" s="68"/>
      <c r="JA175" s="68"/>
      <c r="JB175" s="68"/>
      <c r="JC175" s="68"/>
      <c r="JD175" s="10"/>
      <c r="JG175" s="338"/>
      <c r="JH175" s="338"/>
      <c r="JI175" s="338"/>
      <c r="JM175" s="338"/>
      <c r="JN175" s="338"/>
      <c r="JQ175" s="338"/>
      <c r="JR175" s="338"/>
      <c r="JS175" s="338"/>
      <c r="JW175" s="358"/>
      <c r="JX175" s="336"/>
      <c r="JY175" s="336"/>
      <c r="JZ175" s="336"/>
      <c r="KA175" s="336"/>
      <c r="KB175" s="336"/>
      <c r="KC175" s="336"/>
      <c r="KD175" s="336"/>
      <c r="KE175" s="336"/>
      <c r="KF175" s="336"/>
      <c r="KG175" s="337"/>
      <c r="KH175" s="338"/>
      <c r="KI175" s="338"/>
      <c r="KJ175" s="338"/>
      <c r="KK175" s="338"/>
      <c r="KL175" s="338"/>
      <c r="KM175" s="338"/>
      <c r="KN175" s="338"/>
      <c r="KO175" s="338"/>
      <c r="KP175" s="338"/>
      <c r="KQ175" s="338"/>
      <c r="KR175" s="338"/>
      <c r="KS175" s="338"/>
      <c r="KT175" s="338"/>
      <c r="KU175" s="338"/>
      <c r="KV175" s="338"/>
      <c r="KW175" s="337"/>
      <c r="KX175" s="336"/>
      <c r="KY175" s="336"/>
      <c r="KZ175" s="336"/>
      <c r="LA175" s="336"/>
      <c r="LB175" s="336"/>
      <c r="LC175" s="336"/>
      <c r="LD175" s="336"/>
      <c r="LE175" s="336"/>
      <c r="LF175" s="336"/>
      <c r="LG175" s="336"/>
      <c r="LH175" s="336"/>
      <c r="LI175" s="336"/>
      <c r="LJ175" s="336"/>
      <c r="LK175" s="336"/>
      <c r="LL175" s="336"/>
      <c r="LM175" s="336"/>
      <c r="LN175" s="336"/>
      <c r="LO175" s="336"/>
      <c r="LP175" s="336"/>
      <c r="LQ175" s="337"/>
      <c r="MN175" s="10"/>
      <c r="OA175" s="10"/>
    </row>
    <row r="176" spans="1:391" s="370" customFormat="1" x14ac:dyDescent="0.25">
      <c r="A176" s="68"/>
      <c r="B176" s="10"/>
      <c r="C176" s="68"/>
      <c r="D176" s="68"/>
      <c r="E176" s="68"/>
      <c r="F176" s="68"/>
      <c r="G176" s="68"/>
      <c r="H176" s="68"/>
      <c r="I176" s="68"/>
      <c r="J176" s="68"/>
      <c r="K176" s="68"/>
      <c r="L176" s="68"/>
      <c r="M176" s="68"/>
      <c r="N176" s="68"/>
      <c r="O176" s="68"/>
      <c r="P176" s="68"/>
      <c r="Q176" s="68"/>
      <c r="R176" s="68"/>
      <c r="S176" s="68"/>
      <c r="T176" s="70"/>
      <c r="AC176" s="68"/>
      <c r="AD176" s="70"/>
      <c r="AM176" s="68"/>
      <c r="AN176" s="70"/>
      <c r="AU176" s="68"/>
      <c r="AV176" s="70"/>
      <c r="BB176" s="68"/>
      <c r="BC176" s="70"/>
      <c r="BD176" s="68"/>
      <c r="BE176" s="68"/>
      <c r="BF176" s="68"/>
      <c r="BG176" s="68"/>
      <c r="BH176" s="68"/>
      <c r="BI176" s="68"/>
      <c r="BJ176" s="70"/>
      <c r="BM176" s="68"/>
      <c r="BN176" s="70"/>
      <c r="BT176" s="68"/>
      <c r="BU176" s="70"/>
      <c r="BZ176" s="10"/>
      <c r="CF176" s="10"/>
      <c r="CI176" s="389"/>
      <c r="CJ176" s="389"/>
      <c r="CK176" s="68"/>
      <c r="CL176" s="70"/>
      <c r="CO176" s="10"/>
      <c r="CU176" s="10"/>
      <c r="DA176" s="10"/>
      <c r="DB176" s="70"/>
      <c r="DC176" s="70"/>
      <c r="DF176" s="68"/>
      <c r="DG176" s="70"/>
      <c r="DH176" s="68"/>
      <c r="DI176" s="386"/>
      <c r="DJ176" s="425"/>
      <c r="DL176" s="68"/>
      <c r="DM176" s="70"/>
      <c r="DQ176" s="68"/>
      <c r="DR176" s="70"/>
      <c r="DS176" s="338"/>
      <c r="DT176" s="338"/>
      <c r="DU176" s="338"/>
      <c r="DW176" s="338"/>
      <c r="DX176" s="338"/>
      <c r="DY176" s="338"/>
      <c r="EA176" s="338"/>
      <c r="EB176" s="338"/>
      <c r="EC176" s="338"/>
      <c r="EE176" s="338"/>
      <c r="EF176" s="338"/>
      <c r="EG176" s="338"/>
      <c r="EI176" s="336"/>
      <c r="EJ176" s="336"/>
      <c r="EK176" s="336"/>
      <c r="EL176" s="336"/>
      <c r="EM176" s="336"/>
      <c r="EN176" s="336"/>
      <c r="EO176" s="337"/>
      <c r="EP176" s="342"/>
      <c r="EQ176" s="336"/>
      <c r="ER176" s="342"/>
      <c r="ES176" s="336"/>
      <c r="ET176" s="342"/>
      <c r="EU176" s="336"/>
      <c r="EV176" s="342"/>
      <c r="EW176" s="336"/>
      <c r="EX176" s="342"/>
      <c r="EY176" s="342"/>
      <c r="EZ176" s="342"/>
      <c r="FA176" s="337"/>
      <c r="FE176" s="338"/>
      <c r="FH176" s="338"/>
      <c r="FI176" s="338"/>
      <c r="FJ176" s="338"/>
      <c r="FK176" s="338"/>
      <c r="FL176" s="338"/>
      <c r="FM176" s="337"/>
      <c r="FN176" s="336"/>
      <c r="FO176" s="336"/>
      <c r="FP176" s="336"/>
      <c r="FQ176" s="336"/>
      <c r="FR176" s="336"/>
      <c r="FS176" s="336"/>
      <c r="FT176" s="336"/>
      <c r="FU176" s="336"/>
      <c r="FV176" s="336"/>
      <c r="FW176" s="337"/>
      <c r="FX176" s="532"/>
      <c r="FY176" s="341"/>
      <c r="FZ176" s="341"/>
      <c r="GA176" s="336"/>
      <c r="GB176" s="341"/>
      <c r="GC176" s="341"/>
      <c r="GD176" s="341"/>
      <c r="GE176" s="336"/>
      <c r="GF176" s="336"/>
      <c r="GG176" s="336"/>
      <c r="GH176" s="336"/>
      <c r="GI176" s="336"/>
      <c r="GJ176" s="337"/>
      <c r="GM176" s="338"/>
      <c r="GN176" s="338"/>
      <c r="GO176" s="338"/>
      <c r="GS176" s="338"/>
      <c r="GT176" s="338"/>
      <c r="GU176" s="338"/>
      <c r="GY176" s="338"/>
      <c r="GZ176" s="338"/>
      <c r="HA176" s="338"/>
      <c r="HE176" s="338"/>
      <c r="HF176" s="338"/>
      <c r="HG176" s="338"/>
      <c r="HN176" s="68"/>
      <c r="HO176" s="68"/>
      <c r="HP176" s="68"/>
      <c r="HQ176" s="336"/>
      <c r="HR176" s="68"/>
      <c r="HS176" s="68"/>
      <c r="HT176" s="10"/>
      <c r="HW176" s="338"/>
      <c r="HX176" s="338"/>
      <c r="HY176" s="338"/>
      <c r="IC176" s="338"/>
      <c r="ID176" s="338"/>
      <c r="IE176" s="338"/>
      <c r="II176" s="338"/>
      <c r="IJ176" s="338"/>
      <c r="IK176" s="338"/>
      <c r="IO176" s="338"/>
      <c r="IP176" s="338"/>
      <c r="IQ176" s="338"/>
      <c r="IX176" s="68"/>
      <c r="IY176" s="68"/>
      <c r="IZ176" s="68"/>
      <c r="JA176" s="68"/>
      <c r="JB176" s="68"/>
      <c r="JC176" s="68"/>
      <c r="JD176" s="10"/>
      <c r="JG176" s="338"/>
      <c r="JH176" s="338"/>
      <c r="JI176" s="338"/>
      <c r="JM176" s="338"/>
      <c r="JN176" s="338"/>
      <c r="JQ176" s="338"/>
      <c r="JR176" s="338"/>
      <c r="JS176" s="338"/>
      <c r="JW176" s="358"/>
      <c r="JX176" s="336"/>
      <c r="JY176" s="336"/>
      <c r="JZ176" s="336"/>
      <c r="KA176" s="336"/>
      <c r="KB176" s="336"/>
      <c r="KC176" s="336"/>
      <c r="KD176" s="336"/>
      <c r="KE176" s="336"/>
      <c r="KF176" s="336"/>
      <c r="KG176" s="337"/>
      <c r="KH176" s="338"/>
      <c r="KI176" s="338"/>
      <c r="KJ176" s="338"/>
      <c r="KK176" s="338"/>
      <c r="KL176" s="338"/>
      <c r="KM176" s="338"/>
      <c r="KN176" s="338"/>
      <c r="KO176" s="338"/>
      <c r="KP176" s="338"/>
      <c r="KQ176" s="338"/>
      <c r="KR176" s="338"/>
      <c r="KS176" s="338"/>
      <c r="KT176" s="338"/>
      <c r="KU176" s="338"/>
      <c r="KV176" s="338"/>
      <c r="KW176" s="337"/>
      <c r="KX176" s="336"/>
      <c r="KY176" s="336"/>
      <c r="KZ176" s="336"/>
      <c r="LA176" s="336"/>
      <c r="LB176" s="336"/>
      <c r="LC176" s="336"/>
      <c r="LD176" s="336"/>
      <c r="LE176" s="336"/>
      <c r="LF176" s="336"/>
      <c r="LG176" s="336"/>
      <c r="LH176" s="336"/>
      <c r="LI176" s="336"/>
      <c r="LJ176" s="336"/>
      <c r="LK176" s="336"/>
      <c r="LL176" s="336"/>
      <c r="LM176" s="336"/>
      <c r="LN176" s="336"/>
      <c r="LO176" s="336"/>
      <c r="LP176" s="336"/>
      <c r="LQ176" s="337"/>
      <c r="MN176" s="10"/>
      <c r="OA176" s="10"/>
    </row>
    <row r="177" spans="1:391" s="370" customFormat="1" x14ac:dyDescent="0.25">
      <c r="A177" s="68"/>
      <c r="B177" s="10"/>
      <c r="C177" s="68"/>
      <c r="D177" s="68"/>
      <c r="E177" s="68"/>
      <c r="F177" s="68"/>
      <c r="G177" s="68"/>
      <c r="H177" s="68"/>
      <c r="I177" s="68"/>
      <c r="J177" s="68"/>
      <c r="K177" s="68"/>
      <c r="L177" s="68"/>
      <c r="M177" s="68"/>
      <c r="N177" s="68"/>
      <c r="O177" s="68"/>
      <c r="P177" s="68"/>
      <c r="Q177" s="68"/>
      <c r="R177" s="68"/>
      <c r="S177" s="68"/>
      <c r="T177" s="70"/>
      <c r="AC177" s="68"/>
      <c r="AD177" s="70"/>
      <c r="AM177" s="68"/>
      <c r="AN177" s="70"/>
      <c r="AU177" s="68"/>
      <c r="AV177" s="70"/>
      <c r="BB177" s="68"/>
      <c r="BC177" s="70"/>
      <c r="BD177" s="68"/>
      <c r="BE177" s="68"/>
      <c r="BF177" s="68"/>
      <c r="BG177" s="68"/>
      <c r="BH177" s="68"/>
      <c r="BI177" s="68"/>
      <c r="BJ177" s="70"/>
      <c r="BM177" s="68"/>
      <c r="BN177" s="70"/>
      <c r="BT177" s="68"/>
      <c r="BU177" s="70"/>
      <c r="BZ177" s="10"/>
      <c r="CF177" s="10"/>
      <c r="CI177" s="389"/>
      <c r="CJ177" s="389"/>
      <c r="CK177" s="68"/>
      <c r="CL177" s="70"/>
      <c r="CO177" s="10"/>
      <c r="CU177" s="10"/>
      <c r="DA177" s="10"/>
      <c r="DB177" s="70"/>
      <c r="DC177" s="70"/>
      <c r="DF177" s="68"/>
      <c r="DG177" s="70"/>
      <c r="DH177" s="68"/>
      <c r="DI177" s="386"/>
      <c r="DJ177" s="425"/>
      <c r="DL177" s="68"/>
      <c r="DM177" s="70"/>
      <c r="DQ177" s="68"/>
      <c r="DR177" s="70"/>
      <c r="DS177" s="338"/>
      <c r="DT177" s="338"/>
      <c r="DU177" s="338"/>
      <c r="DW177" s="338"/>
      <c r="DX177" s="338"/>
      <c r="DY177" s="338"/>
      <c r="EA177" s="338"/>
      <c r="EB177" s="338"/>
      <c r="EC177" s="338"/>
      <c r="EE177" s="338"/>
      <c r="EF177" s="338"/>
      <c r="EG177" s="338"/>
      <c r="EI177" s="336"/>
      <c r="EJ177" s="336"/>
      <c r="EK177" s="336"/>
      <c r="EL177" s="336"/>
      <c r="EM177" s="336"/>
      <c r="EN177" s="336"/>
      <c r="EO177" s="337"/>
      <c r="EP177" s="342"/>
      <c r="EQ177" s="336"/>
      <c r="ER177" s="342"/>
      <c r="ES177" s="336"/>
      <c r="ET177" s="342"/>
      <c r="EU177" s="336"/>
      <c r="EV177" s="342"/>
      <c r="EW177" s="336"/>
      <c r="EX177" s="342"/>
      <c r="EY177" s="342"/>
      <c r="EZ177" s="342"/>
      <c r="FA177" s="337"/>
      <c r="FE177" s="338"/>
      <c r="FH177" s="338"/>
      <c r="FI177" s="338"/>
      <c r="FJ177" s="338"/>
      <c r="FK177" s="338"/>
      <c r="FL177" s="338"/>
      <c r="FM177" s="337"/>
      <c r="FN177" s="336"/>
      <c r="FO177" s="336"/>
      <c r="FP177" s="336"/>
      <c r="FQ177" s="336"/>
      <c r="FR177" s="336"/>
      <c r="FS177" s="336"/>
      <c r="FT177" s="336"/>
      <c r="FU177" s="336"/>
      <c r="FV177" s="336"/>
      <c r="FW177" s="337"/>
      <c r="FX177" s="532"/>
      <c r="FY177" s="341"/>
      <c r="FZ177" s="341"/>
      <c r="GA177" s="336"/>
      <c r="GB177" s="341"/>
      <c r="GC177" s="341"/>
      <c r="GD177" s="341"/>
      <c r="GE177" s="336"/>
      <c r="GF177" s="336"/>
      <c r="GG177" s="336"/>
      <c r="GH177" s="336"/>
      <c r="GI177" s="336"/>
      <c r="GJ177" s="337"/>
      <c r="GM177" s="338"/>
      <c r="GN177" s="338"/>
      <c r="GO177" s="338"/>
      <c r="GS177" s="338"/>
      <c r="GT177" s="338"/>
      <c r="GU177" s="338"/>
      <c r="GY177" s="338"/>
      <c r="GZ177" s="338"/>
      <c r="HA177" s="338"/>
      <c r="HE177" s="338"/>
      <c r="HF177" s="338"/>
      <c r="HG177" s="338"/>
      <c r="HN177" s="68"/>
      <c r="HO177" s="68"/>
      <c r="HP177" s="68"/>
      <c r="HQ177" s="336"/>
      <c r="HR177" s="68"/>
      <c r="HS177" s="68"/>
      <c r="HT177" s="10"/>
      <c r="HW177" s="338"/>
      <c r="HX177" s="338"/>
      <c r="HY177" s="338"/>
      <c r="IC177" s="338"/>
      <c r="ID177" s="338"/>
      <c r="IE177" s="338"/>
      <c r="II177" s="338"/>
      <c r="IJ177" s="338"/>
      <c r="IK177" s="338"/>
      <c r="IO177" s="338"/>
      <c r="IP177" s="338"/>
      <c r="IQ177" s="338"/>
      <c r="IX177" s="68"/>
      <c r="IY177" s="68"/>
      <c r="IZ177" s="68"/>
      <c r="JA177" s="68"/>
      <c r="JB177" s="68"/>
      <c r="JC177" s="68"/>
      <c r="JD177" s="10"/>
      <c r="JG177" s="338"/>
      <c r="JH177" s="338"/>
      <c r="JI177" s="338"/>
      <c r="JM177" s="338"/>
      <c r="JN177" s="338"/>
      <c r="JQ177" s="338"/>
      <c r="JR177" s="338"/>
      <c r="JS177" s="338"/>
      <c r="JW177" s="358"/>
      <c r="JX177" s="336"/>
      <c r="JY177" s="336"/>
      <c r="JZ177" s="336"/>
      <c r="KA177" s="336"/>
      <c r="KB177" s="336"/>
      <c r="KC177" s="336"/>
      <c r="KD177" s="336"/>
      <c r="KE177" s="336"/>
      <c r="KF177" s="336"/>
      <c r="KG177" s="337"/>
      <c r="KH177" s="338"/>
      <c r="KI177" s="338"/>
      <c r="KJ177" s="338"/>
      <c r="KK177" s="338"/>
      <c r="KL177" s="338"/>
      <c r="KM177" s="338"/>
      <c r="KN177" s="338"/>
      <c r="KO177" s="338"/>
      <c r="KP177" s="338"/>
      <c r="KQ177" s="338"/>
      <c r="KR177" s="338"/>
      <c r="KS177" s="338"/>
      <c r="KT177" s="338"/>
      <c r="KU177" s="338"/>
      <c r="KV177" s="338"/>
      <c r="KW177" s="337"/>
      <c r="KX177" s="336"/>
      <c r="KY177" s="336"/>
      <c r="KZ177" s="336"/>
      <c r="LA177" s="336"/>
      <c r="LB177" s="336"/>
      <c r="LC177" s="336"/>
      <c r="LD177" s="336"/>
      <c r="LE177" s="336"/>
      <c r="LF177" s="336"/>
      <c r="LG177" s="336"/>
      <c r="LH177" s="336"/>
      <c r="LI177" s="336"/>
      <c r="LJ177" s="336"/>
      <c r="LK177" s="336"/>
      <c r="LL177" s="336"/>
      <c r="LM177" s="336"/>
      <c r="LN177" s="336"/>
      <c r="LO177" s="336"/>
      <c r="LP177" s="336"/>
      <c r="LQ177" s="337"/>
      <c r="MN177" s="10"/>
      <c r="OA177" s="10"/>
    </row>
    <row r="178" spans="1:391" s="370" customFormat="1" x14ac:dyDescent="0.25">
      <c r="A178" s="68"/>
      <c r="B178" s="10"/>
      <c r="C178" s="68"/>
      <c r="D178" s="68"/>
      <c r="E178" s="68"/>
      <c r="F178" s="68"/>
      <c r="G178" s="68"/>
      <c r="H178" s="68"/>
      <c r="I178" s="68"/>
      <c r="J178" s="68"/>
      <c r="K178" s="68"/>
      <c r="L178" s="68"/>
      <c r="M178" s="68"/>
      <c r="N178" s="68"/>
      <c r="O178" s="68"/>
      <c r="P178" s="68"/>
      <c r="Q178" s="68"/>
      <c r="R178" s="68"/>
      <c r="S178" s="68"/>
      <c r="T178" s="70"/>
      <c r="AC178" s="68"/>
      <c r="AD178" s="70"/>
      <c r="AM178" s="68"/>
      <c r="AN178" s="70"/>
      <c r="AU178" s="68"/>
      <c r="AV178" s="70"/>
      <c r="BB178" s="68"/>
      <c r="BC178" s="70"/>
      <c r="BD178" s="68"/>
      <c r="BE178" s="68"/>
      <c r="BF178" s="68"/>
      <c r="BG178" s="68"/>
      <c r="BH178" s="68"/>
      <c r="BI178" s="68"/>
      <c r="BJ178" s="70"/>
      <c r="BM178" s="68"/>
      <c r="BN178" s="70"/>
      <c r="BT178" s="68"/>
      <c r="BU178" s="70"/>
      <c r="BZ178" s="10"/>
      <c r="CF178" s="10"/>
      <c r="CI178" s="389"/>
      <c r="CJ178" s="389"/>
      <c r="CK178" s="68"/>
      <c r="CL178" s="70"/>
      <c r="CO178" s="10"/>
      <c r="CU178" s="10"/>
      <c r="DA178" s="10"/>
      <c r="DB178" s="70"/>
      <c r="DC178" s="70"/>
      <c r="DF178" s="68"/>
      <c r="DG178" s="70"/>
      <c r="DH178" s="68"/>
      <c r="DI178" s="386"/>
      <c r="DJ178" s="425"/>
      <c r="DL178" s="68"/>
      <c r="DM178" s="70"/>
      <c r="DQ178" s="68"/>
      <c r="DR178" s="70"/>
      <c r="DS178" s="338"/>
      <c r="DT178" s="338"/>
      <c r="DU178" s="338"/>
      <c r="DW178" s="338"/>
      <c r="DX178" s="338"/>
      <c r="DY178" s="338"/>
      <c r="EA178" s="338"/>
      <c r="EB178" s="338"/>
      <c r="EC178" s="338"/>
      <c r="EE178" s="338"/>
      <c r="EF178" s="338"/>
      <c r="EG178" s="338"/>
      <c r="EI178" s="336"/>
      <c r="EJ178" s="336"/>
      <c r="EK178" s="336"/>
      <c r="EL178" s="336"/>
      <c r="EM178" s="336"/>
      <c r="EN178" s="336"/>
      <c r="EO178" s="337"/>
      <c r="EP178" s="342"/>
      <c r="EQ178" s="336"/>
      <c r="ER178" s="342"/>
      <c r="ES178" s="336"/>
      <c r="ET178" s="342"/>
      <c r="EU178" s="336"/>
      <c r="EV178" s="342"/>
      <c r="EW178" s="336"/>
      <c r="EX178" s="342"/>
      <c r="EY178" s="342"/>
      <c r="EZ178" s="342"/>
      <c r="FA178" s="337"/>
      <c r="FE178" s="338"/>
      <c r="FH178" s="338"/>
      <c r="FI178" s="338"/>
      <c r="FJ178" s="338"/>
      <c r="FK178" s="338"/>
      <c r="FL178" s="338"/>
      <c r="FM178" s="337"/>
      <c r="FN178" s="336"/>
      <c r="FO178" s="336"/>
      <c r="FP178" s="336"/>
      <c r="FQ178" s="336"/>
      <c r="FR178" s="336"/>
      <c r="FS178" s="336"/>
      <c r="FT178" s="336"/>
      <c r="FU178" s="336"/>
      <c r="FV178" s="336"/>
      <c r="FW178" s="337"/>
      <c r="FX178" s="532"/>
      <c r="FY178" s="341"/>
      <c r="FZ178" s="341"/>
      <c r="GA178" s="336"/>
      <c r="GB178" s="341"/>
      <c r="GC178" s="341"/>
      <c r="GD178" s="341"/>
      <c r="GE178" s="336"/>
      <c r="GF178" s="336"/>
      <c r="GG178" s="336"/>
      <c r="GH178" s="336"/>
      <c r="GI178" s="336"/>
      <c r="GJ178" s="337"/>
      <c r="GM178" s="338"/>
      <c r="GN178" s="338"/>
      <c r="GO178" s="338"/>
      <c r="GS178" s="338"/>
      <c r="GT178" s="338"/>
      <c r="GU178" s="338"/>
      <c r="GY178" s="338"/>
      <c r="GZ178" s="338"/>
      <c r="HA178" s="338"/>
      <c r="HE178" s="338"/>
      <c r="HF178" s="338"/>
      <c r="HG178" s="338"/>
      <c r="HN178" s="68"/>
      <c r="HO178" s="68"/>
      <c r="HP178" s="68"/>
      <c r="HQ178" s="336"/>
      <c r="HR178" s="68"/>
      <c r="HS178" s="68"/>
      <c r="HT178" s="10"/>
      <c r="HW178" s="338"/>
      <c r="HX178" s="338"/>
      <c r="HY178" s="338"/>
      <c r="IC178" s="338"/>
      <c r="ID178" s="338"/>
      <c r="IE178" s="338"/>
      <c r="II178" s="338"/>
      <c r="IJ178" s="338"/>
      <c r="IK178" s="338"/>
      <c r="IO178" s="338"/>
      <c r="IP178" s="338"/>
      <c r="IQ178" s="338"/>
      <c r="IX178" s="68"/>
      <c r="IY178" s="68"/>
      <c r="IZ178" s="68"/>
      <c r="JA178" s="68"/>
      <c r="JB178" s="68"/>
      <c r="JC178" s="68"/>
      <c r="JD178" s="10"/>
      <c r="JG178" s="338"/>
      <c r="JH178" s="338"/>
      <c r="JI178" s="338"/>
      <c r="JM178" s="338"/>
      <c r="JN178" s="338"/>
      <c r="JQ178" s="338"/>
      <c r="JR178" s="338"/>
      <c r="JS178" s="338"/>
      <c r="JW178" s="358"/>
      <c r="JX178" s="336"/>
      <c r="JY178" s="336"/>
      <c r="JZ178" s="336"/>
      <c r="KA178" s="336"/>
      <c r="KB178" s="336"/>
      <c r="KC178" s="336"/>
      <c r="KD178" s="336"/>
      <c r="KE178" s="336"/>
      <c r="KF178" s="336"/>
      <c r="KG178" s="337"/>
      <c r="KH178" s="338"/>
      <c r="KI178" s="338"/>
      <c r="KJ178" s="338"/>
      <c r="KK178" s="338"/>
      <c r="KL178" s="338"/>
      <c r="KM178" s="338"/>
      <c r="KN178" s="338"/>
      <c r="KO178" s="338"/>
      <c r="KP178" s="338"/>
      <c r="KQ178" s="338"/>
      <c r="KR178" s="338"/>
      <c r="KS178" s="338"/>
      <c r="KT178" s="338"/>
      <c r="KU178" s="338"/>
      <c r="KV178" s="338"/>
      <c r="KW178" s="337"/>
      <c r="KX178" s="336"/>
      <c r="KY178" s="336"/>
      <c r="KZ178" s="336"/>
      <c r="LA178" s="336"/>
      <c r="LB178" s="336"/>
      <c r="LC178" s="336"/>
      <c r="LD178" s="336"/>
      <c r="LE178" s="336"/>
      <c r="LF178" s="336"/>
      <c r="LG178" s="336"/>
      <c r="LH178" s="336"/>
      <c r="LI178" s="336"/>
      <c r="LJ178" s="336"/>
      <c r="LK178" s="336"/>
      <c r="LL178" s="336"/>
      <c r="LM178" s="336"/>
      <c r="LN178" s="336"/>
      <c r="LO178" s="336"/>
      <c r="LP178" s="336"/>
      <c r="LQ178" s="337"/>
      <c r="MN178" s="10"/>
      <c r="OA178" s="10"/>
    </row>
    <row r="179" spans="1:391" s="370" customFormat="1" x14ac:dyDescent="0.25">
      <c r="A179" s="68"/>
      <c r="B179" s="10"/>
      <c r="C179" s="68"/>
      <c r="D179" s="68"/>
      <c r="E179" s="68"/>
      <c r="F179" s="68"/>
      <c r="G179" s="68"/>
      <c r="H179" s="68"/>
      <c r="I179" s="68"/>
      <c r="J179" s="68"/>
      <c r="K179" s="68"/>
      <c r="L179" s="68"/>
      <c r="M179" s="68"/>
      <c r="N179" s="68"/>
      <c r="O179" s="68"/>
      <c r="P179" s="68"/>
      <c r="Q179" s="68"/>
      <c r="R179" s="68"/>
      <c r="S179" s="68"/>
      <c r="T179" s="70"/>
      <c r="AC179" s="68"/>
      <c r="AD179" s="70"/>
      <c r="AM179" s="68"/>
      <c r="AN179" s="70"/>
      <c r="AU179" s="68"/>
      <c r="AV179" s="70"/>
      <c r="BB179" s="68"/>
      <c r="BC179" s="70"/>
      <c r="BD179" s="68"/>
      <c r="BE179" s="68"/>
      <c r="BF179" s="68"/>
      <c r="BG179" s="68"/>
      <c r="BH179" s="68"/>
      <c r="BI179" s="68"/>
      <c r="BJ179" s="70"/>
      <c r="BM179" s="68"/>
      <c r="BN179" s="70"/>
      <c r="BT179" s="68"/>
      <c r="BU179" s="70"/>
      <c r="BZ179" s="10"/>
      <c r="CF179" s="10"/>
      <c r="CI179" s="389"/>
      <c r="CJ179" s="389"/>
      <c r="CK179" s="68"/>
      <c r="CL179" s="70"/>
      <c r="CO179" s="10"/>
      <c r="CU179" s="10"/>
      <c r="DA179" s="10"/>
      <c r="DB179" s="70"/>
      <c r="DC179" s="70"/>
      <c r="DF179" s="68"/>
      <c r="DG179" s="70"/>
      <c r="DH179" s="68"/>
      <c r="DI179" s="386"/>
      <c r="DJ179" s="425"/>
      <c r="DL179" s="68"/>
      <c r="DM179" s="70"/>
      <c r="DQ179" s="68"/>
      <c r="DR179" s="70"/>
      <c r="DS179" s="338"/>
      <c r="DT179" s="338"/>
      <c r="DU179" s="338"/>
      <c r="DW179" s="338"/>
      <c r="DX179" s="338"/>
      <c r="DY179" s="338"/>
      <c r="EA179" s="338"/>
      <c r="EB179" s="338"/>
      <c r="EC179" s="338"/>
      <c r="EE179" s="338"/>
      <c r="EF179" s="338"/>
      <c r="EG179" s="338"/>
      <c r="EI179" s="336"/>
      <c r="EJ179" s="336"/>
      <c r="EK179" s="336"/>
      <c r="EL179" s="336"/>
      <c r="EM179" s="336"/>
      <c r="EN179" s="336"/>
      <c r="EO179" s="337"/>
      <c r="EP179" s="342"/>
      <c r="EQ179" s="336"/>
      <c r="ER179" s="342"/>
      <c r="ES179" s="336"/>
      <c r="ET179" s="342"/>
      <c r="EU179" s="336"/>
      <c r="EV179" s="342"/>
      <c r="EW179" s="336"/>
      <c r="EX179" s="342"/>
      <c r="EY179" s="342"/>
      <c r="EZ179" s="342"/>
      <c r="FA179" s="337"/>
      <c r="FE179" s="338"/>
      <c r="FH179" s="338"/>
      <c r="FI179" s="338"/>
      <c r="FJ179" s="338"/>
      <c r="FK179" s="338"/>
      <c r="FL179" s="338"/>
      <c r="FM179" s="337"/>
      <c r="FN179" s="336"/>
      <c r="FO179" s="336"/>
      <c r="FP179" s="336"/>
      <c r="FQ179" s="336"/>
      <c r="FR179" s="336"/>
      <c r="FS179" s="336"/>
      <c r="FT179" s="336"/>
      <c r="FU179" s="336"/>
      <c r="FV179" s="336"/>
      <c r="FW179" s="337"/>
      <c r="FX179" s="532"/>
      <c r="FY179" s="341"/>
      <c r="FZ179" s="341"/>
      <c r="GA179" s="336"/>
      <c r="GB179" s="341"/>
      <c r="GC179" s="341"/>
      <c r="GD179" s="341"/>
      <c r="GE179" s="336"/>
      <c r="GF179" s="336"/>
      <c r="GG179" s="336"/>
      <c r="GH179" s="336"/>
      <c r="GI179" s="336"/>
      <c r="GJ179" s="337"/>
      <c r="GM179" s="338"/>
      <c r="GN179" s="338"/>
      <c r="GO179" s="338"/>
      <c r="GS179" s="338"/>
      <c r="GT179" s="338"/>
      <c r="GU179" s="338"/>
      <c r="GY179" s="338"/>
      <c r="GZ179" s="338"/>
      <c r="HA179" s="338"/>
      <c r="HE179" s="338"/>
      <c r="HF179" s="338"/>
      <c r="HG179" s="338"/>
      <c r="HN179" s="68"/>
      <c r="HO179" s="68"/>
      <c r="HP179" s="68"/>
      <c r="HQ179" s="336"/>
      <c r="HR179" s="68"/>
      <c r="HS179" s="68"/>
      <c r="HT179" s="10"/>
      <c r="HW179" s="338"/>
      <c r="HX179" s="338"/>
      <c r="HY179" s="338"/>
      <c r="IC179" s="338"/>
      <c r="ID179" s="338"/>
      <c r="IE179" s="338"/>
      <c r="II179" s="338"/>
      <c r="IJ179" s="338"/>
      <c r="IK179" s="338"/>
      <c r="IO179" s="338"/>
      <c r="IP179" s="338"/>
      <c r="IQ179" s="338"/>
      <c r="IX179" s="68"/>
      <c r="IY179" s="68"/>
      <c r="IZ179" s="68"/>
      <c r="JA179" s="68"/>
      <c r="JB179" s="68"/>
      <c r="JC179" s="68"/>
      <c r="JD179" s="10"/>
      <c r="JG179" s="338"/>
      <c r="JH179" s="338"/>
      <c r="JI179" s="338"/>
      <c r="JM179" s="338"/>
      <c r="JN179" s="338"/>
      <c r="JQ179" s="338"/>
      <c r="JR179" s="338"/>
      <c r="JS179" s="338"/>
      <c r="JW179" s="358"/>
      <c r="JX179" s="336"/>
      <c r="JY179" s="336"/>
      <c r="JZ179" s="336"/>
      <c r="KA179" s="336"/>
      <c r="KB179" s="336"/>
      <c r="KC179" s="336"/>
      <c r="KD179" s="336"/>
      <c r="KE179" s="336"/>
      <c r="KF179" s="336"/>
      <c r="KG179" s="337"/>
      <c r="KH179" s="338"/>
      <c r="KI179" s="338"/>
      <c r="KJ179" s="338"/>
      <c r="KK179" s="338"/>
      <c r="KL179" s="338"/>
      <c r="KM179" s="338"/>
      <c r="KN179" s="338"/>
      <c r="KO179" s="338"/>
      <c r="KP179" s="338"/>
      <c r="KQ179" s="338"/>
      <c r="KR179" s="338"/>
      <c r="KS179" s="338"/>
      <c r="KT179" s="338"/>
      <c r="KU179" s="338"/>
      <c r="KV179" s="338"/>
      <c r="KW179" s="337"/>
      <c r="KX179" s="336"/>
      <c r="KY179" s="336"/>
      <c r="KZ179" s="336"/>
      <c r="LA179" s="336"/>
      <c r="LB179" s="336"/>
      <c r="LC179" s="336"/>
      <c r="LD179" s="336"/>
      <c r="LE179" s="336"/>
      <c r="LF179" s="336"/>
      <c r="LG179" s="336"/>
      <c r="LH179" s="336"/>
      <c r="LI179" s="336"/>
      <c r="LJ179" s="336"/>
      <c r="LK179" s="336"/>
      <c r="LL179" s="336"/>
      <c r="LM179" s="336"/>
      <c r="LN179" s="336"/>
      <c r="LO179" s="336"/>
      <c r="LP179" s="336"/>
      <c r="LQ179" s="337"/>
      <c r="MN179" s="10"/>
      <c r="OA179" s="10"/>
    </row>
    <row r="180" spans="1:391" s="370" customFormat="1" x14ac:dyDescent="0.25">
      <c r="A180" s="68"/>
      <c r="B180" s="10"/>
      <c r="C180" s="68"/>
      <c r="D180" s="68"/>
      <c r="E180" s="68"/>
      <c r="F180" s="68"/>
      <c r="G180" s="68"/>
      <c r="H180" s="68"/>
      <c r="I180" s="68"/>
      <c r="J180" s="68"/>
      <c r="K180" s="68"/>
      <c r="L180" s="68"/>
      <c r="M180" s="68"/>
      <c r="N180" s="68"/>
      <c r="O180" s="68"/>
      <c r="P180" s="68"/>
      <c r="Q180" s="68"/>
      <c r="R180" s="68"/>
      <c r="S180" s="68"/>
      <c r="T180" s="70"/>
      <c r="AC180" s="68"/>
      <c r="AD180" s="70"/>
      <c r="AM180" s="68"/>
      <c r="AN180" s="70"/>
      <c r="AU180" s="68"/>
      <c r="AV180" s="70"/>
      <c r="BB180" s="68"/>
      <c r="BC180" s="70"/>
      <c r="BD180" s="68"/>
      <c r="BE180" s="68"/>
      <c r="BF180" s="68"/>
      <c r="BG180" s="68"/>
      <c r="BH180" s="68"/>
      <c r="BI180" s="68"/>
      <c r="BJ180" s="70"/>
      <c r="BM180" s="68"/>
      <c r="BN180" s="70"/>
      <c r="BT180" s="68"/>
      <c r="BU180" s="70"/>
      <c r="BZ180" s="10"/>
      <c r="CF180" s="10"/>
      <c r="CI180" s="389"/>
      <c r="CJ180" s="389"/>
      <c r="CK180" s="68"/>
      <c r="CL180" s="70"/>
      <c r="CO180" s="10"/>
      <c r="CU180" s="10"/>
      <c r="DA180" s="10"/>
      <c r="DB180" s="70"/>
      <c r="DC180" s="70"/>
      <c r="DF180" s="68"/>
      <c r="DG180" s="70"/>
      <c r="DH180" s="68"/>
      <c r="DI180" s="386"/>
      <c r="DJ180" s="425"/>
      <c r="DL180" s="68"/>
      <c r="DM180" s="70"/>
      <c r="DQ180" s="68"/>
      <c r="DR180" s="70"/>
      <c r="DS180" s="338"/>
      <c r="DT180" s="338"/>
      <c r="DU180" s="338"/>
      <c r="DW180" s="338"/>
      <c r="DX180" s="338"/>
      <c r="DY180" s="338"/>
      <c r="EA180" s="338"/>
      <c r="EB180" s="338"/>
      <c r="EC180" s="338"/>
      <c r="EE180" s="338"/>
      <c r="EF180" s="338"/>
      <c r="EG180" s="338"/>
      <c r="EI180" s="336"/>
      <c r="EJ180" s="336"/>
      <c r="EK180" s="336"/>
      <c r="EL180" s="336"/>
      <c r="EM180" s="336"/>
      <c r="EN180" s="336"/>
      <c r="EO180" s="337"/>
      <c r="EP180" s="342"/>
      <c r="EQ180" s="336"/>
      <c r="ER180" s="342"/>
      <c r="ES180" s="336"/>
      <c r="ET180" s="342"/>
      <c r="EU180" s="336"/>
      <c r="EV180" s="342"/>
      <c r="EW180" s="336"/>
      <c r="EX180" s="342"/>
      <c r="EY180" s="342"/>
      <c r="EZ180" s="342"/>
      <c r="FA180" s="337"/>
      <c r="FE180" s="338"/>
      <c r="FH180" s="338"/>
      <c r="FI180" s="338"/>
      <c r="FJ180" s="338"/>
      <c r="FK180" s="338"/>
      <c r="FL180" s="338"/>
      <c r="FM180" s="337"/>
      <c r="FN180" s="336"/>
      <c r="FO180" s="336"/>
      <c r="FP180" s="336"/>
      <c r="FQ180" s="336"/>
      <c r="FR180" s="336"/>
      <c r="FS180" s="336"/>
      <c r="FT180" s="336"/>
      <c r="FU180" s="336"/>
      <c r="FV180" s="336"/>
      <c r="FW180" s="337"/>
      <c r="FX180" s="532"/>
      <c r="FY180" s="341"/>
      <c r="FZ180" s="341"/>
      <c r="GA180" s="336"/>
      <c r="GB180" s="341"/>
      <c r="GC180" s="341"/>
      <c r="GD180" s="341"/>
      <c r="GE180" s="336"/>
      <c r="GF180" s="336"/>
      <c r="GG180" s="336"/>
      <c r="GH180" s="336"/>
      <c r="GI180" s="336"/>
      <c r="GJ180" s="337"/>
      <c r="GM180" s="338"/>
      <c r="GN180" s="338"/>
      <c r="GO180" s="338"/>
      <c r="GS180" s="338"/>
      <c r="GT180" s="338"/>
      <c r="GU180" s="338"/>
      <c r="GY180" s="338"/>
      <c r="GZ180" s="338"/>
      <c r="HA180" s="338"/>
      <c r="HE180" s="338"/>
      <c r="HF180" s="338"/>
      <c r="HG180" s="338"/>
      <c r="HN180" s="68"/>
      <c r="HO180" s="68"/>
      <c r="HP180" s="68"/>
      <c r="HQ180" s="336"/>
      <c r="HR180" s="68"/>
      <c r="HS180" s="68"/>
      <c r="HT180" s="10"/>
      <c r="HW180" s="338"/>
      <c r="HX180" s="338"/>
      <c r="HY180" s="338"/>
      <c r="IC180" s="338"/>
      <c r="ID180" s="338"/>
      <c r="IE180" s="338"/>
      <c r="II180" s="338"/>
      <c r="IJ180" s="338"/>
      <c r="IK180" s="338"/>
      <c r="IO180" s="338"/>
      <c r="IP180" s="338"/>
      <c r="IQ180" s="338"/>
      <c r="IX180" s="68"/>
      <c r="IY180" s="68"/>
      <c r="IZ180" s="68"/>
      <c r="JA180" s="68"/>
      <c r="JB180" s="68"/>
      <c r="JC180" s="68"/>
      <c r="JD180" s="10"/>
      <c r="JG180" s="338"/>
      <c r="JH180" s="338"/>
      <c r="JI180" s="338"/>
      <c r="JM180" s="338"/>
      <c r="JN180" s="338"/>
      <c r="JQ180" s="338"/>
      <c r="JR180" s="338"/>
      <c r="JS180" s="338"/>
      <c r="JW180" s="358"/>
      <c r="JX180" s="336"/>
      <c r="JY180" s="336"/>
      <c r="JZ180" s="336"/>
      <c r="KA180" s="336"/>
      <c r="KB180" s="336"/>
      <c r="KC180" s="336"/>
      <c r="KD180" s="336"/>
      <c r="KE180" s="336"/>
      <c r="KF180" s="336"/>
      <c r="KG180" s="337"/>
      <c r="KH180" s="338"/>
      <c r="KI180" s="338"/>
      <c r="KJ180" s="338"/>
      <c r="KK180" s="338"/>
      <c r="KL180" s="338"/>
      <c r="KM180" s="338"/>
      <c r="KN180" s="338"/>
      <c r="KO180" s="338"/>
      <c r="KP180" s="338"/>
      <c r="KQ180" s="338"/>
      <c r="KR180" s="338"/>
      <c r="KS180" s="338"/>
      <c r="KT180" s="338"/>
      <c r="KU180" s="338"/>
      <c r="KV180" s="338"/>
      <c r="KW180" s="337"/>
      <c r="KX180" s="336"/>
      <c r="KY180" s="336"/>
      <c r="KZ180" s="336"/>
      <c r="LA180" s="336"/>
      <c r="LB180" s="336"/>
      <c r="LC180" s="336"/>
      <c r="LD180" s="336"/>
      <c r="LE180" s="336"/>
      <c r="LF180" s="336"/>
      <c r="LG180" s="336"/>
      <c r="LH180" s="336"/>
      <c r="LI180" s="336"/>
      <c r="LJ180" s="336"/>
      <c r="LK180" s="336"/>
      <c r="LL180" s="336"/>
      <c r="LM180" s="336"/>
      <c r="LN180" s="336"/>
      <c r="LO180" s="336"/>
      <c r="LP180" s="336"/>
      <c r="LQ180" s="337"/>
      <c r="MN180" s="10"/>
      <c r="OA180" s="10"/>
    </row>
    <row r="181" spans="1:391" s="370" customFormat="1" x14ac:dyDescent="0.25">
      <c r="A181" s="68"/>
      <c r="B181" s="10"/>
      <c r="C181" s="68"/>
      <c r="D181" s="68"/>
      <c r="E181" s="68"/>
      <c r="F181" s="68"/>
      <c r="G181" s="68"/>
      <c r="H181" s="68"/>
      <c r="I181" s="68"/>
      <c r="J181" s="68"/>
      <c r="K181" s="68"/>
      <c r="L181" s="68"/>
      <c r="M181" s="68"/>
      <c r="N181" s="68"/>
      <c r="O181" s="68"/>
      <c r="P181" s="68"/>
      <c r="Q181" s="68"/>
      <c r="R181" s="68"/>
      <c r="S181" s="68"/>
      <c r="T181" s="70"/>
      <c r="AC181" s="68"/>
      <c r="AD181" s="70"/>
      <c r="AM181" s="68"/>
      <c r="AN181" s="70"/>
      <c r="AU181" s="68"/>
      <c r="AV181" s="70"/>
      <c r="BB181" s="68"/>
      <c r="BC181" s="70"/>
      <c r="BD181" s="68"/>
      <c r="BE181" s="68"/>
      <c r="BF181" s="68"/>
      <c r="BG181" s="68"/>
      <c r="BH181" s="68"/>
      <c r="BI181" s="68"/>
      <c r="BJ181" s="70"/>
      <c r="BM181" s="68"/>
      <c r="BN181" s="70"/>
      <c r="BT181" s="68"/>
      <c r="BU181" s="70"/>
      <c r="BZ181" s="10"/>
      <c r="CF181" s="10"/>
      <c r="CI181" s="389"/>
      <c r="CJ181" s="389"/>
      <c r="CK181" s="68"/>
      <c r="CL181" s="70"/>
      <c r="CO181" s="10"/>
      <c r="CU181" s="10"/>
      <c r="DA181" s="10"/>
      <c r="DB181" s="70"/>
      <c r="DC181" s="70"/>
      <c r="DF181" s="68"/>
      <c r="DG181" s="70"/>
      <c r="DH181" s="68"/>
      <c r="DI181" s="386"/>
      <c r="DJ181" s="425"/>
      <c r="DL181" s="68"/>
      <c r="DM181" s="70"/>
      <c r="DQ181" s="68"/>
      <c r="DR181" s="70"/>
      <c r="DS181" s="338"/>
      <c r="DT181" s="338"/>
      <c r="DU181" s="338"/>
      <c r="DW181" s="338"/>
      <c r="DX181" s="338"/>
      <c r="DY181" s="338"/>
      <c r="EA181" s="338"/>
      <c r="EB181" s="338"/>
      <c r="EC181" s="338"/>
      <c r="EE181" s="338"/>
      <c r="EF181" s="338"/>
      <c r="EG181" s="338"/>
      <c r="EI181" s="336"/>
      <c r="EJ181" s="336"/>
      <c r="EK181" s="336"/>
      <c r="EL181" s="336"/>
      <c r="EM181" s="336"/>
      <c r="EN181" s="336"/>
      <c r="EO181" s="337"/>
      <c r="EP181" s="342"/>
      <c r="EQ181" s="336"/>
      <c r="ER181" s="342"/>
      <c r="ES181" s="336"/>
      <c r="ET181" s="342"/>
      <c r="EU181" s="336"/>
      <c r="EV181" s="342"/>
      <c r="EW181" s="336"/>
      <c r="EX181" s="342"/>
      <c r="EY181" s="342"/>
      <c r="EZ181" s="342"/>
      <c r="FA181" s="337"/>
      <c r="FE181" s="338"/>
      <c r="FH181" s="338"/>
      <c r="FI181" s="338"/>
      <c r="FJ181" s="338"/>
      <c r="FK181" s="338"/>
      <c r="FL181" s="338"/>
      <c r="FM181" s="337"/>
      <c r="FN181" s="336"/>
      <c r="FO181" s="336"/>
      <c r="FP181" s="336"/>
      <c r="FQ181" s="336"/>
      <c r="FR181" s="336"/>
      <c r="FS181" s="336"/>
      <c r="FT181" s="336"/>
      <c r="FU181" s="336"/>
      <c r="FV181" s="336"/>
      <c r="FW181" s="337"/>
      <c r="FX181" s="532"/>
      <c r="FY181" s="341"/>
      <c r="FZ181" s="341"/>
      <c r="GA181" s="336"/>
      <c r="GB181" s="341"/>
      <c r="GC181" s="341"/>
      <c r="GD181" s="341"/>
      <c r="GE181" s="336"/>
      <c r="GF181" s="336"/>
      <c r="GG181" s="336"/>
      <c r="GH181" s="336"/>
      <c r="GI181" s="336"/>
      <c r="GJ181" s="337"/>
      <c r="GM181" s="338"/>
      <c r="GN181" s="338"/>
      <c r="GO181" s="338"/>
      <c r="GS181" s="338"/>
      <c r="GT181" s="338"/>
      <c r="GU181" s="338"/>
      <c r="GY181" s="338"/>
      <c r="GZ181" s="338"/>
      <c r="HA181" s="338"/>
      <c r="HE181" s="338"/>
      <c r="HF181" s="338"/>
      <c r="HG181" s="338"/>
      <c r="HN181" s="68"/>
      <c r="HO181" s="68"/>
      <c r="HP181" s="68"/>
      <c r="HQ181" s="336"/>
      <c r="HR181" s="68"/>
      <c r="HS181" s="68"/>
      <c r="HT181" s="10"/>
      <c r="HW181" s="338"/>
      <c r="HX181" s="338"/>
      <c r="HY181" s="338"/>
      <c r="IC181" s="338"/>
      <c r="ID181" s="338"/>
      <c r="IE181" s="338"/>
      <c r="II181" s="338"/>
      <c r="IJ181" s="338"/>
      <c r="IK181" s="338"/>
      <c r="IO181" s="338"/>
      <c r="IP181" s="338"/>
      <c r="IQ181" s="338"/>
      <c r="IX181" s="68"/>
      <c r="IY181" s="68"/>
      <c r="IZ181" s="68"/>
      <c r="JA181" s="68"/>
      <c r="JB181" s="68"/>
      <c r="JC181" s="68"/>
      <c r="JD181" s="10"/>
      <c r="JG181" s="338"/>
      <c r="JH181" s="338"/>
      <c r="JI181" s="338"/>
      <c r="JM181" s="338"/>
      <c r="JN181" s="338"/>
      <c r="JQ181" s="338"/>
      <c r="JR181" s="338"/>
      <c r="JS181" s="338"/>
      <c r="JW181" s="358"/>
      <c r="JX181" s="336"/>
      <c r="JY181" s="336"/>
      <c r="JZ181" s="336"/>
      <c r="KA181" s="336"/>
      <c r="KB181" s="336"/>
      <c r="KC181" s="336"/>
      <c r="KD181" s="336"/>
      <c r="KE181" s="336"/>
      <c r="KF181" s="336"/>
      <c r="KG181" s="337"/>
      <c r="KH181" s="338"/>
      <c r="KI181" s="338"/>
      <c r="KJ181" s="338"/>
      <c r="KK181" s="338"/>
      <c r="KL181" s="338"/>
      <c r="KM181" s="338"/>
      <c r="KN181" s="338"/>
      <c r="KO181" s="338"/>
      <c r="KP181" s="338"/>
      <c r="KQ181" s="338"/>
      <c r="KR181" s="338"/>
      <c r="KS181" s="338"/>
      <c r="KT181" s="338"/>
      <c r="KU181" s="338"/>
      <c r="KV181" s="338"/>
      <c r="KW181" s="337"/>
      <c r="KX181" s="336"/>
      <c r="KY181" s="336"/>
      <c r="KZ181" s="336"/>
      <c r="LA181" s="336"/>
      <c r="LB181" s="336"/>
      <c r="LC181" s="336"/>
      <c r="LD181" s="336"/>
      <c r="LE181" s="336"/>
      <c r="LF181" s="336"/>
      <c r="LG181" s="336"/>
      <c r="LH181" s="336"/>
      <c r="LI181" s="336"/>
      <c r="LJ181" s="336"/>
      <c r="LK181" s="336"/>
      <c r="LL181" s="336"/>
      <c r="LM181" s="336"/>
      <c r="LN181" s="336"/>
      <c r="LO181" s="336"/>
      <c r="LP181" s="336"/>
      <c r="LQ181" s="337"/>
      <c r="MN181" s="10"/>
      <c r="OA181" s="10"/>
    </row>
    <row r="182" spans="1:391" s="370" customFormat="1" x14ac:dyDescent="0.25">
      <c r="A182" s="68"/>
      <c r="B182" s="10"/>
      <c r="C182" s="68"/>
      <c r="D182" s="68"/>
      <c r="E182" s="68"/>
      <c r="F182" s="68"/>
      <c r="G182" s="68"/>
      <c r="H182" s="68"/>
      <c r="I182" s="68"/>
      <c r="J182" s="68"/>
      <c r="K182" s="68"/>
      <c r="L182" s="68"/>
      <c r="M182" s="68"/>
      <c r="N182" s="68"/>
      <c r="O182" s="68"/>
      <c r="P182" s="68"/>
      <c r="Q182" s="68"/>
      <c r="R182" s="68"/>
      <c r="S182" s="68"/>
      <c r="T182" s="70"/>
      <c r="AC182" s="68"/>
      <c r="AD182" s="70"/>
      <c r="AM182" s="68"/>
      <c r="AN182" s="70"/>
      <c r="AU182" s="68"/>
      <c r="AV182" s="70"/>
      <c r="BB182" s="68"/>
      <c r="BC182" s="70"/>
      <c r="BD182" s="68"/>
      <c r="BE182" s="68"/>
      <c r="BF182" s="68"/>
      <c r="BG182" s="68"/>
      <c r="BH182" s="68"/>
      <c r="BI182" s="68"/>
      <c r="BJ182" s="70"/>
      <c r="BM182" s="68"/>
      <c r="BN182" s="70"/>
      <c r="BT182" s="68"/>
      <c r="BU182" s="70"/>
      <c r="BZ182" s="10"/>
      <c r="CF182" s="10"/>
      <c r="CI182" s="389"/>
      <c r="CJ182" s="389"/>
      <c r="CK182" s="68"/>
      <c r="CL182" s="70"/>
      <c r="CO182" s="10"/>
      <c r="CU182" s="10"/>
      <c r="DA182" s="10"/>
      <c r="DB182" s="70"/>
      <c r="DC182" s="70"/>
      <c r="DF182" s="68"/>
      <c r="DG182" s="70"/>
      <c r="DH182" s="68"/>
      <c r="DI182" s="386"/>
      <c r="DJ182" s="425"/>
      <c r="DL182" s="68"/>
      <c r="DM182" s="70"/>
      <c r="DQ182" s="68"/>
      <c r="DR182" s="70"/>
      <c r="DS182" s="338"/>
      <c r="DT182" s="338"/>
      <c r="DU182" s="338"/>
      <c r="DW182" s="338"/>
      <c r="DX182" s="338"/>
      <c r="DY182" s="338"/>
      <c r="EA182" s="338"/>
      <c r="EB182" s="338"/>
      <c r="EC182" s="338"/>
      <c r="EE182" s="338"/>
      <c r="EF182" s="338"/>
      <c r="EG182" s="338"/>
      <c r="EI182" s="336"/>
      <c r="EJ182" s="336"/>
      <c r="EK182" s="336"/>
      <c r="EL182" s="336"/>
      <c r="EM182" s="336"/>
      <c r="EN182" s="336"/>
      <c r="EO182" s="337"/>
      <c r="EP182" s="342"/>
      <c r="EQ182" s="336"/>
      <c r="ER182" s="342"/>
      <c r="ES182" s="336"/>
      <c r="ET182" s="342"/>
      <c r="EU182" s="336"/>
      <c r="EV182" s="342"/>
      <c r="EW182" s="336"/>
      <c r="EX182" s="342"/>
      <c r="EY182" s="342"/>
      <c r="EZ182" s="342"/>
      <c r="FA182" s="337"/>
      <c r="FE182" s="338"/>
      <c r="FH182" s="338"/>
      <c r="FI182" s="338"/>
      <c r="FJ182" s="338"/>
      <c r="FK182" s="338"/>
      <c r="FL182" s="338"/>
      <c r="FM182" s="337"/>
      <c r="FN182" s="336"/>
      <c r="FO182" s="336"/>
      <c r="FP182" s="336"/>
      <c r="FQ182" s="336"/>
      <c r="FR182" s="336"/>
      <c r="FS182" s="336"/>
      <c r="FT182" s="336"/>
      <c r="FU182" s="336"/>
      <c r="FV182" s="336"/>
      <c r="FW182" s="337"/>
      <c r="FX182" s="532"/>
      <c r="FY182" s="341"/>
      <c r="FZ182" s="341"/>
      <c r="GA182" s="336"/>
      <c r="GB182" s="341"/>
      <c r="GC182" s="341"/>
      <c r="GD182" s="341"/>
      <c r="GE182" s="336"/>
      <c r="GF182" s="336"/>
      <c r="GG182" s="336"/>
      <c r="GH182" s="336"/>
      <c r="GI182" s="336"/>
      <c r="GJ182" s="337"/>
      <c r="GM182" s="338"/>
      <c r="GN182" s="338"/>
      <c r="GO182" s="338"/>
      <c r="GS182" s="338"/>
      <c r="GT182" s="338"/>
      <c r="GU182" s="338"/>
      <c r="GY182" s="338"/>
      <c r="GZ182" s="338"/>
      <c r="HA182" s="338"/>
      <c r="HE182" s="338"/>
      <c r="HF182" s="338"/>
      <c r="HG182" s="338"/>
      <c r="HN182" s="68"/>
      <c r="HO182" s="68"/>
      <c r="HP182" s="68"/>
      <c r="HQ182" s="336"/>
      <c r="HR182" s="68"/>
      <c r="HS182" s="68"/>
      <c r="HT182" s="10"/>
      <c r="HW182" s="338"/>
      <c r="HX182" s="338"/>
      <c r="HY182" s="338"/>
      <c r="IC182" s="338"/>
      <c r="ID182" s="338"/>
      <c r="IE182" s="338"/>
      <c r="II182" s="338"/>
      <c r="IJ182" s="338"/>
      <c r="IK182" s="338"/>
      <c r="IO182" s="338"/>
      <c r="IP182" s="338"/>
      <c r="IQ182" s="338"/>
      <c r="IX182" s="68"/>
      <c r="IY182" s="68"/>
      <c r="IZ182" s="68"/>
      <c r="JA182" s="68"/>
      <c r="JB182" s="68"/>
      <c r="JC182" s="68"/>
      <c r="JD182" s="10"/>
      <c r="JG182" s="338"/>
      <c r="JH182" s="338"/>
      <c r="JI182" s="338"/>
      <c r="JM182" s="338"/>
      <c r="JN182" s="338"/>
      <c r="JQ182" s="338"/>
      <c r="JR182" s="338"/>
      <c r="JS182" s="338"/>
      <c r="JW182" s="358"/>
      <c r="JX182" s="336"/>
      <c r="JY182" s="336"/>
      <c r="JZ182" s="336"/>
      <c r="KA182" s="336"/>
      <c r="KB182" s="336"/>
      <c r="KC182" s="336"/>
      <c r="KD182" s="336"/>
      <c r="KE182" s="336"/>
      <c r="KF182" s="336"/>
      <c r="KG182" s="337"/>
      <c r="KH182" s="338"/>
      <c r="KI182" s="338"/>
      <c r="KJ182" s="338"/>
      <c r="KK182" s="338"/>
      <c r="KL182" s="338"/>
      <c r="KM182" s="338"/>
      <c r="KN182" s="338"/>
      <c r="KO182" s="338"/>
      <c r="KP182" s="338"/>
      <c r="KQ182" s="338"/>
      <c r="KR182" s="338"/>
      <c r="KS182" s="338"/>
      <c r="KT182" s="338"/>
      <c r="KU182" s="338"/>
      <c r="KV182" s="338"/>
      <c r="KW182" s="337"/>
      <c r="KX182" s="336"/>
      <c r="KY182" s="336"/>
      <c r="KZ182" s="336"/>
      <c r="LA182" s="336"/>
      <c r="LB182" s="336"/>
      <c r="LC182" s="336"/>
      <c r="LD182" s="336"/>
      <c r="LE182" s="336"/>
      <c r="LF182" s="336"/>
      <c r="LG182" s="336"/>
      <c r="LH182" s="336"/>
      <c r="LI182" s="336"/>
      <c r="LJ182" s="336"/>
      <c r="LK182" s="336"/>
      <c r="LL182" s="336"/>
      <c r="LM182" s="336"/>
      <c r="LN182" s="336"/>
      <c r="LO182" s="336"/>
      <c r="LP182" s="336"/>
      <c r="LQ182" s="337"/>
      <c r="MN182" s="10"/>
      <c r="OA182" s="10"/>
    </row>
    <row r="183" spans="1:391" s="370" customFormat="1" x14ac:dyDescent="0.25">
      <c r="A183" s="68"/>
      <c r="B183" s="10"/>
      <c r="C183" s="68"/>
      <c r="D183" s="68"/>
      <c r="E183" s="68"/>
      <c r="F183" s="68"/>
      <c r="G183" s="68"/>
      <c r="H183" s="68"/>
      <c r="I183" s="68"/>
      <c r="J183" s="68"/>
      <c r="K183" s="68"/>
      <c r="L183" s="68"/>
      <c r="M183" s="68"/>
      <c r="N183" s="68"/>
      <c r="O183" s="68"/>
      <c r="P183" s="68"/>
      <c r="Q183" s="68"/>
      <c r="R183" s="68"/>
      <c r="S183" s="68"/>
      <c r="T183" s="70"/>
      <c r="AC183" s="68"/>
      <c r="AD183" s="70"/>
      <c r="AM183" s="68"/>
      <c r="AN183" s="70"/>
      <c r="AU183" s="68"/>
      <c r="AV183" s="70"/>
      <c r="BB183" s="68"/>
      <c r="BC183" s="70"/>
      <c r="BD183" s="68"/>
      <c r="BE183" s="68"/>
      <c r="BF183" s="68"/>
      <c r="BG183" s="68"/>
      <c r="BH183" s="68"/>
      <c r="BI183" s="68"/>
      <c r="BJ183" s="70"/>
      <c r="BM183" s="68"/>
      <c r="BN183" s="70"/>
      <c r="BT183" s="68"/>
      <c r="BU183" s="70"/>
      <c r="BZ183" s="10"/>
      <c r="CF183" s="10"/>
      <c r="CI183" s="389"/>
      <c r="CJ183" s="389"/>
      <c r="CK183" s="68"/>
      <c r="CL183" s="70"/>
      <c r="CO183" s="10"/>
      <c r="CU183" s="10"/>
      <c r="DA183" s="10"/>
      <c r="DB183" s="70"/>
      <c r="DC183" s="70"/>
      <c r="DF183" s="68"/>
      <c r="DG183" s="70"/>
      <c r="DH183" s="68"/>
      <c r="DI183" s="386"/>
      <c r="DJ183" s="425"/>
      <c r="DL183" s="68"/>
      <c r="DM183" s="70"/>
      <c r="DQ183" s="68"/>
      <c r="DR183" s="70"/>
      <c r="DS183" s="338"/>
      <c r="DT183" s="338"/>
      <c r="DU183" s="338"/>
      <c r="DW183" s="338"/>
      <c r="DX183" s="338"/>
      <c r="DY183" s="338"/>
      <c r="EA183" s="338"/>
      <c r="EB183" s="338"/>
      <c r="EC183" s="338"/>
      <c r="EE183" s="338"/>
      <c r="EF183" s="338"/>
      <c r="EG183" s="338"/>
      <c r="EI183" s="336"/>
      <c r="EJ183" s="336"/>
      <c r="EK183" s="336"/>
      <c r="EL183" s="336"/>
      <c r="EM183" s="336"/>
      <c r="EN183" s="336"/>
      <c r="EO183" s="337"/>
      <c r="EP183" s="342"/>
      <c r="EQ183" s="336"/>
      <c r="ER183" s="342"/>
      <c r="ES183" s="336"/>
      <c r="ET183" s="342"/>
      <c r="EU183" s="336"/>
      <c r="EV183" s="342"/>
      <c r="EW183" s="336"/>
      <c r="EX183" s="342"/>
      <c r="EY183" s="342"/>
      <c r="EZ183" s="342"/>
      <c r="FA183" s="337"/>
      <c r="FE183" s="338"/>
      <c r="FH183" s="338"/>
      <c r="FI183" s="338"/>
      <c r="FJ183" s="338"/>
      <c r="FK183" s="338"/>
      <c r="FL183" s="338"/>
      <c r="FM183" s="337"/>
      <c r="FN183" s="336"/>
      <c r="FO183" s="336"/>
      <c r="FP183" s="336"/>
      <c r="FQ183" s="336"/>
      <c r="FR183" s="336"/>
      <c r="FS183" s="336"/>
      <c r="FT183" s="336"/>
      <c r="FU183" s="336"/>
      <c r="FV183" s="336"/>
      <c r="FW183" s="337"/>
      <c r="FX183" s="532"/>
      <c r="FY183" s="341"/>
      <c r="FZ183" s="341"/>
      <c r="GA183" s="336"/>
      <c r="GB183" s="341"/>
      <c r="GC183" s="341"/>
      <c r="GD183" s="341"/>
      <c r="GE183" s="336"/>
      <c r="GF183" s="336"/>
      <c r="GG183" s="336"/>
      <c r="GH183" s="336"/>
      <c r="GI183" s="336"/>
      <c r="GJ183" s="337"/>
      <c r="GM183" s="338"/>
      <c r="GN183" s="338"/>
      <c r="GO183" s="338"/>
      <c r="GS183" s="338"/>
      <c r="GT183" s="338"/>
      <c r="GU183" s="338"/>
      <c r="GY183" s="338"/>
      <c r="GZ183" s="338"/>
      <c r="HA183" s="338"/>
      <c r="HE183" s="338"/>
      <c r="HF183" s="338"/>
      <c r="HG183" s="338"/>
      <c r="HN183" s="68"/>
      <c r="HO183" s="68"/>
      <c r="HP183" s="68"/>
      <c r="HQ183" s="336"/>
      <c r="HR183" s="68"/>
      <c r="HS183" s="68"/>
      <c r="HT183" s="10"/>
      <c r="HW183" s="338"/>
      <c r="HX183" s="338"/>
      <c r="HY183" s="338"/>
      <c r="IC183" s="338"/>
      <c r="ID183" s="338"/>
      <c r="IE183" s="338"/>
      <c r="II183" s="338"/>
      <c r="IJ183" s="338"/>
      <c r="IK183" s="338"/>
      <c r="IO183" s="338"/>
      <c r="IP183" s="338"/>
      <c r="IQ183" s="338"/>
      <c r="IX183" s="68"/>
      <c r="IY183" s="68"/>
      <c r="IZ183" s="68"/>
      <c r="JA183" s="68"/>
      <c r="JB183" s="68"/>
      <c r="JC183" s="68"/>
      <c r="JD183" s="10"/>
      <c r="JG183" s="338"/>
      <c r="JH183" s="338"/>
      <c r="JI183" s="338"/>
      <c r="JM183" s="338"/>
      <c r="JN183" s="338"/>
      <c r="JQ183" s="338"/>
      <c r="JR183" s="338"/>
      <c r="JS183" s="338"/>
      <c r="JW183" s="358"/>
      <c r="JX183" s="336"/>
      <c r="JY183" s="336"/>
      <c r="JZ183" s="336"/>
      <c r="KA183" s="336"/>
      <c r="KB183" s="336"/>
      <c r="KC183" s="336"/>
      <c r="KD183" s="336"/>
      <c r="KE183" s="336"/>
      <c r="KF183" s="336"/>
      <c r="KG183" s="337"/>
      <c r="KH183" s="338"/>
      <c r="KI183" s="338"/>
      <c r="KJ183" s="338"/>
      <c r="KK183" s="338"/>
      <c r="KL183" s="338"/>
      <c r="KM183" s="338"/>
      <c r="KN183" s="338"/>
      <c r="KO183" s="338"/>
      <c r="KP183" s="338"/>
      <c r="KQ183" s="338"/>
      <c r="KR183" s="338"/>
      <c r="KS183" s="338"/>
      <c r="KT183" s="338"/>
      <c r="KU183" s="338"/>
      <c r="KV183" s="338"/>
      <c r="KW183" s="337"/>
      <c r="KX183" s="336"/>
      <c r="KY183" s="336"/>
      <c r="KZ183" s="336"/>
      <c r="LA183" s="336"/>
      <c r="LB183" s="336"/>
      <c r="LC183" s="336"/>
      <c r="LD183" s="336"/>
      <c r="LE183" s="336"/>
      <c r="LF183" s="336"/>
      <c r="LG183" s="336"/>
      <c r="LH183" s="336"/>
      <c r="LI183" s="336"/>
      <c r="LJ183" s="336"/>
      <c r="LK183" s="336"/>
      <c r="LL183" s="336"/>
      <c r="LM183" s="336"/>
      <c r="LN183" s="336"/>
      <c r="LO183" s="336"/>
      <c r="LP183" s="336"/>
      <c r="LQ183" s="337"/>
      <c r="MN183" s="10"/>
      <c r="OA183" s="10"/>
    </row>
    <row r="184" spans="1:391" s="370" customFormat="1" x14ac:dyDescent="0.25">
      <c r="A184" s="68"/>
      <c r="B184" s="10"/>
      <c r="C184" s="68"/>
      <c r="D184" s="68"/>
      <c r="E184" s="68"/>
      <c r="F184" s="68"/>
      <c r="G184" s="68"/>
      <c r="H184" s="68"/>
      <c r="I184" s="68"/>
      <c r="J184" s="68"/>
      <c r="K184" s="68"/>
      <c r="L184" s="68"/>
      <c r="M184" s="68"/>
      <c r="N184" s="68"/>
      <c r="O184" s="68"/>
      <c r="P184" s="68"/>
      <c r="Q184" s="68"/>
      <c r="R184" s="68"/>
      <c r="S184" s="68"/>
      <c r="T184" s="70"/>
      <c r="AC184" s="68"/>
      <c r="AD184" s="70"/>
      <c r="AM184" s="68"/>
      <c r="AN184" s="70"/>
      <c r="AU184" s="68"/>
      <c r="AV184" s="70"/>
      <c r="BB184" s="68"/>
      <c r="BC184" s="70"/>
      <c r="BD184" s="68"/>
      <c r="BE184" s="68"/>
      <c r="BF184" s="68"/>
      <c r="BG184" s="68"/>
      <c r="BH184" s="68"/>
      <c r="BI184" s="68"/>
      <c r="BJ184" s="70"/>
      <c r="BM184" s="68"/>
      <c r="BN184" s="70"/>
      <c r="BT184" s="68"/>
      <c r="BU184" s="70"/>
      <c r="BZ184" s="10"/>
      <c r="CF184" s="10"/>
      <c r="CI184" s="389"/>
      <c r="CJ184" s="389"/>
      <c r="CK184" s="68"/>
      <c r="CL184" s="70"/>
      <c r="CO184" s="10"/>
      <c r="CU184" s="10"/>
      <c r="DA184" s="10"/>
      <c r="DB184" s="70"/>
      <c r="DC184" s="70"/>
      <c r="DF184" s="68"/>
      <c r="DG184" s="70"/>
      <c r="DH184" s="68"/>
      <c r="DI184" s="386"/>
      <c r="DJ184" s="425"/>
      <c r="DL184" s="68"/>
      <c r="DM184" s="70"/>
      <c r="DQ184" s="68"/>
      <c r="DR184" s="70"/>
      <c r="DS184" s="338"/>
      <c r="DT184" s="338"/>
      <c r="DU184" s="338"/>
      <c r="DW184" s="338"/>
      <c r="DX184" s="338"/>
      <c r="DY184" s="338"/>
      <c r="EA184" s="338"/>
      <c r="EB184" s="338"/>
      <c r="EC184" s="338"/>
      <c r="EE184" s="338"/>
      <c r="EF184" s="338"/>
      <c r="EG184" s="338"/>
      <c r="EI184" s="336"/>
      <c r="EJ184" s="336"/>
      <c r="EK184" s="336"/>
      <c r="EL184" s="336"/>
      <c r="EM184" s="336"/>
      <c r="EN184" s="336"/>
      <c r="EO184" s="337"/>
      <c r="EP184" s="342"/>
      <c r="EQ184" s="336"/>
      <c r="ER184" s="342"/>
      <c r="ES184" s="336"/>
      <c r="ET184" s="342"/>
      <c r="EU184" s="336"/>
      <c r="EV184" s="342"/>
      <c r="EW184" s="336"/>
      <c r="EX184" s="342"/>
      <c r="EY184" s="342"/>
      <c r="EZ184" s="342"/>
      <c r="FA184" s="337"/>
      <c r="FE184" s="338"/>
      <c r="FH184" s="338"/>
      <c r="FI184" s="338"/>
      <c r="FJ184" s="338"/>
      <c r="FK184" s="338"/>
      <c r="FL184" s="338"/>
      <c r="FM184" s="337"/>
      <c r="FN184" s="336"/>
      <c r="FO184" s="336"/>
      <c r="FP184" s="336"/>
      <c r="FQ184" s="336"/>
      <c r="FR184" s="336"/>
      <c r="FS184" s="336"/>
      <c r="FT184" s="336"/>
      <c r="FU184" s="336"/>
      <c r="FV184" s="336"/>
      <c r="FW184" s="337"/>
      <c r="FX184" s="532"/>
      <c r="FY184" s="341"/>
      <c r="FZ184" s="341"/>
      <c r="GA184" s="336"/>
      <c r="GB184" s="341"/>
      <c r="GC184" s="341"/>
      <c r="GD184" s="341"/>
      <c r="GE184" s="336"/>
      <c r="GF184" s="336"/>
      <c r="GG184" s="336"/>
      <c r="GH184" s="336"/>
      <c r="GI184" s="336"/>
      <c r="GJ184" s="337"/>
      <c r="GM184" s="338"/>
      <c r="GN184" s="338"/>
      <c r="GO184" s="338"/>
      <c r="GS184" s="338"/>
      <c r="GT184" s="338"/>
      <c r="GU184" s="338"/>
      <c r="GY184" s="338"/>
      <c r="GZ184" s="338"/>
      <c r="HA184" s="338"/>
      <c r="HE184" s="338"/>
      <c r="HF184" s="338"/>
      <c r="HG184" s="338"/>
      <c r="HN184" s="68"/>
      <c r="HO184" s="68"/>
      <c r="HP184" s="68"/>
      <c r="HQ184" s="336"/>
      <c r="HR184" s="68"/>
      <c r="HS184" s="68"/>
      <c r="HT184" s="10"/>
      <c r="HW184" s="338"/>
      <c r="HX184" s="338"/>
      <c r="HY184" s="338"/>
      <c r="IC184" s="338"/>
      <c r="ID184" s="338"/>
      <c r="IE184" s="338"/>
      <c r="II184" s="338"/>
      <c r="IJ184" s="338"/>
      <c r="IK184" s="338"/>
      <c r="IO184" s="338"/>
      <c r="IP184" s="338"/>
      <c r="IQ184" s="338"/>
      <c r="IX184" s="68"/>
      <c r="IY184" s="68"/>
      <c r="IZ184" s="68"/>
      <c r="JA184" s="68"/>
      <c r="JB184" s="68"/>
      <c r="JC184" s="68"/>
      <c r="JD184" s="10"/>
      <c r="JG184" s="338"/>
      <c r="JH184" s="338"/>
      <c r="JI184" s="338"/>
      <c r="JM184" s="338"/>
      <c r="JN184" s="338"/>
      <c r="JQ184" s="338"/>
      <c r="JR184" s="338"/>
      <c r="JS184" s="338"/>
      <c r="JW184" s="358"/>
      <c r="JX184" s="336"/>
      <c r="JY184" s="336"/>
      <c r="JZ184" s="336"/>
      <c r="KA184" s="336"/>
      <c r="KB184" s="336"/>
      <c r="KC184" s="336"/>
      <c r="KD184" s="336"/>
      <c r="KE184" s="336"/>
      <c r="KF184" s="336"/>
      <c r="KG184" s="337"/>
      <c r="KH184" s="338"/>
      <c r="KI184" s="338"/>
      <c r="KJ184" s="338"/>
      <c r="KK184" s="338"/>
      <c r="KL184" s="338"/>
      <c r="KM184" s="338"/>
      <c r="KN184" s="338"/>
      <c r="KO184" s="338"/>
      <c r="KP184" s="338"/>
      <c r="KQ184" s="338"/>
      <c r="KR184" s="338"/>
      <c r="KS184" s="338"/>
      <c r="KT184" s="338"/>
      <c r="KU184" s="338"/>
      <c r="KV184" s="338"/>
      <c r="KW184" s="337"/>
      <c r="KX184" s="336"/>
      <c r="KY184" s="336"/>
      <c r="KZ184" s="336"/>
      <c r="LA184" s="336"/>
      <c r="LB184" s="336"/>
      <c r="LC184" s="336"/>
      <c r="LD184" s="336"/>
      <c r="LE184" s="336"/>
      <c r="LF184" s="336"/>
      <c r="LG184" s="336"/>
      <c r="LH184" s="336"/>
      <c r="LI184" s="336"/>
      <c r="LJ184" s="336"/>
      <c r="LK184" s="336"/>
      <c r="LL184" s="336"/>
      <c r="LM184" s="336"/>
      <c r="LN184" s="336"/>
      <c r="LO184" s="336"/>
      <c r="LP184" s="336"/>
      <c r="LQ184" s="337"/>
      <c r="MN184" s="10"/>
      <c r="OA184" s="10"/>
    </row>
    <row r="185" spans="1:391" s="370" customFormat="1" x14ac:dyDescent="0.25">
      <c r="A185" s="68"/>
      <c r="B185" s="10"/>
      <c r="C185" s="68"/>
      <c r="D185" s="68"/>
      <c r="E185" s="68"/>
      <c r="F185" s="68"/>
      <c r="G185" s="68"/>
      <c r="H185" s="68"/>
      <c r="I185" s="68"/>
      <c r="J185" s="68"/>
      <c r="K185" s="68"/>
      <c r="L185" s="68"/>
      <c r="M185" s="68"/>
      <c r="N185" s="68"/>
      <c r="O185" s="68"/>
      <c r="P185" s="68"/>
      <c r="Q185" s="68"/>
      <c r="R185" s="68"/>
      <c r="S185" s="68"/>
      <c r="T185" s="70"/>
      <c r="AC185" s="68"/>
      <c r="AD185" s="70"/>
      <c r="AM185" s="68"/>
      <c r="AN185" s="70"/>
      <c r="AU185" s="68"/>
      <c r="AV185" s="70"/>
      <c r="BB185" s="68"/>
      <c r="BC185" s="70"/>
      <c r="BD185" s="68"/>
      <c r="BE185" s="68"/>
      <c r="BF185" s="68"/>
      <c r="BG185" s="68"/>
      <c r="BH185" s="68"/>
      <c r="BI185" s="68"/>
      <c r="BJ185" s="70"/>
      <c r="BM185" s="68"/>
      <c r="BN185" s="70"/>
      <c r="BT185" s="68"/>
      <c r="BU185" s="70"/>
      <c r="BZ185" s="10"/>
      <c r="CF185" s="10"/>
      <c r="CI185" s="389"/>
      <c r="CJ185" s="389"/>
      <c r="CK185" s="68"/>
      <c r="CL185" s="70"/>
      <c r="CO185" s="10"/>
      <c r="CU185" s="10"/>
      <c r="DA185" s="10"/>
      <c r="DB185" s="70"/>
      <c r="DC185" s="70"/>
      <c r="DF185" s="68"/>
      <c r="DG185" s="70"/>
      <c r="DH185" s="68"/>
      <c r="DI185" s="386"/>
      <c r="DJ185" s="425"/>
      <c r="DL185" s="68"/>
      <c r="DM185" s="70"/>
      <c r="DQ185" s="68"/>
      <c r="DR185" s="70"/>
      <c r="DS185" s="338"/>
      <c r="DT185" s="338"/>
      <c r="DU185" s="338"/>
      <c r="DW185" s="338"/>
      <c r="DX185" s="338"/>
      <c r="DY185" s="338"/>
      <c r="EA185" s="338"/>
      <c r="EB185" s="338"/>
      <c r="EC185" s="338"/>
      <c r="EE185" s="338"/>
      <c r="EF185" s="338"/>
      <c r="EG185" s="338"/>
      <c r="EI185" s="336"/>
      <c r="EJ185" s="336"/>
      <c r="EK185" s="336"/>
      <c r="EL185" s="336"/>
      <c r="EM185" s="336"/>
      <c r="EN185" s="336"/>
      <c r="EO185" s="337"/>
      <c r="EP185" s="342"/>
      <c r="EQ185" s="336"/>
      <c r="ER185" s="342"/>
      <c r="ES185" s="336"/>
      <c r="ET185" s="342"/>
      <c r="EU185" s="336"/>
      <c r="EV185" s="342"/>
      <c r="EW185" s="336"/>
      <c r="EX185" s="342"/>
      <c r="EY185" s="342"/>
      <c r="EZ185" s="342"/>
      <c r="FA185" s="337"/>
      <c r="FE185" s="338"/>
      <c r="FH185" s="338"/>
      <c r="FI185" s="338"/>
      <c r="FJ185" s="338"/>
      <c r="FK185" s="338"/>
      <c r="FL185" s="338"/>
      <c r="FM185" s="337"/>
      <c r="FN185" s="336"/>
      <c r="FO185" s="336"/>
      <c r="FP185" s="336"/>
      <c r="FQ185" s="336"/>
      <c r="FR185" s="336"/>
      <c r="FS185" s="336"/>
      <c r="FT185" s="336"/>
      <c r="FU185" s="336"/>
      <c r="FV185" s="336"/>
      <c r="FW185" s="337"/>
      <c r="FX185" s="532"/>
      <c r="FY185" s="341"/>
      <c r="FZ185" s="341"/>
      <c r="GA185" s="336"/>
      <c r="GB185" s="341"/>
      <c r="GC185" s="341"/>
      <c r="GD185" s="341"/>
      <c r="GE185" s="336"/>
      <c r="GF185" s="336"/>
      <c r="GG185" s="336"/>
      <c r="GH185" s="336"/>
      <c r="GI185" s="336"/>
      <c r="GJ185" s="337"/>
      <c r="GM185" s="338"/>
      <c r="GN185" s="338"/>
      <c r="GO185" s="338"/>
      <c r="GS185" s="338"/>
      <c r="GT185" s="338"/>
      <c r="GU185" s="338"/>
      <c r="GY185" s="338"/>
      <c r="GZ185" s="338"/>
      <c r="HA185" s="338"/>
      <c r="HE185" s="338"/>
      <c r="HF185" s="338"/>
      <c r="HG185" s="338"/>
      <c r="HN185" s="68"/>
      <c r="HO185" s="68"/>
      <c r="HP185" s="68"/>
      <c r="HQ185" s="336"/>
      <c r="HR185" s="68"/>
      <c r="HS185" s="68"/>
      <c r="HT185" s="10"/>
      <c r="HW185" s="338"/>
      <c r="HX185" s="338"/>
      <c r="HY185" s="338"/>
      <c r="IC185" s="338"/>
      <c r="ID185" s="338"/>
      <c r="IE185" s="338"/>
      <c r="II185" s="338"/>
      <c r="IJ185" s="338"/>
      <c r="IK185" s="338"/>
      <c r="IO185" s="338"/>
      <c r="IP185" s="338"/>
      <c r="IQ185" s="338"/>
      <c r="IX185" s="68"/>
      <c r="IY185" s="68"/>
      <c r="IZ185" s="68"/>
      <c r="JA185" s="68"/>
      <c r="JB185" s="68"/>
      <c r="JC185" s="68"/>
      <c r="JD185" s="10"/>
      <c r="JG185" s="338"/>
      <c r="JH185" s="338"/>
      <c r="JI185" s="338"/>
      <c r="JM185" s="338"/>
      <c r="JN185" s="338"/>
      <c r="JQ185" s="338"/>
      <c r="JR185" s="338"/>
      <c r="JS185" s="338"/>
      <c r="JW185" s="358"/>
      <c r="JX185" s="336"/>
      <c r="JY185" s="336"/>
      <c r="JZ185" s="336"/>
      <c r="KA185" s="336"/>
      <c r="KB185" s="336"/>
      <c r="KC185" s="336"/>
      <c r="KD185" s="336"/>
      <c r="KE185" s="336"/>
      <c r="KF185" s="336"/>
      <c r="KG185" s="337"/>
      <c r="KH185" s="338"/>
      <c r="KI185" s="338"/>
      <c r="KJ185" s="338"/>
      <c r="KK185" s="338"/>
      <c r="KL185" s="338"/>
      <c r="KM185" s="338"/>
      <c r="KN185" s="338"/>
      <c r="KO185" s="338"/>
      <c r="KP185" s="338"/>
      <c r="KQ185" s="338"/>
      <c r="KR185" s="338"/>
      <c r="KS185" s="338"/>
      <c r="KT185" s="338"/>
      <c r="KU185" s="338"/>
      <c r="KV185" s="338"/>
      <c r="KW185" s="337"/>
      <c r="KX185" s="336"/>
      <c r="KY185" s="336"/>
      <c r="KZ185" s="336"/>
      <c r="LA185" s="336"/>
      <c r="LB185" s="336"/>
      <c r="LC185" s="336"/>
      <c r="LD185" s="336"/>
      <c r="LE185" s="336"/>
      <c r="LF185" s="336"/>
      <c r="LG185" s="336"/>
      <c r="LH185" s="336"/>
      <c r="LI185" s="336"/>
      <c r="LJ185" s="336"/>
      <c r="LK185" s="336"/>
      <c r="LL185" s="336"/>
      <c r="LM185" s="336"/>
      <c r="LN185" s="336"/>
      <c r="LO185" s="336"/>
      <c r="LP185" s="336"/>
      <c r="LQ185" s="337"/>
      <c r="MN185" s="10"/>
      <c r="OA185" s="10"/>
    </row>
    <row r="186" spans="1:391" s="370" customFormat="1" x14ac:dyDescent="0.25">
      <c r="A186" s="68"/>
      <c r="B186" s="10"/>
      <c r="C186" s="68"/>
      <c r="D186" s="68"/>
      <c r="E186" s="68"/>
      <c r="F186" s="68"/>
      <c r="G186" s="68"/>
      <c r="H186" s="68"/>
      <c r="I186" s="68"/>
      <c r="J186" s="68"/>
      <c r="K186" s="68"/>
      <c r="L186" s="68"/>
      <c r="M186" s="68"/>
      <c r="N186" s="68"/>
      <c r="O186" s="68"/>
      <c r="P186" s="68"/>
      <c r="Q186" s="68"/>
      <c r="R186" s="68"/>
      <c r="S186" s="68"/>
      <c r="T186" s="70"/>
      <c r="AC186" s="68"/>
      <c r="AD186" s="70"/>
      <c r="AM186" s="68"/>
      <c r="AN186" s="70"/>
      <c r="AU186" s="68"/>
      <c r="AV186" s="70"/>
      <c r="BB186" s="68"/>
      <c r="BC186" s="70"/>
      <c r="BD186" s="68"/>
      <c r="BE186" s="68"/>
      <c r="BF186" s="68"/>
      <c r="BG186" s="68"/>
      <c r="BH186" s="68"/>
      <c r="BI186" s="68"/>
      <c r="BJ186" s="70"/>
      <c r="BM186" s="68"/>
      <c r="BN186" s="70"/>
      <c r="BT186" s="68"/>
      <c r="BU186" s="70"/>
      <c r="BZ186" s="10"/>
      <c r="CF186" s="10"/>
      <c r="CI186" s="389"/>
      <c r="CJ186" s="389"/>
      <c r="CK186" s="68"/>
      <c r="CL186" s="70"/>
      <c r="CO186" s="10"/>
      <c r="CU186" s="10"/>
      <c r="DA186" s="10"/>
      <c r="DB186" s="70"/>
      <c r="DC186" s="70"/>
      <c r="DF186" s="68"/>
      <c r="DG186" s="70"/>
      <c r="DH186" s="68"/>
      <c r="DI186" s="386"/>
      <c r="DJ186" s="425"/>
      <c r="DL186" s="68"/>
      <c r="DM186" s="70"/>
      <c r="DQ186" s="68"/>
      <c r="DR186" s="70"/>
      <c r="DS186" s="338"/>
      <c r="DT186" s="338"/>
      <c r="DU186" s="338"/>
      <c r="DW186" s="338"/>
      <c r="DX186" s="338"/>
      <c r="DY186" s="338"/>
      <c r="EA186" s="338"/>
      <c r="EB186" s="338"/>
      <c r="EC186" s="338"/>
      <c r="EE186" s="338"/>
      <c r="EF186" s="338"/>
      <c r="EG186" s="338"/>
      <c r="EI186" s="336"/>
      <c r="EJ186" s="336"/>
      <c r="EK186" s="336"/>
      <c r="EL186" s="336"/>
      <c r="EM186" s="336"/>
      <c r="EN186" s="336"/>
      <c r="EO186" s="337"/>
      <c r="EP186" s="342"/>
      <c r="EQ186" s="336"/>
      <c r="ER186" s="342"/>
      <c r="ES186" s="336"/>
      <c r="ET186" s="342"/>
      <c r="EU186" s="336"/>
      <c r="EV186" s="342"/>
      <c r="EW186" s="336"/>
      <c r="EX186" s="342"/>
      <c r="EY186" s="342"/>
      <c r="EZ186" s="342"/>
      <c r="FA186" s="337"/>
      <c r="FE186" s="338"/>
      <c r="FH186" s="338"/>
      <c r="FI186" s="338"/>
      <c r="FJ186" s="338"/>
      <c r="FK186" s="338"/>
      <c r="FL186" s="338"/>
      <c r="FM186" s="337"/>
      <c r="FN186" s="336"/>
      <c r="FO186" s="336"/>
      <c r="FP186" s="336"/>
      <c r="FQ186" s="336"/>
      <c r="FR186" s="336"/>
      <c r="FS186" s="336"/>
      <c r="FT186" s="336"/>
      <c r="FU186" s="336"/>
      <c r="FV186" s="336"/>
      <c r="FW186" s="337"/>
      <c r="FX186" s="532"/>
      <c r="FY186" s="341"/>
      <c r="FZ186" s="341"/>
      <c r="GA186" s="336"/>
      <c r="GB186" s="341"/>
      <c r="GC186" s="341"/>
      <c r="GD186" s="341"/>
      <c r="GE186" s="336"/>
      <c r="GF186" s="336"/>
      <c r="GG186" s="336"/>
      <c r="GH186" s="336"/>
      <c r="GI186" s="336"/>
      <c r="GJ186" s="337"/>
      <c r="GM186" s="338"/>
      <c r="GN186" s="338"/>
      <c r="GO186" s="338"/>
      <c r="GS186" s="338"/>
      <c r="GT186" s="338"/>
      <c r="GU186" s="338"/>
      <c r="GY186" s="338"/>
      <c r="GZ186" s="338"/>
      <c r="HA186" s="338"/>
      <c r="HE186" s="338"/>
      <c r="HF186" s="338"/>
      <c r="HG186" s="338"/>
      <c r="HN186" s="68"/>
      <c r="HO186" s="68"/>
      <c r="HP186" s="68"/>
      <c r="HQ186" s="336"/>
      <c r="HR186" s="68"/>
      <c r="HS186" s="68"/>
      <c r="HT186" s="10"/>
      <c r="HW186" s="338"/>
      <c r="HX186" s="338"/>
      <c r="HY186" s="338"/>
      <c r="IC186" s="338"/>
      <c r="ID186" s="338"/>
      <c r="IE186" s="338"/>
      <c r="II186" s="338"/>
      <c r="IJ186" s="338"/>
      <c r="IK186" s="338"/>
      <c r="IO186" s="338"/>
      <c r="IP186" s="338"/>
      <c r="IQ186" s="338"/>
      <c r="IX186" s="68"/>
      <c r="IY186" s="68"/>
      <c r="IZ186" s="68"/>
      <c r="JA186" s="68"/>
      <c r="JB186" s="68"/>
      <c r="JC186" s="68"/>
      <c r="JD186" s="10"/>
      <c r="JG186" s="338"/>
      <c r="JH186" s="338"/>
      <c r="JI186" s="338"/>
      <c r="JM186" s="338"/>
      <c r="JN186" s="338"/>
      <c r="JQ186" s="338"/>
      <c r="JR186" s="338"/>
      <c r="JS186" s="338"/>
      <c r="JW186" s="358"/>
      <c r="JX186" s="336"/>
      <c r="JY186" s="336"/>
      <c r="JZ186" s="336"/>
      <c r="KA186" s="336"/>
      <c r="KB186" s="336"/>
      <c r="KC186" s="336"/>
      <c r="KD186" s="336"/>
      <c r="KE186" s="336"/>
      <c r="KF186" s="336"/>
      <c r="KG186" s="337"/>
      <c r="KH186" s="338"/>
      <c r="KI186" s="338"/>
      <c r="KJ186" s="338"/>
      <c r="KK186" s="338"/>
      <c r="KL186" s="338"/>
      <c r="KM186" s="338"/>
      <c r="KN186" s="338"/>
      <c r="KO186" s="338"/>
      <c r="KP186" s="338"/>
      <c r="KQ186" s="338"/>
      <c r="KR186" s="338"/>
      <c r="KS186" s="338"/>
      <c r="KT186" s="338"/>
      <c r="KU186" s="338"/>
      <c r="KV186" s="338"/>
      <c r="KW186" s="337"/>
      <c r="KX186" s="336"/>
      <c r="KY186" s="336"/>
      <c r="KZ186" s="336"/>
      <c r="LA186" s="336"/>
      <c r="LB186" s="336"/>
      <c r="LC186" s="336"/>
      <c r="LD186" s="336"/>
      <c r="LE186" s="336"/>
      <c r="LF186" s="336"/>
      <c r="LG186" s="336"/>
      <c r="LH186" s="336"/>
      <c r="LI186" s="336"/>
      <c r="LJ186" s="336"/>
      <c r="LK186" s="336"/>
      <c r="LL186" s="336"/>
      <c r="LM186" s="336"/>
      <c r="LN186" s="336"/>
      <c r="LO186" s="336"/>
      <c r="LP186" s="336"/>
      <c r="LQ186" s="337"/>
      <c r="MN186" s="10"/>
      <c r="OA186" s="10"/>
    </row>
    <row r="187" spans="1:391" s="370" customFormat="1" x14ac:dyDescent="0.25">
      <c r="A187" s="68"/>
      <c r="B187" s="10"/>
      <c r="C187" s="68"/>
      <c r="D187" s="68"/>
      <c r="E187" s="68"/>
      <c r="F187" s="68"/>
      <c r="G187" s="68"/>
      <c r="H187" s="68"/>
      <c r="I187" s="68"/>
      <c r="J187" s="68"/>
      <c r="K187" s="68"/>
      <c r="L187" s="68"/>
      <c r="M187" s="68"/>
      <c r="N187" s="68"/>
      <c r="O187" s="68"/>
      <c r="P187" s="68"/>
      <c r="Q187" s="68"/>
      <c r="R187" s="68"/>
      <c r="S187" s="68"/>
      <c r="T187" s="70"/>
      <c r="AC187" s="68"/>
      <c r="AD187" s="70"/>
      <c r="AM187" s="68"/>
      <c r="AN187" s="70"/>
      <c r="AU187" s="68"/>
      <c r="AV187" s="70"/>
      <c r="BB187" s="68"/>
      <c r="BC187" s="70"/>
      <c r="BD187" s="68"/>
      <c r="BE187" s="68"/>
      <c r="BF187" s="68"/>
      <c r="BG187" s="68"/>
      <c r="BH187" s="68"/>
      <c r="BI187" s="68"/>
      <c r="BJ187" s="70"/>
      <c r="BM187" s="68"/>
      <c r="BN187" s="70"/>
      <c r="BT187" s="68"/>
      <c r="BU187" s="70"/>
      <c r="BZ187" s="10"/>
      <c r="CF187" s="10"/>
      <c r="CI187" s="389"/>
      <c r="CJ187" s="389"/>
      <c r="CK187" s="68"/>
      <c r="CL187" s="70"/>
      <c r="CO187" s="10"/>
      <c r="CU187" s="10"/>
      <c r="DA187" s="10"/>
      <c r="DB187" s="70"/>
      <c r="DC187" s="70"/>
      <c r="DF187" s="68"/>
      <c r="DG187" s="70"/>
      <c r="DH187" s="68"/>
      <c r="DI187" s="386"/>
      <c r="DJ187" s="425"/>
      <c r="DL187" s="68"/>
      <c r="DM187" s="70"/>
      <c r="DQ187" s="68"/>
      <c r="DR187" s="70"/>
      <c r="DS187" s="338"/>
      <c r="DT187" s="338"/>
      <c r="DU187" s="338"/>
      <c r="DW187" s="338"/>
      <c r="DX187" s="338"/>
      <c r="DY187" s="338"/>
      <c r="EA187" s="338"/>
      <c r="EB187" s="338"/>
      <c r="EC187" s="338"/>
      <c r="EE187" s="338"/>
      <c r="EF187" s="338"/>
      <c r="EG187" s="338"/>
      <c r="EI187" s="336"/>
      <c r="EJ187" s="336"/>
      <c r="EK187" s="336"/>
      <c r="EL187" s="336"/>
      <c r="EM187" s="336"/>
      <c r="EN187" s="336"/>
      <c r="EO187" s="337"/>
      <c r="EP187" s="342"/>
      <c r="EQ187" s="336"/>
      <c r="ER187" s="342"/>
      <c r="ES187" s="336"/>
      <c r="ET187" s="342"/>
      <c r="EU187" s="336"/>
      <c r="EV187" s="342"/>
      <c r="EW187" s="336"/>
      <c r="EX187" s="342"/>
      <c r="EY187" s="342"/>
      <c r="EZ187" s="342"/>
      <c r="FA187" s="337"/>
      <c r="FE187" s="338"/>
      <c r="FH187" s="338"/>
      <c r="FI187" s="338"/>
      <c r="FJ187" s="338"/>
      <c r="FK187" s="338"/>
      <c r="FL187" s="338"/>
      <c r="FM187" s="337"/>
      <c r="FN187" s="336"/>
      <c r="FO187" s="336"/>
      <c r="FP187" s="336"/>
      <c r="FQ187" s="336"/>
      <c r="FR187" s="336"/>
      <c r="FS187" s="336"/>
      <c r="FT187" s="336"/>
      <c r="FU187" s="336"/>
      <c r="FV187" s="336"/>
      <c r="FW187" s="337"/>
      <c r="FX187" s="532"/>
      <c r="FY187" s="341"/>
      <c r="FZ187" s="341"/>
      <c r="GA187" s="336"/>
      <c r="GB187" s="341"/>
      <c r="GC187" s="341"/>
      <c r="GD187" s="341"/>
      <c r="GE187" s="336"/>
      <c r="GF187" s="336"/>
      <c r="GG187" s="336"/>
      <c r="GH187" s="336"/>
      <c r="GI187" s="336"/>
      <c r="GJ187" s="337"/>
      <c r="GM187" s="338"/>
      <c r="GN187" s="338"/>
      <c r="GO187" s="338"/>
      <c r="GS187" s="338"/>
      <c r="GT187" s="338"/>
      <c r="GU187" s="338"/>
      <c r="GY187" s="338"/>
      <c r="GZ187" s="338"/>
      <c r="HA187" s="338"/>
      <c r="HE187" s="338"/>
      <c r="HF187" s="338"/>
      <c r="HG187" s="338"/>
      <c r="HN187" s="68"/>
      <c r="HO187" s="68"/>
      <c r="HP187" s="68"/>
      <c r="HQ187" s="336"/>
      <c r="HR187" s="68"/>
      <c r="HS187" s="68"/>
      <c r="HT187" s="10"/>
      <c r="HW187" s="338"/>
      <c r="HX187" s="338"/>
      <c r="HY187" s="338"/>
      <c r="IC187" s="338"/>
      <c r="ID187" s="338"/>
      <c r="IE187" s="338"/>
      <c r="II187" s="338"/>
      <c r="IJ187" s="338"/>
      <c r="IK187" s="338"/>
      <c r="IO187" s="338"/>
      <c r="IP187" s="338"/>
      <c r="IQ187" s="338"/>
      <c r="IX187" s="68"/>
      <c r="IY187" s="68"/>
      <c r="IZ187" s="68"/>
      <c r="JA187" s="68"/>
      <c r="JB187" s="68"/>
      <c r="JC187" s="68"/>
      <c r="JD187" s="10"/>
      <c r="JG187" s="338"/>
      <c r="JH187" s="338"/>
      <c r="JI187" s="338"/>
      <c r="JM187" s="338"/>
      <c r="JN187" s="338"/>
      <c r="JQ187" s="338"/>
      <c r="JR187" s="338"/>
      <c r="JS187" s="338"/>
      <c r="JW187" s="358"/>
      <c r="JX187" s="336"/>
      <c r="JY187" s="336"/>
      <c r="JZ187" s="336"/>
      <c r="KA187" s="336"/>
      <c r="KB187" s="336"/>
      <c r="KC187" s="336"/>
      <c r="KD187" s="336"/>
      <c r="KE187" s="336"/>
      <c r="KF187" s="336"/>
      <c r="KG187" s="337"/>
      <c r="KH187" s="338"/>
      <c r="KI187" s="338"/>
      <c r="KJ187" s="338"/>
      <c r="KK187" s="338"/>
      <c r="KL187" s="338"/>
      <c r="KM187" s="338"/>
      <c r="KN187" s="338"/>
      <c r="KO187" s="338"/>
      <c r="KP187" s="338"/>
      <c r="KQ187" s="338"/>
      <c r="KR187" s="338"/>
      <c r="KS187" s="338"/>
      <c r="KT187" s="338"/>
      <c r="KU187" s="338"/>
      <c r="KV187" s="338"/>
      <c r="KW187" s="337"/>
      <c r="KX187" s="336"/>
      <c r="KY187" s="336"/>
      <c r="KZ187" s="336"/>
      <c r="LA187" s="336"/>
      <c r="LB187" s="336"/>
      <c r="LC187" s="336"/>
      <c r="LD187" s="336"/>
      <c r="LE187" s="336"/>
      <c r="LF187" s="336"/>
      <c r="LG187" s="336"/>
      <c r="LH187" s="336"/>
      <c r="LI187" s="336"/>
      <c r="LJ187" s="336"/>
      <c r="LK187" s="336"/>
      <c r="LL187" s="336"/>
      <c r="LM187" s="336"/>
      <c r="LN187" s="336"/>
      <c r="LO187" s="336"/>
      <c r="LP187" s="336"/>
      <c r="LQ187" s="337"/>
      <c r="MN187" s="10"/>
      <c r="OA187" s="10"/>
    </row>
    <row r="188" spans="1:391" s="370" customFormat="1" x14ac:dyDescent="0.25">
      <c r="A188" s="68"/>
      <c r="B188" s="10"/>
      <c r="C188" s="68"/>
      <c r="D188" s="68"/>
      <c r="E188" s="68"/>
      <c r="F188" s="68"/>
      <c r="G188" s="68"/>
      <c r="H188" s="68"/>
      <c r="I188" s="68"/>
      <c r="J188" s="68"/>
      <c r="K188" s="68"/>
      <c r="L188" s="68"/>
      <c r="M188" s="68"/>
      <c r="N188" s="68"/>
      <c r="O188" s="68"/>
      <c r="P188" s="68"/>
      <c r="Q188" s="68"/>
      <c r="R188" s="68"/>
      <c r="S188" s="68"/>
      <c r="T188" s="70"/>
      <c r="AC188" s="68"/>
      <c r="AD188" s="70"/>
      <c r="AM188" s="68"/>
      <c r="AN188" s="70"/>
      <c r="AU188" s="68"/>
      <c r="AV188" s="70"/>
      <c r="BB188" s="68"/>
      <c r="BC188" s="70"/>
      <c r="BD188" s="68"/>
      <c r="BE188" s="68"/>
      <c r="BF188" s="68"/>
      <c r="BG188" s="68"/>
      <c r="BH188" s="68"/>
      <c r="BI188" s="68"/>
      <c r="BJ188" s="70"/>
      <c r="BM188" s="68"/>
      <c r="BN188" s="70"/>
      <c r="BT188" s="68"/>
      <c r="BU188" s="70"/>
      <c r="BZ188" s="10"/>
      <c r="CF188" s="10"/>
      <c r="CI188" s="389"/>
      <c r="CJ188" s="389"/>
      <c r="CK188" s="68"/>
      <c r="CL188" s="70"/>
      <c r="CO188" s="10"/>
      <c r="CU188" s="10"/>
      <c r="DA188" s="10"/>
      <c r="DB188" s="70"/>
      <c r="DC188" s="70"/>
      <c r="DF188" s="68"/>
      <c r="DG188" s="70"/>
      <c r="DH188" s="68"/>
      <c r="DI188" s="386"/>
      <c r="DJ188" s="425"/>
      <c r="DL188" s="68"/>
      <c r="DM188" s="70"/>
      <c r="DQ188" s="68"/>
      <c r="DR188" s="70"/>
      <c r="DS188" s="338"/>
      <c r="DT188" s="338"/>
      <c r="DU188" s="338"/>
      <c r="DW188" s="338"/>
      <c r="DX188" s="338"/>
      <c r="DY188" s="338"/>
      <c r="EA188" s="338"/>
      <c r="EB188" s="338"/>
      <c r="EC188" s="338"/>
      <c r="EE188" s="338"/>
      <c r="EF188" s="338"/>
      <c r="EG188" s="338"/>
      <c r="EI188" s="336"/>
      <c r="EJ188" s="336"/>
      <c r="EK188" s="336"/>
      <c r="EL188" s="336"/>
      <c r="EM188" s="336"/>
      <c r="EN188" s="336"/>
      <c r="EO188" s="337"/>
      <c r="EP188" s="342"/>
      <c r="EQ188" s="336"/>
      <c r="ER188" s="342"/>
      <c r="ES188" s="336"/>
      <c r="ET188" s="342"/>
      <c r="EU188" s="336"/>
      <c r="EV188" s="342"/>
      <c r="EW188" s="336"/>
      <c r="EX188" s="342"/>
      <c r="EY188" s="342"/>
      <c r="EZ188" s="342"/>
      <c r="FA188" s="337"/>
      <c r="FE188" s="338"/>
      <c r="FH188" s="338"/>
      <c r="FI188" s="338"/>
      <c r="FJ188" s="338"/>
      <c r="FK188" s="338"/>
      <c r="FL188" s="338"/>
      <c r="FM188" s="337"/>
      <c r="FN188" s="336"/>
      <c r="FO188" s="336"/>
      <c r="FP188" s="336"/>
      <c r="FQ188" s="336"/>
      <c r="FR188" s="336"/>
      <c r="FS188" s="336"/>
      <c r="FT188" s="336"/>
      <c r="FU188" s="336"/>
      <c r="FV188" s="336"/>
      <c r="FW188" s="337"/>
      <c r="FX188" s="532"/>
      <c r="FY188" s="341"/>
      <c r="FZ188" s="341"/>
      <c r="GA188" s="336"/>
      <c r="GB188" s="341"/>
      <c r="GC188" s="341"/>
      <c r="GD188" s="341"/>
      <c r="GE188" s="336"/>
      <c r="GF188" s="336"/>
      <c r="GG188" s="336"/>
      <c r="GH188" s="336"/>
      <c r="GI188" s="336"/>
      <c r="GJ188" s="337"/>
      <c r="GM188" s="338"/>
      <c r="GN188" s="338"/>
      <c r="GO188" s="338"/>
      <c r="GS188" s="338"/>
      <c r="GT188" s="338"/>
      <c r="GU188" s="338"/>
      <c r="GY188" s="338"/>
      <c r="GZ188" s="338"/>
      <c r="HA188" s="338"/>
      <c r="HE188" s="338"/>
      <c r="HF188" s="338"/>
      <c r="HG188" s="338"/>
      <c r="HN188" s="68"/>
      <c r="HO188" s="68"/>
      <c r="HP188" s="68"/>
      <c r="HQ188" s="336"/>
      <c r="HR188" s="68"/>
      <c r="HS188" s="68"/>
      <c r="HT188" s="10"/>
      <c r="HW188" s="338"/>
      <c r="HX188" s="338"/>
      <c r="HY188" s="338"/>
      <c r="IC188" s="338"/>
      <c r="ID188" s="338"/>
      <c r="IE188" s="338"/>
      <c r="II188" s="338"/>
      <c r="IJ188" s="338"/>
      <c r="IK188" s="338"/>
      <c r="IO188" s="338"/>
      <c r="IP188" s="338"/>
      <c r="IQ188" s="338"/>
      <c r="IX188" s="68"/>
      <c r="IY188" s="68"/>
      <c r="IZ188" s="68"/>
      <c r="JA188" s="68"/>
      <c r="JB188" s="68"/>
      <c r="JC188" s="68"/>
      <c r="JD188" s="10"/>
      <c r="JG188" s="338"/>
      <c r="JH188" s="338"/>
      <c r="JI188" s="338"/>
      <c r="JM188" s="338"/>
      <c r="JN188" s="338"/>
      <c r="JQ188" s="338"/>
      <c r="JR188" s="338"/>
      <c r="JS188" s="338"/>
      <c r="JW188" s="358"/>
      <c r="JX188" s="336"/>
      <c r="JY188" s="336"/>
      <c r="JZ188" s="336"/>
      <c r="KA188" s="336"/>
      <c r="KB188" s="336"/>
      <c r="KC188" s="336"/>
      <c r="KD188" s="336"/>
      <c r="KE188" s="336"/>
      <c r="KF188" s="336"/>
      <c r="KG188" s="337"/>
      <c r="KH188" s="338"/>
      <c r="KI188" s="338"/>
      <c r="KJ188" s="338"/>
      <c r="KK188" s="338"/>
      <c r="KL188" s="338"/>
      <c r="KM188" s="338"/>
      <c r="KN188" s="338"/>
      <c r="KO188" s="338"/>
      <c r="KP188" s="338"/>
      <c r="KQ188" s="338"/>
      <c r="KR188" s="338"/>
      <c r="KS188" s="338"/>
      <c r="KT188" s="338"/>
      <c r="KU188" s="338"/>
      <c r="KV188" s="338"/>
      <c r="KW188" s="337"/>
      <c r="KX188" s="336"/>
      <c r="KY188" s="336"/>
      <c r="KZ188" s="336"/>
      <c r="LA188" s="336"/>
      <c r="LB188" s="336"/>
      <c r="LC188" s="336"/>
      <c r="LD188" s="336"/>
      <c r="LE188" s="336"/>
      <c r="LF188" s="336"/>
      <c r="LG188" s="336"/>
      <c r="LH188" s="336"/>
      <c r="LI188" s="336"/>
      <c r="LJ188" s="336"/>
      <c r="LK188" s="336"/>
      <c r="LL188" s="336"/>
      <c r="LM188" s="336"/>
      <c r="LN188" s="336"/>
      <c r="LO188" s="336"/>
      <c r="LP188" s="336"/>
      <c r="LQ188" s="337"/>
      <c r="MN188" s="10"/>
      <c r="OA188" s="10"/>
    </row>
    <row r="189" spans="1:391" s="370" customFormat="1" x14ac:dyDescent="0.25">
      <c r="A189" s="68"/>
      <c r="B189" s="10"/>
      <c r="C189" s="68"/>
      <c r="D189" s="68"/>
      <c r="E189" s="68"/>
      <c r="F189" s="68"/>
      <c r="G189" s="68"/>
      <c r="H189" s="68"/>
      <c r="I189" s="68"/>
      <c r="J189" s="68"/>
      <c r="K189" s="68"/>
      <c r="L189" s="68"/>
      <c r="M189" s="68"/>
      <c r="N189" s="68"/>
      <c r="O189" s="68"/>
      <c r="P189" s="68"/>
      <c r="Q189" s="68"/>
      <c r="R189" s="68"/>
      <c r="S189" s="68"/>
      <c r="T189" s="70"/>
      <c r="AC189" s="68"/>
      <c r="AD189" s="70"/>
      <c r="AM189" s="68"/>
      <c r="AN189" s="70"/>
      <c r="AU189" s="68"/>
      <c r="AV189" s="70"/>
      <c r="BB189" s="68"/>
      <c r="BC189" s="70"/>
      <c r="BD189" s="68"/>
      <c r="BE189" s="68"/>
      <c r="BF189" s="68"/>
      <c r="BG189" s="68"/>
      <c r="BH189" s="68"/>
      <c r="BI189" s="68"/>
      <c r="BJ189" s="70"/>
      <c r="BM189" s="68"/>
      <c r="BN189" s="70"/>
      <c r="BT189" s="68"/>
      <c r="BU189" s="70"/>
      <c r="BZ189" s="10"/>
      <c r="CF189" s="10"/>
      <c r="CI189" s="389"/>
      <c r="CJ189" s="389"/>
      <c r="CK189" s="68"/>
      <c r="CL189" s="70"/>
      <c r="CO189" s="10"/>
      <c r="CU189" s="10"/>
      <c r="DA189" s="10"/>
      <c r="DB189" s="70"/>
      <c r="DC189" s="70"/>
      <c r="DF189" s="68"/>
      <c r="DG189" s="70"/>
      <c r="DH189" s="68"/>
      <c r="DI189" s="386"/>
      <c r="DJ189" s="425"/>
      <c r="DL189" s="68"/>
      <c r="DM189" s="70"/>
      <c r="DQ189" s="68"/>
      <c r="DR189" s="70"/>
      <c r="DS189" s="338"/>
      <c r="DT189" s="338"/>
      <c r="DU189" s="338"/>
      <c r="DW189" s="338"/>
      <c r="DX189" s="338"/>
      <c r="DY189" s="338"/>
      <c r="EA189" s="338"/>
      <c r="EB189" s="338"/>
      <c r="EC189" s="338"/>
      <c r="EE189" s="338"/>
      <c r="EF189" s="338"/>
      <c r="EG189" s="338"/>
      <c r="EI189" s="336"/>
      <c r="EJ189" s="336"/>
      <c r="EK189" s="336"/>
      <c r="EL189" s="336"/>
      <c r="EM189" s="336"/>
      <c r="EN189" s="336"/>
      <c r="EO189" s="337"/>
      <c r="EP189" s="342"/>
      <c r="EQ189" s="336"/>
      <c r="ER189" s="342"/>
      <c r="ES189" s="336"/>
      <c r="ET189" s="342"/>
      <c r="EU189" s="336"/>
      <c r="EV189" s="342"/>
      <c r="EW189" s="336"/>
      <c r="EX189" s="342"/>
      <c r="EY189" s="342"/>
      <c r="EZ189" s="342"/>
      <c r="FA189" s="337"/>
      <c r="FE189" s="338"/>
      <c r="FH189" s="338"/>
      <c r="FI189" s="338"/>
      <c r="FJ189" s="338"/>
      <c r="FK189" s="338"/>
      <c r="FL189" s="338"/>
      <c r="FM189" s="337"/>
      <c r="FN189" s="336"/>
      <c r="FO189" s="336"/>
      <c r="FP189" s="336"/>
      <c r="FQ189" s="336"/>
      <c r="FR189" s="336"/>
      <c r="FS189" s="336"/>
      <c r="FT189" s="336"/>
      <c r="FU189" s="336"/>
      <c r="FV189" s="336"/>
      <c r="FW189" s="337"/>
      <c r="FX189" s="532"/>
      <c r="FY189" s="341"/>
      <c r="FZ189" s="341"/>
      <c r="GA189" s="336"/>
      <c r="GB189" s="341"/>
      <c r="GC189" s="341"/>
      <c r="GD189" s="341"/>
      <c r="GE189" s="336"/>
      <c r="GF189" s="336"/>
      <c r="GG189" s="336"/>
      <c r="GH189" s="336"/>
      <c r="GI189" s="336"/>
      <c r="GJ189" s="337"/>
      <c r="GM189" s="338"/>
      <c r="GN189" s="338"/>
      <c r="GO189" s="338"/>
      <c r="GS189" s="338"/>
      <c r="GT189" s="338"/>
      <c r="GU189" s="338"/>
      <c r="GY189" s="338"/>
      <c r="GZ189" s="338"/>
      <c r="HA189" s="338"/>
      <c r="HE189" s="338"/>
      <c r="HF189" s="338"/>
      <c r="HG189" s="338"/>
      <c r="HN189" s="68"/>
      <c r="HO189" s="68"/>
      <c r="HP189" s="68"/>
      <c r="HQ189" s="336"/>
      <c r="HR189" s="68"/>
      <c r="HS189" s="68"/>
      <c r="HT189" s="10"/>
      <c r="HW189" s="338"/>
      <c r="HX189" s="338"/>
      <c r="HY189" s="338"/>
      <c r="IC189" s="338"/>
      <c r="ID189" s="338"/>
      <c r="IE189" s="338"/>
      <c r="II189" s="338"/>
      <c r="IJ189" s="338"/>
      <c r="IK189" s="338"/>
      <c r="IO189" s="338"/>
      <c r="IP189" s="338"/>
      <c r="IQ189" s="338"/>
      <c r="IX189" s="68"/>
      <c r="IY189" s="68"/>
      <c r="IZ189" s="68"/>
      <c r="JA189" s="68"/>
      <c r="JB189" s="68"/>
      <c r="JC189" s="68"/>
      <c r="JD189" s="10"/>
      <c r="JG189" s="338"/>
      <c r="JH189" s="338"/>
      <c r="JI189" s="338"/>
      <c r="JM189" s="338"/>
      <c r="JN189" s="338"/>
      <c r="JQ189" s="338"/>
      <c r="JR189" s="338"/>
      <c r="JS189" s="338"/>
      <c r="JW189" s="358"/>
      <c r="JX189" s="336"/>
      <c r="JY189" s="336"/>
      <c r="JZ189" s="336"/>
      <c r="KA189" s="336"/>
      <c r="KB189" s="336"/>
      <c r="KC189" s="336"/>
      <c r="KD189" s="336"/>
      <c r="KE189" s="336"/>
      <c r="KF189" s="336"/>
      <c r="KG189" s="337"/>
      <c r="KH189" s="338"/>
      <c r="KI189" s="338"/>
      <c r="KJ189" s="338"/>
      <c r="KK189" s="338"/>
      <c r="KL189" s="338"/>
      <c r="KM189" s="338"/>
      <c r="KN189" s="338"/>
      <c r="KO189" s="338"/>
      <c r="KP189" s="338"/>
      <c r="KQ189" s="338"/>
      <c r="KR189" s="338"/>
      <c r="KS189" s="338"/>
      <c r="KT189" s="338"/>
      <c r="KU189" s="338"/>
      <c r="KV189" s="338"/>
      <c r="KW189" s="337"/>
      <c r="KX189" s="336"/>
      <c r="KY189" s="336"/>
      <c r="KZ189" s="336"/>
      <c r="LA189" s="336"/>
      <c r="LB189" s="336"/>
      <c r="LC189" s="336"/>
      <c r="LD189" s="336"/>
      <c r="LE189" s="336"/>
      <c r="LF189" s="336"/>
      <c r="LG189" s="336"/>
      <c r="LH189" s="336"/>
      <c r="LI189" s="336"/>
      <c r="LJ189" s="336"/>
      <c r="LK189" s="336"/>
      <c r="LL189" s="336"/>
      <c r="LM189" s="336"/>
      <c r="LN189" s="336"/>
      <c r="LO189" s="336"/>
      <c r="LP189" s="336"/>
      <c r="LQ189" s="337"/>
      <c r="MN189" s="10"/>
      <c r="OA189" s="10"/>
    </row>
    <row r="190" spans="1:391" s="370" customFormat="1" x14ac:dyDescent="0.25">
      <c r="A190" s="68"/>
      <c r="B190" s="10"/>
      <c r="C190" s="68"/>
      <c r="D190" s="68"/>
      <c r="E190" s="68"/>
      <c r="F190" s="68"/>
      <c r="G190" s="68"/>
      <c r="H190" s="68"/>
      <c r="I190" s="68"/>
      <c r="J190" s="68"/>
      <c r="K190" s="68"/>
      <c r="L190" s="68"/>
      <c r="M190" s="68"/>
      <c r="N190" s="68"/>
      <c r="O190" s="68"/>
      <c r="P190" s="68"/>
      <c r="Q190" s="68"/>
      <c r="R190" s="68"/>
      <c r="S190" s="68"/>
      <c r="T190" s="70"/>
      <c r="AC190" s="68"/>
      <c r="AD190" s="70"/>
      <c r="AM190" s="68"/>
      <c r="AN190" s="70"/>
      <c r="AU190" s="68"/>
      <c r="AV190" s="70"/>
      <c r="BB190" s="68"/>
      <c r="BC190" s="70"/>
      <c r="BD190" s="68"/>
      <c r="BE190" s="68"/>
      <c r="BF190" s="68"/>
      <c r="BG190" s="68"/>
      <c r="BH190" s="68"/>
      <c r="BI190" s="68"/>
      <c r="BJ190" s="70"/>
      <c r="BM190" s="68"/>
      <c r="BN190" s="70"/>
      <c r="BT190" s="68"/>
      <c r="BU190" s="70"/>
      <c r="BZ190" s="10"/>
      <c r="CF190" s="10"/>
      <c r="CI190" s="389"/>
      <c r="CJ190" s="389"/>
      <c r="CK190" s="68"/>
      <c r="CL190" s="70"/>
      <c r="CO190" s="10"/>
      <c r="CU190" s="10"/>
      <c r="DA190" s="10"/>
      <c r="DB190" s="70"/>
      <c r="DC190" s="70"/>
      <c r="DF190" s="68"/>
      <c r="DG190" s="70"/>
      <c r="DH190" s="68"/>
      <c r="DI190" s="386"/>
      <c r="DJ190" s="425"/>
      <c r="DL190" s="68"/>
      <c r="DM190" s="70"/>
      <c r="DQ190" s="68"/>
      <c r="DR190" s="70"/>
      <c r="DS190" s="338"/>
      <c r="DT190" s="338"/>
      <c r="DU190" s="338"/>
      <c r="DW190" s="338"/>
      <c r="DX190" s="338"/>
      <c r="DY190" s="338"/>
      <c r="EA190" s="338"/>
      <c r="EB190" s="338"/>
      <c r="EC190" s="338"/>
      <c r="EE190" s="338"/>
      <c r="EF190" s="338"/>
      <c r="EG190" s="338"/>
      <c r="EI190" s="336"/>
      <c r="EJ190" s="336"/>
      <c r="EK190" s="336"/>
      <c r="EL190" s="336"/>
      <c r="EM190" s="336"/>
      <c r="EN190" s="336"/>
      <c r="EO190" s="337"/>
      <c r="EP190" s="342"/>
      <c r="EQ190" s="336"/>
      <c r="ER190" s="342"/>
      <c r="ES190" s="336"/>
      <c r="ET190" s="342"/>
      <c r="EU190" s="336"/>
      <c r="EV190" s="342"/>
      <c r="EW190" s="336"/>
      <c r="EX190" s="342"/>
      <c r="EY190" s="342"/>
      <c r="EZ190" s="342"/>
      <c r="FA190" s="337"/>
      <c r="FE190" s="338"/>
      <c r="FH190" s="338"/>
      <c r="FI190" s="338"/>
      <c r="FJ190" s="338"/>
      <c r="FK190" s="338"/>
      <c r="FL190" s="338"/>
      <c r="FM190" s="337"/>
      <c r="FN190" s="336"/>
      <c r="FO190" s="336"/>
      <c r="FP190" s="336"/>
      <c r="FQ190" s="336"/>
      <c r="FR190" s="336"/>
      <c r="FS190" s="336"/>
      <c r="FT190" s="336"/>
      <c r="FU190" s="336"/>
      <c r="FV190" s="336"/>
      <c r="FW190" s="337"/>
      <c r="FX190" s="532"/>
      <c r="FY190" s="341"/>
      <c r="FZ190" s="341"/>
      <c r="GA190" s="336"/>
      <c r="GB190" s="341"/>
      <c r="GC190" s="341"/>
      <c r="GD190" s="341"/>
      <c r="GE190" s="336"/>
      <c r="GF190" s="336"/>
      <c r="GG190" s="336"/>
      <c r="GH190" s="336"/>
      <c r="GI190" s="336"/>
      <c r="GJ190" s="337"/>
      <c r="GM190" s="338"/>
      <c r="GN190" s="338"/>
      <c r="GO190" s="338"/>
      <c r="GS190" s="338"/>
      <c r="GT190" s="338"/>
      <c r="GU190" s="338"/>
      <c r="GY190" s="338"/>
      <c r="GZ190" s="338"/>
      <c r="HA190" s="338"/>
      <c r="HE190" s="338"/>
      <c r="HF190" s="338"/>
      <c r="HG190" s="338"/>
      <c r="HN190" s="68"/>
      <c r="HO190" s="68"/>
      <c r="HP190" s="68"/>
      <c r="HQ190" s="336"/>
      <c r="HR190" s="68"/>
      <c r="HS190" s="68"/>
      <c r="HT190" s="10"/>
      <c r="HW190" s="338"/>
      <c r="HX190" s="338"/>
      <c r="HY190" s="338"/>
      <c r="IC190" s="338"/>
      <c r="ID190" s="338"/>
      <c r="IE190" s="338"/>
      <c r="II190" s="338"/>
      <c r="IJ190" s="338"/>
      <c r="IK190" s="338"/>
      <c r="IO190" s="338"/>
      <c r="IP190" s="338"/>
      <c r="IQ190" s="338"/>
      <c r="IX190" s="68"/>
      <c r="IY190" s="68"/>
      <c r="IZ190" s="68"/>
      <c r="JA190" s="68"/>
      <c r="JB190" s="68"/>
      <c r="JC190" s="68"/>
      <c r="JD190" s="10"/>
      <c r="JG190" s="338"/>
      <c r="JH190" s="338"/>
      <c r="JI190" s="338"/>
      <c r="JM190" s="338"/>
      <c r="JN190" s="338"/>
      <c r="JQ190" s="338"/>
      <c r="JR190" s="338"/>
      <c r="JS190" s="338"/>
      <c r="JW190" s="358"/>
      <c r="JX190" s="336"/>
      <c r="JY190" s="336"/>
      <c r="JZ190" s="336"/>
      <c r="KA190" s="336"/>
      <c r="KB190" s="336"/>
      <c r="KC190" s="336"/>
      <c r="KD190" s="336"/>
      <c r="KE190" s="336"/>
      <c r="KF190" s="336"/>
      <c r="KG190" s="337"/>
      <c r="KH190" s="338"/>
      <c r="KI190" s="338"/>
      <c r="KJ190" s="338"/>
      <c r="KK190" s="338"/>
      <c r="KL190" s="338"/>
      <c r="KM190" s="338"/>
      <c r="KN190" s="338"/>
      <c r="KO190" s="338"/>
      <c r="KP190" s="338"/>
      <c r="KQ190" s="338"/>
      <c r="KR190" s="338"/>
      <c r="KS190" s="338"/>
      <c r="KT190" s="338"/>
      <c r="KU190" s="338"/>
      <c r="KV190" s="338"/>
      <c r="KW190" s="337"/>
      <c r="KX190" s="336"/>
      <c r="KY190" s="336"/>
      <c r="KZ190" s="336"/>
      <c r="LA190" s="336"/>
      <c r="LB190" s="336"/>
      <c r="LC190" s="336"/>
      <c r="LD190" s="336"/>
      <c r="LE190" s="336"/>
      <c r="LF190" s="336"/>
      <c r="LG190" s="336"/>
      <c r="LH190" s="336"/>
      <c r="LI190" s="336"/>
      <c r="LJ190" s="336"/>
      <c r="LK190" s="336"/>
      <c r="LL190" s="336"/>
      <c r="LM190" s="336"/>
      <c r="LN190" s="336"/>
      <c r="LO190" s="336"/>
      <c r="LP190" s="336"/>
      <c r="LQ190" s="337"/>
      <c r="MN190" s="10"/>
      <c r="OA190" s="10"/>
    </row>
    <row r="191" spans="1:391" s="370" customFormat="1" x14ac:dyDescent="0.25">
      <c r="A191" s="68"/>
      <c r="B191" s="10"/>
      <c r="C191" s="68"/>
      <c r="D191" s="68"/>
      <c r="E191" s="68"/>
      <c r="F191" s="68"/>
      <c r="G191" s="68"/>
      <c r="H191" s="68"/>
      <c r="I191" s="68"/>
      <c r="J191" s="68"/>
      <c r="K191" s="68"/>
      <c r="L191" s="68"/>
      <c r="M191" s="68"/>
      <c r="N191" s="68"/>
      <c r="O191" s="68"/>
      <c r="P191" s="68"/>
      <c r="Q191" s="68"/>
      <c r="R191" s="68"/>
      <c r="S191" s="68"/>
      <c r="T191" s="70"/>
      <c r="AC191" s="68"/>
      <c r="AD191" s="70"/>
      <c r="AM191" s="68"/>
      <c r="AN191" s="70"/>
      <c r="AU191" s="68"/>
      <c r="AV191" s="70"/>
      <c r="BB191" s="68"/>
      <c r="BC191" s="70"/>
      <c r="BD191" s="68"/>
      <c r="BE191" s="68"/>
      <c r="BF191" s="68"/>
      <c r="BG191" s="68"/>
      <c r="BH191" s="68"/>
      <c r="BI191" s="68"/>
      <c r="BJ191" s="70"/>
      <c r="BM191" s="68"/>
      <c r="BN191" s="70"/>
      <c r="BT191" s="68"/>
      <c r="BU191" s="70"/>
      <c r="BZ191" s="10"/>
      <c r="CF191" s="10"/>
      <c r="CI191" s="389"/>
      <c r="CJ191" s="389"/>
      <c r="CK191" s="68"/>
      <c r="CL191" s="70"/>
      <c r="CO191" s="10"/>
      <c r="CU191" s="10"/>
      <c r="DA191" s="10"/>
      <c r="DB191" s="70"/>
      <c r="DC191" s="70"/>
      <c r="DF191" s="68"/>
      <c r="DG191" s="70"/>
      <c r="DH191" s="68"/>
      <c r="DI191" s="386"/>
      <c r="DJ191" s="425"/>
      <c r="DL191" s="68"/>
      <c r="DM191" s="70"/>
      <c r="DQ191" s="68"/>
      <c r="DR191" s="70"/>
      <c r="DS191" s="338"/>
      <c r="DT191" s="338"/>
      <c r="DU191" s="338"/>
      <c r="DW191" s="338"/>
      <c r="DX191" s="338"/>
      <c r="DY191" s="338"/>
      <c r="EA191" s="338"/>
      <c r="EB191" s="338"/>
      <c r="EC191" s="338"/>
      <c r="EE191" s="338"/>
      <c r="EF191" s="338"/>
      <c r="EG191" s="338"/>
      <c r="EI191" s="336"/>
      <c r="EJ191" s="336"/>
      <c r="EK191" s="336"/>
      <c r="EL191" s="336"/>
      <c r="EM191" s="336"/>
      <c r="EN191" s="336"/>
      <c r="EO191" s="337"/>
      <c r="EP191" s="342"/>
      <c r="EQ191" s="336"/>
      <c r="ER191" s="342"/>
      <c r="ES191" s="336"/>
      <c r="ET191" s="342"/>
      <c r="EU191" s="336"/>
      <c r="EV191" s="342"/>
      <c r="EW191" s="336"/>
      <c r="EX191" s="342"/>
      <c r="EY191" s="342"/>
      <c r="EZ191" s="342"/>
      <c r="FA191" s="337"/>
      <c r="FE191" s="338"/>
      <c r="FH191" s="338"/>
      <c r="FI191" s="338"/>
      <c r="FJ191" s="338"/>
      <c r="FK191" s="338"/>
      <c r="FL191" s="338"/>
      <c r="FM191" s="337"/>
      <c r="FN191" s="336"/>
      <c r="FO191" s="336"/>
      <c r="FP191" s="336"/>
      <c r="FQ191" s="336"/>
      <c r="FR191" s="336"/>
      <c r="FS191" s="336"/>
      <c r="FT191" s="336"/>
      <c r="FU191" s="336"/>
      <c r="FV191" s="336"/>
      <c r="FW191" s="337"/>
      <c r="FX191" s="532"/>
      <c r="FY191" s="341"/>
      <c r="FZ191" s="341"/>
      <c r="GA191" s="336"/>
      <c r="GB191" s="341"/>
      <c r="GC191" s="341"/>
      <c r="GD191" s="341"/>
      <c r="GE191" s="336"/>
      <c r="GF191" s="336"/>
      <c r="GG191" s="336"/>
      <c r="GH191" s="336"/>
      <c r="GI191" s="336"/>
      <c r="GJ191" s="337"/>
      <c r="GM191" s="338"/>
      <c r="GN191" s="338"/>
      <c r="GO191" s="338"/>
      <c r="GS191" s="338"/>
      <c r="GT191" s="338"/>
      <c r="GU191" s="338"/>
      <c r="GY191" s="338"/>
      <c r="GZ191" s="338"/>
      <c r="HA191" s="338"/>
      <c r="HE191" s="338"/>
      <c r="HF191" s="338"/>
      <c r="HG191" s="338"/>
      <c r="HN191" s="68"/>
      <c r="HO191" s="68"/>
      <c r="HP191" s="68"/>
      <c r="HQ191" s="336"/>
      <c r="HR191" s="68"/>
      <c r="HS191" s="68"/>
      <c r="HT191" s="10"/>
      <c r="HW191" s="338"/>
      <c r="HX191" s="338"/>
      <c r="HY191" s="338"/>
      <c r="IC191" s="338"/>
      <c r="ID191" s="338"/>
      <c r="IE191" s="338"/>
      <c r="II191" s="338"/>
      <c r="IJ191" s="338"/>
      <c r="IK191" s="338"/>
      <c r="IO191" s="338"/>
      <c r="IP191" s="338"/>
      <c r="IQ191" s="338"/>
      <c r="IX191" s="68"/>
      <c r="IY191" s="68"/>
      <c r="IZ191" s="68"/>
      <c r="JA191" s="68"/>
      <c r="JB191" s="68"/>
      <c r="JC191" s="68"/>
      <c r="JD191" s="10"/>
      <c r="JG191" s="338"/>
      <c r="JH191" s="338"/>
      <c r="JI191" s="338"/>
      <c r="JM191" s="338"/>
      <c r="JN191" s="338"/>
      <c r="JQ191" s="338"/>
      <c r="JR191" s="338"/>
      <c r="JS191" s="338"/>
      <c r="JW191" s="358"/>
      <c r="JX191" s="336"/>
      <c r="JY191" s="336"/>
      <c r="JZ191" s="336"/>
      <c r="KA191" s="336"/>
      <c r="KB191" s="336"/>
      <c r="KC191" s="336"/>
      <c r="KD191" s="336"/>
      <c r="KE191" s="336"/>
      <c r="KF191" s="336"/>
      <c r="KG191" s="337"/>
      <c r="KH191" s="338"/>
      <c r="KI191" s="338"/>
      <c r="KJ191" s="338"/>
      <c r="KK191" s="338"/>
      <c r="KL191" s="338"/>
      <c r="KM191" s="338"/>
      <c r="KN191" s="338"/>
      <c r="KO191" s="338"/>
      <c r="KP191" s="338"/>
      <c r="KQ191" s="338"/>
      <c r="KR191" s="338"/>
      <c r="KS191" s="338"/>
      <c r="KT191" s="338"/>
      <c r="KU191" s="338"/>
      <c r="KV191" s="338"/>
      <c r="KW191" s="337"/>
      <c r="KX191" s="336"/>
      <c r="KY191" s="336"/>
      <c r="KZ191" s="336"/>
      <c r="LA191" s="336"/>
      <c r="LB191" s="336"/>
      <c r="LC191" s="336"/>
      <c r="LD191" s="336"/>
      <c r="LE191" s="336"/>
      <c r="LF191" s="336"/>
      <c r="LG191" s="336"/>
      <c r="LH191" s="336"/>
      <c r="LI191" s="336"/>
      <c r="LJ191" s="336"/>
      <c r="LK191" s="336"/>
      <c r="LL191" s="336"/>
      <c r="LM191" s="336"/>
      <c r="LN191" s="336"/>
      <c r="LO191" s="336"/>
      <c r="LP191" s="336"/>
      <c r="LQ191" s="337"/>
      <c r="MN191" s="10"/>
      <c r="OA191" s="10"/>
    </row>
    <row r="192" spans="1:391" s="370" customFormat="1" x14ac:dyDescent="0.25">
      <c r="A192" s="68"/>
      <c r="B192" s="10"/>
      <c r="C192" s="68"/>
      <c r="D192" s="68"/>
      <c r="E192" s="68"/>
      <c r="F192" s="68"/>
      <c r="G192" s="68"/>
      <c r="H192" s="68"/>
      <c r="I192" s="68"/>
      <c r="J192" s="68"/>
      <c r="K192" s="68"/>
      <c r="L192" s="68"/>
      <c r="M192" s="68"/>
      <c r="N192" s="68"/>
      <c r="O192" s="68"/>
      <c r="P192" s="68"/>
      <c r="Q192" s="68"/>
      <c r="R192" s="68"/>
      <c r="S192" s="68"/>
      <c r="T192" s="70"/>
      <c r="AC192" s="68"/>
      <c r="AD192" s="70"/>
      <c r="AM192" s="68"/>
      <c r="AN192" s="70"/>
      <c r="AU192" s="68"/>
      <c r="AV192" s="70"/>
      <c r="BB192" s="68"/>
      <c r="BC192" s="70"/>
      <c r="BD192" s="68"/>
      <c r="BE192" s="68"/>
      <c r="BF192" s="68"/>
      <c r="BG192" s="68"/>
      <c r="BH192" s="68"/>
      <c r="BI192" s="68"/>
      <c r="BJ192" s="70"/>
      <c r="BM192" s="68"/>
      <c r="BN192" s="70"/>
      <c r="BT192" s="68"/>
      <c r="BU192" s="70"/>
      <c r="BZ192" s="10"/>
      <c r="CF192" s="10"/>
      <c r="CI192" s="389"/>
      <c r="CJ192" s="389"/>
      <c r="CK192" s="68"/>
      <c r="CL192" s="70"/>
      <c r="CO192" s="10"/>
      <c r="CU192" s="10"/>
      <c r="DA192" s="10"/>
      <c r="DB192" s="70"/>
      <c r="DC192" s="70"/>
      <c r="DF192" s="68"/>
      <c r="DG192" s="70"/>
      <c r="DH192" s="68"/>
      <c r="DI192" s="386"/>
      <c r="DJ192" s="425"/>
      <c r="DL192" s="68"/>
      <c r="DM192" s="70"/>
      <c r="DQ192" s="68"/>
      <c r="DR192" s="70"/>
      <c r="DS192" s="338"/>
      <c r="DT192" s="338"/>
      <c r="DU192" s="338"/>
      <c r="DW192" s="338"/>
      <c r="DX192" s="338"/>
      <c r="DY192" s="338"/>
      <c r="EA192" s="338"/>
      <c r="EB192" s="338"/>
      <c r="EC192" s="338"/>
      <c r="EE192" s="338"/>
      <c r="EF192" s="338"/>
      <c r="EG192" s="338"/>
      <c r="EI192" s="336"/>
      <c r="EJ192" s="336"/>
      <c r="EK192" s="336"/>
      <c r="EL192" s="336"/>
      <c r="EM192" s="336"/>
      <c r="EN192" s="336"/>
      <c r="EO192" s="337"/>
      <c r="EP192" s="342"/>
      <c r="EQ192" s="336"/>
      <c r="ER192" s="342"/>
      <c r="ES192" s="336"/>
      <c r="ET192" s="342"/>
      <c r="EU192" s="336"/>
      <c r="EV192" s="342"/>
      <c r="EW192" s="336"/>
      <c r="EX192" s="342"/>
      <c r="EY192" s="342"/>
      <c r="EZ192" s="342"/>
      <c r="FA192" s="337"/>
      <c r="FE192" s="338"/>
      <c r="FH192" s="338"/>
      <c r="FI192" s="338"/>
      <c r="FJ192" s="338"/>
      <c r="FK192" s="338"/>
      <c r="FL192" s="338"/>
      <c r="FM192" s="337"/>
      <c r="FN192" s="336"/>
      <c r="FO192" s="336"/>
      <c r="FP192" s="336"/>
      <c r="FQ192" s="336"/>
      <c r="FR192" s="336"/>
      <c r="FS192" s="336"/>
      <c r="FT192" s="336"/>
      <c r="FU192" s="336"/>
      <c r="FV192" s="336"/>
      <c r="FW192" s="337"/>
      <c r="FX192" s="532"/>
      <c r="FY192" s="341"/>
      <c r="FZ192" s="341"/>
      <c r="GA192" s="336"/>
      <c r="GB192" s="341"/>
      <c r="GC192" s="341"/>
      <c r="GD192" s="341"/>
      <c r="GE192" s="336"/>
      <c r="GF192" s="336"/>
      <c r="GG192" s="336"/>
      <c r="GH192" s="336"/>
      <c r="GI192" s="336"/>
      <c r="GJ192" s="337"/>
      <c r="GM192" s="338"/>
      <c r="GN192" s="338"/>
      <c r="GO192" s="338"/>
      <c r="GS192" s="338"/>
      <c r="GT192" s="338"/>
      <c r="GU192" s="338"/>
      <c r="GY192" s="338"/>
      <c r="GZ192" s="338"/>
      <c r="HA192" s="338"/>
      <c r="HE192" s="338"/>
      <c r="HF192" s="338"/>
      <c r="HG192" s="338"/>
      <c r="HN192" s="68"/>
      <c r="HO192" s="68"/>
      <c r="HP192" s="68"/>
      <c r="HQ192" s="336"/>
      <c r="HR192" s="68"/>
      <c r="HS192" s="68"/>
      <c r="HT192" s="10"/>
      <c r="HW192" s="338"/>
      <c r="HX192" s="338"/>
      <c r="HY192" s="338"/>
      <c r="IC192" s="338"/>
      <c r="ID192" s="338"/>
      <c r="IE192" s="338"/>
      <c r="II192" s="338"/>
      <c r="IJ192" s="338"/>
      <c r="IK192" s="338"/>
      <c r="IO192" s="338"/>
      <c r="IP192" s="338"/>
      <c r="IQ192" s="338"/>
      <c r="IX192" s="68"/>
      <c r="IY192" s="68"/>
      <c r="IZ192" s="68"/>
      <c r="JA192" s="68"/>
      <c r="JB192" s="68"/>
      <c r="JC192" s="68"/>
      <c r="JD192" s="10"/>
      <c r="JG192" s="338"/>
      <c r="JH192" s="338"/>
      <c r="JI192" s="338"/>
      <c r="JM192" s="338"/>
      <c r="JN192" s="338"/>
      <c r="JQ192" s="338"/>
      <c r="JR192" s="338"/>
      <c r="JS192" s="338"/>
      <c r="JW192" s="358"/>
      <c r="JX192" s="336"/>
      <c r="JY192" s="336"/>
      <c r="JZ192" s="336"/>
      <c r="KA192" s="336"/>
      <c r="KB192" s="336"/>
      <c r="KC192" s="336"/>
      <c r="KD192" s="336"/>
      <c r="KE192" s="336"/>
      <c r="KF192" s="336"/>
      <c r="KG192" s="337"/>
      <c r="KH192" s="338"/>
      <c r="KI192" s="338"/>
      <c r="KJ192" s="338"/>
      <c r="KK192" s="338"/>
      <c r="KL192" s="338"/>
      <c r="KM192" s="338"/>
      <c r="KN192" s="338"/>
      <c r="KO192" s="338"/>
      <c r="KP192" s="338"/>
      <c r="KQ192" s="338"/>
      <c r="KR192" s="338"/>
      <c r="KS192" s="338"/>
      <c r="KT192" s="338"/>
      <c r="KU192" s="338"/>
      <c r="KV192" s="338"/>
      <c r="KW192" s="337"/>
      <c r="KX192" s="336"/>
      <c r="KY192" s="336"/>
      <c r="KZ192" s="336"/>
      <c r="LA192" s="336"/>
      <c r="LB192" s="336"/>
      <c r="LC192" s="336"/>
      <c r="LD192" s="336"/>
      <c r="LE192" s="336"/>
      <c r="LF192" s="336"/>
      <c r="LG192" s="336"/>
      <c r="LH192" s="336"/>
      <c r="LI192" s="336"/>
      <c r="LJ192" s="336"/>
      <c r="LK192" s="336"/>
      <c r="LL192" s="336"/>
      <c r="LM192" s="336"/>
      <c r="LN192" s="336"/>
      <c r="LO192" s="336"/>
      <c r="LP192" s="336"/>
      <c r="LQ192" s="337"/>
      <c r="MN192" s="10"/>
      <c r="OA192" s="10"/>
    </row>
    <row r="193" spans="1:391" s="370" customFormat="1" x14ac:dyDescent="0.25">
      <c r="A193" s="68"/>
      <c r="B193" s="10"/>
      <c r="C193" s="68"/>
      <c r="D193" s="68"/>
      <c r="E193" s="68"/>
      <c r="F193" s="68"/>
      <c r="G193" s="68"/>
      <c r="H193" s="68"/>
      <c r="I193" s="68"/>
      <c r="J193" s="68"/>
      <c r="K193" s="68"/>
      <c r="L193" s="68"/>
      <c r="M193" s="68"/>
      <c r="N193" s="68"/>
      <c r="O193" s="68"/>
      <c r="P193" s="68"/>
      <c r="Q193" s="68"/>
      <c r="R193" s="68"/>
      <c r="S193" s="68"/>
      <c r="T193" s="70"/>
      <c r="AC193" s="68"/>
      <c r="AD193" s="70"/>
      <c r="AM193" s="68"/>
      <c r="AN193" s="70"/>
      <c r="AU193" s="68"/>
      <c r="AV193" s="70"/>
      <c r="BB193" s="68"/>
      <c r="BC193" s="70"/>
      <c r="BD193" s="68"/>
      <c r="BE193" s="68"/>
      <c r="BF193" s="68"/>
      <c r="BG193" s="68"/>
      <c r="BH193" s="68"/>
      <c r="BI193" s="68"/>
      <c r="BJ193" s="70"/>
      <c r="BM193" s="68"/>
      <c r="BN193" s="70"/>
      <c r="BT193" s="68"/>
      <c r="BU193" s="70"/>
      <c r="BZ193" s="10"/>
      <c r="CF193" s="10"/>
      <c r="CI193" s="389"/>
      <c r="CJ193" s="389"/>
      <c r="CK193" s="68"/>
      <c r="CL193" s="70"/>
      <c r="CO193" s="10"/>
      <c r="CU193" s="10"/>
      <c r="DA193" s="10"/>
      <c r="DB193" s="70"/>
      <c r="DC193" s="70"/>
      <c r="DF193" s="68"/>
      <c r="DG193" s="70"/>
      <c r="DH193" s="68"/>
      <c r="DI193" s="386"/>
      <c r="DJ193" s="425"/>
      <c r="DL193" s="68"/>
      <c r="DM193" s="70"/>
      <c r="DQ193" s="68"/>
      <c r="DR193" s="70"/>
      <c r="DS193" s="338"/>
      <c r="DT193" s="338"/>
      <c r="DU193" s="338"/>
      <c r="DW193" s="338"/>
      <c r="DX193" s="338"/>
      <c r="DY193" s="338"/>
      <c r="EA193" s="338"/>
      <c r="EB193" s="338"/>
      <c r="EC193" s="338"/>
      <c r="EE193" s="338"/>
      <c r="EF193" s="338"/>
      <c r="EG193" s="338"/>
      <c r="EI193" s="336"/>
      <c r="EJ193" s="336"/>
      <c r="EK193" s="336"/>
      <c r="EL193" s="336"/>
      <c r="EM193" s="336"/>
      <c r="EN193" s="336"/>
      <c r="EO193" s="337"/>
      <c r="EP193" s="342"/>
      <c r="EQ193" s="336"/>
      <c r="ER193" s="342"/>
      <c r="ES193" s="336"/>
      <c r="ET193" s="342"/>
      <c r="EU193" s="336"/>
      <c r="EV193" s="342"/>
      <c r="EW193" s="336"/>
      <c r="EX193" s="342"/>
      <c r="EY193" s="342"/>
      <c r="EZ193" s="342"/>
      <c r="FA193" s="337"/>
      <c r="FE193" s="338"/>
      <c r="FH193" s="338"/>
      <c r="FI193" s="338"/>
      <c r="FJ193" s="338"/>
      <c r="FK193" s="338"/>
      <c r="FL193" s="338"/>
      <c r="FM193" s="337"/>
      <c r="FN193" s="336"/>
      <c r="FO193" s="336"/>
      <c r="FP193" s="336"/>
      <c r="FQ193" s="336"/>
      <c r="FR193" s="336"/>
      <c r="FS193" s="336"/>
      <c r="FT193" s="336"/>
      <c r="FU193" s="336"/>
      <c r="FV193" s="336"/>
      <c r="FW193" s="337"/>
      <c r="FX193" s="532"/>
      <c r="FY193" s="341"/>
      <c r="FZ193" s="341"/>
      <c r="GA193" s="336"/>
      <c r="GB193" s="341"/>
      <c r="GC193" s="341"/>
      <c r="GD193" s="341"/>
      <c r="GE193" s="336"/>
      <c r="GF193" s="336"/>
      <c r="GG193" s="336"/>
      <c r="GH193" s="336"/>
      <c r="GI193" s="336"/>
      <c r="GJ193" s="337"/>
      <c r="GM193" s="338"/>
      <c r="GN193" s="338"/>
      <c r="GO193" s="338"/>
      <c r="GS193" s="338"/>
      <c r="GT193" s="338"/>
      <c r="GU193" s="338"/>
      <c r="GY193" s="338"/>
      <c r="GZ193" s="338"/>
      <c r="HA193" s="338"/>
      <c r="HE193" s="338"/>
      <c r="HF193" s="338"/>
      <c r="HG193" s="338"/>
      <c r="HN193" s="68"/>
      <c r="HO193" s="68"/>
      <c r="HP193" s="68"/>
      <c r="HQ193" s="336"/>
      <c r="HR193" s="68"/>
      <c r="HS193" s="68"/>
      <c r="HT193" s="10"/>
      <c r="HW193" s="338"/>
      <c r="HX193" s="338"/>
      <c r="HY193" s="338"/>
      <c r="IC193" s="338"/>
      <c r="ID193" s="338"/>
      <c r="IE193" s="338"/>
      <c r="II193" s="338"/>
      <c r="IJ193" s="338"/>
      <c r="IK193" s="338"/>
      <c r="IO193" s="338"/>
      <c r="IP193" s="338"/>
      <c r="IQ193" s="338"/>
      <c r="IX193" s="68"/>
      <c r="IY193" s="68"/>
      <c r="IZ193" s="68"/>
      <c r="JA193" s="68"/>
      <c r="JB193" s="68"/>
      <c r="JC193" s="68"/>
      <c r="JD193" s="10"/>
      <c r="JG193" s="338"/>
      <c r="JH193" s="338"/>
      <c r="JI193" s="338"/>
      <c r="JM193" s="338"/>
      <c r="JN193" s="338"/>
      <c r="JQ193" s="338"/>
      <c r="JR193" s="338"/>
      <c r="JS193" s="338"/>
      <c r="JW193" s="358"/>
      <c r="JX193" s="336"/>
      <c r="JY193" s="336"/>
      <c r="JZ193" s="336"/>
      <c r="KA193" s="336"/>
      <c r="KB193" s="336"/>
      <c r="KC193" s="336"/>
      <c r="KD193" s="336"/>
      <c r="KE193" s="336"/>
      <c r="KF193" s="336"/>
      <c r="KG193" s="337"/>
      <c r="KH193" s="338"/>
      <c r="KI193" s="338"/>
      <c r="KJ193" s="338"/>
      <c r="KK193" s="338"/>
      <c r="KL193" s="338"/>
      <c r="KM193" s="338"/>
      <c r="KN193" s="338"/>
      <c r="KO193" s="338"/>
      <c r="KP193" s="338"/>
      <c r="KQ193" s="338"/>
      <c r="KR193" s="338"/>
      <c r="KS193" s="338"/>
      <c r="KT193" s="338"/>
      <c r="KU193" s="338"/>
      <c r="KV193" s="338"/>
      <c r="KW193" s="337"/>
      <c r="KX193" s="336"/>
      <c r="KY193" s="336"/>
      <c r="KZ193" s="336"/>
      <c r="LA193" s="336"/>
      <c r="LB193" s="336"/>
      <c r="LC193" s="336"/>
      <c r="LD193" s="336"/>
      <c r="LE193" s="336"/>
      <c r="LF193" s="336"/>
      <c r="LG193" s="336"/>
      <c r="LH193" s="336"/>
      <c r="LI193" s="336"/>
      <c r="LJ193" s="336"/>
      <c r="LK193" s="336"/>
      <c r="LL193" s="336"/>
      <c r="LM193" s="336"/>
      <c r="LN193" s="336"/>
      <c r="LO193" s="336"/>
      <c r="LP193" s="336"/>
      <c r="LQ193" s="337"/>
      <c r="MN193" s="10"/>
      <c r="OA193" s="10"/>
    </row>
    <row r="194" spans="1:391" s="370" customFormat="1" x14ac:dyDescent="0.25">
      <c r="A194" s="68"/>
      <c r="B194" s="10"/>
      <c r="C194" s="68"/>
      <c r="D194" s="68"/>
      <c r="E194" s="68"/>
      <c r="F194" s="68"/>
      <c r="G194" s="68"/>
      <c r="H194" s="68"/>
      <c r="I194" s="68"/>
      <c r="J194" s="68"/>
      <c r="K194" s="68"/>
      <c r="L194" s="68"/>
      <c r="M194" s="68"/>
      <c r="N194" s="68"/>
      <c r="O194" s="68"/>
      <c r="P194" s="68"/>
      <c r="Q194" s="68"/>
      <c r="R194" s="68"/>
      <c r="S194" s="68"/>
      <c r="T194" s="70"/>
      <c r="AC194" s="68"/>
      <c r="AD194" s="70"/>
      <c r="AM194" s="68"/>
      <c r="AN194" s="70"/>
      <c r="AU194" s="68"/>
      <c r="AV194" s="70"/>
      <c r="BB194" s="68"/>
      <c r="BC194" s="70"/>
      <c r="BD194" s="68"/>
      <c r="BE194" s="68"/>
      <c r="BF194" s="68"/>
      <c r="BG194" s="68"/>
      <c r="BH194" s="68"/>
      <c r="BI194" s="68"/>
      <c r="BJ194" s="70"/>
      <c r="BM194" s="68"/>
      <c r="BN194" s="70"/>
      <c r="BT194" s="68"/>
      <c r="BU194" s="70"/>
      <c r="BZ194" s="10"/>
      <c r="CF194" s="10"/>
      <c r="CI194" s="389"/>
      <c r="CJ194" s="389"/>
      <c r="CK194" s="68"/>
      <c r="CL194" s="70"/>
      <c r="CO194" s="10"/>
      <c r="CU194" s="10"/>
      <c r="DA194" s="10"/>
      <c r="DB194" s="70"/>
      <c r="DC194" s="70"/>
      <c r="DF194" s="68"/>
      <c r="DG194" s="70"/>
      <c r="DH194" s="68"/>
      <c r="DI194" s="386"/>
      <c r="DJ194" s="425"/>
      <c r="DL194" s="68"/>
      <c r="DM194" s="70"/>
      <c r="DQ194" s="68"/>
      <c r="DR194" s="70"/>
      <c r="DS194" s="338"/>
      <c r="DT194" s="338"/>
      <c r="DU194" s="338"/>
      <c r="DW194" s="338"/>
      <c r="DX194" s="338"/>
      <c r="DY194" s="338"/>
      <c r="EA194" s="338"/>
      <c r="EB194" s="338"/>
      <c r="EC194" s="338"/>
      <c r="EE194" s="338"/>
      <c r="EF194" s="338"/>
      <c r="EG194" s="338"/>
      <c r="EI194" s="336"/>
      <c r="EJ194" s="336"/>
      <c r="EK194" s="336"/>
      <c r="EL194" s="336"/>
      <c r="EM194" s="336"/>
      <c r="EN194" s="336"/>
      <c r="EO194" s="337"/>
      <c r="EP194" s="342"/>
      <c r="EQ194" s="336"/>
      <c r="ER194" s="342"/>
      <c r="ES194" s="336"/>
      <c r="ET194" s="342"/>
      <c r="EU194" s="336"/>
      <c r="EV194" s="342"/>
      <c r="EW194" s="336"/>
      <c r="EX194" s="342"/>
      <c r="EY194" s="342"/>
      <c r="EZ194" s="342"/>
      <c r="FA194" s="337"/>
      <c r="FE194" s="338"/>
      <c r="FH194" s="338"/>
      <c r="FI194" s="338"/>
      <c r="FJ194" s="338"/>
      <c r="FK194" s="338"/>
      <c r="FL194" s="338"/>
      <c r="FM194" s="337"/>
      <c r="FN194" s="336"/>
      <c r="FO194" s="336"/>
      <c r="FP194" s="336"/>
      <c r="FQ194" s="336"/>
      <c r="FR194" s="336"/>
      <c r="FS194" s="336"/>
      <c r="FT194" s="336"/>
      <c r="FU194" s="336"/>
      <c r="FV194" s="336"/>
      <c r="FW194" s="337"/>
      <c r="FX194" s="532"/>
      <c r="FY194" s="341"/>
      <c r="FZ194" s="341"/>
      <c r="GA194" s="336"/>
      <c r="GB194" s="341"/>
      <c r="GC194" s="341"/>
      <c r="GD194" s="341"/>
      <c r="GE194" s="336"/>
      <c r="GF194" s="336"/>
      <c r="GG194" s="336"/>
      <c r="GH194" s="336"/>
      <c r="GI194" s="336"/>
      <c r="GJ194" s="337"/>
      <c r="GM194" s="338"/>
      <c r="GN194" s="338"/>
      <c r="GO194" s="338"/>
      <c r="GS194" s="338"/>
      <c r="GT194" s="338"/>
      <c r="GU194" s="338"/>
      <c r="GY194" s="338"/>
      <c r="GZ194" s="338"/>
      <c r="HA194" s="338"/>
      <c r="HE194" s="338"/>
      <c r="HF194" s="338"/>
      <c r="HG194" s="338"/>
      <c r="HN194" s="68"/>
      <c r="HO194" s="68"/>
      <c r="HP194" s="68"/>
      <c r="HQ194" s="336"/>
      <c r="HR194" s="68"/>
      <c r="HS194" s="68"/>
      <c r="HT194" s="10"/>
      <c r="HW194" s="338"/>
      <c r="HX194" s="338"/>
      <c r="HY194" s="338"/>
      <c r="IC194" s="338"/>
      <c r="ID194" s="338"/>
      <c r="IE194" s="338"/>
      <c r="II194" s="338"/>
      <c r="IJ194" s="338"/>
      <c r="IK194" s="338"/>
      <c r="IO194" s="338"/>
      <c r="IP194" s="338"/>
      <c r="IQ194" s="338"/>
      <c r="IX194" s="68"/>
      <c r="IY194" s="68"/>
      <c r="IZ194" s="68"/>
      <c r="JA194" s="68"/>
      <c r="JB194" s="68"/>
      <c r="JC194" s="68"/>
      <c r="JD194" s="10"/>
      <c r="JG194" s="338"/>
      <c r="JH194" s="338"/>
      <c r="JI194" s="338"/>
      <c r="JM194" s="338"/>
      <c r="JN194" s="338"/>
      <c r="JQ194" s="338"/>
      <c r="JR194" s="338"/>
      <c r="JS194" s="338"/>
      <c r="JW194" s="358"/>
      <c r="JX194" s="336"/>
      <c r="JY194" s="336"/>
      <c r="JZ194" s="336"/>
      <c r="KA194" s="336"/>
      <c r="KB194" s="336"/>
      <c r="KC194" s="336"/>
      <c r="KD194" s="336"/>
      <c r="KE194" s="336"/>
      <c r="KF194" s="336"/>
      <c r="KG194" s="337"/>
      <c r="KH194" s="338"/>
      <c r="KI194" s="338"/>
      <c r="KJ194" s="338"/>
      <c r="KK194" s="338"/>
      <c r="KL194" s="338"/>
      <c r="KM194" s="338"/>
      <c r="KN194" s="338"/>
      <c r="KO194" s="338"/>
      <c r="KP194" s="338"/>
      <c r="KQ194" s="338"/>
      <c r="KR194" s="338"/>
      <c r="KS194" s="338"/>
      <c r="KT194" s="338"/>
      <c r="KU194" s="338"/>
      <c r="KV194" s="338"/>
      <c r="KW194" s="337"/>
      <c r="KX194" s="336"/>
      <c r="KY194" s="336"/>
      <c r="KZ194" s="336"/>
      <c r="LA194" s="336"/>
      <c r="LB194" s="336"/>
      <c r="LC194" s="336"/>
      <c r="LD194" s="336"/>
      <c r="LE194" s="336"/>
      <c r="LF194" s="336"/>
      <c r="LG194" s="336"/>
      <c r="LH194" s="336"/>
      <c r="LI194" s="336"/>
      <c r="LJ194" s="336"/>
      <c r="LK194" s="336"/>
      <c r="LL194" s="336"/>
      <c r="LM194" s="336"/>
      <c r="LN194" s="336"/>
      <c r="LO194" s="336"/>
      <c r="LP194" s="336"/>
      <c r="LQ194" s="337"/>
      <c r="MN194" s="10"/>
      <c r="OA194" s="10"/>
    </row>
    <row r="195" spans="1:391" s="370" customFormat="1" x14ac:dyDescent="0.25">
      <c r="A195" s="68"/>
      <c r="B195" s="10"/>
      <c r="C195" s="68"/>
      <c r="D195" s="68"/>
      <c r="E195" s="68"/>
      <c r="F195" s="68"/>
      <c r="G195" s="68"/>
      <c r="H195" s="68"/>
      <c r="I195" s="68"/>
      <c r="J195" s="68"/>
      <c r="K195" s="68"/>
      <c r="L195" s="68"/>
      <c r="M195" s="68"/>
      <c r="N195" s="68"/>
      <c r="O195" s="68"/>
      <c r="P195" s="68"/>
      <c r="Q195" s="68"/>
      <c r="R195" s="68"/>
      <c r="S195" s="68"/>
      <c r="T195" s="70"/>
      <c r="AC195" s="68"/>
      <c r="AD195" s="70"/>
      <c r="AM195" s="68"/>
      <c r="AN195" s="70"/>
      <c r="AU195" s="68"/>
      <c r="AV195" s="70"/>
      <c r="BB195" s="68"/>
      <c r="BC195" s="70"/>
      <c r="BD195" s="68"/>
      <c r="BE195" s="68"/>
      <c r="BF195" s="68"/>
      <c r="BG195" s="68"/>
      <c r="BH195" s="68"/>
      <c r="BI195" s="68"/>
      <c r="BJ195" s="70"/>
      <c r="BM195" s="68"/>
      <c r="BN195" s="70"/>
      <c r="BT195" s="68"/>
      <c r="BU195" s="70"/>
      <c r="BZ195" s="10"/>
      <c r="CF195" s="10"/>
      <c r="CI195" s="389"/>
      <c r="CJ195" s="389"/>
      <c r="CK195" s="68"/>
      <c r="CL195" s="70"/>
      <c r="CO195" s="10"/>
      <c r="CU195" s="10"/>
      <c r="DA195" s="10"/>
      <c r="DB195" s="70"/>
      <c r="DC195" s="70"/>
      <c r="DF195" s="68"/>
      <c r="DG195" s="70"/>
      <c r="DH195" s="68"/>
      <c r="DI195" s="386"/>
      <c r="DJ195" s="425"/>
      <c r="DL195" s="68"/>
      <c r="DM195" s="70"/>
      <c r="DQ195" s="68"/>
      <c r="DR195" s="70"/>
      <c r="DS195" s="338"/>
      <c r="DT195" s="338"/>
      <c r="DU195" s="338"/>
      <c r="DW195" s="338"/>
      <c r="DX195" s="338"/>
      <c r="DY195" s="338"/>
      <c r="EA195" s="338"/>
      <c r="EB195" s="338"/>
      <c r="EC195" s="338"/>
      <c r="EE195" s="338"/>
      <c r="EF195" s="338"/>
      <c r="EG195" s="338"/>
      <c r="EI195" s="336"/>
      <c r="EJ195" s="336"/>
      <c r="EK195" s="336"/>
      <c r="EL195" s="336"/>
      <c r="EM195" s="336"/>
      <c r="EN195" s="336"/>
      <c r="EO195" s="337"/>
      <c r="EP195" s="342"/>
      <c r="EQ195" s="336"/>
      <c r="ER195" s="342"/>
      <c r="ES195" s="336"/>
      <c r="ET195" s="342"/>
      <c r="EU195" s="336"/>
      <c r="EV195" s="342"/>
      <c r="EW195" s="336"/>
      <c r="EX195" s="342"/>
      <c r="EY195" s="342"/>
      <c r="EZ195" s="342"/>
      <c r="FA195" s="337"/>
      <c r="FE195" s="338"/>
      <c r="FH195" s="338"/>
      <c r="FI195" s="338"/>
      <c r="FJ195" s="338"/>
      <c r="FK195" s="338"/>
      <c r="FL195" s="338"/>
      <c r="FM195" s="337"/>
      <c r="FN195" s="336"/>
      <c r="FO195" s="336"/>
      <c r="FP195" s="336"/>
      <c r="FQ195" s="336"/>
      <c r="FR195" s="336"/>
      <c r="FS195" s="336"/>
      <c r="FT195" s="336"/>
      <c r="FU195" s="336"/>
      <c r="FV195" s="336"/>
      <c r="FW195" s="337"/>
      <c r="FX195" s="532"/>
      <c r="FY195" s="341"/>
      <c r="FZ195" s="341"/>
      <c r="GA195" s="336"/>
      <c r="GB195" s="341"/>
      <c r="GC195" s="341"/>
      <c r="GD195" s="341"/>
      <c r="GE195" s="336"/>
      <c r="GF195" s="336"/>
      <c r="GG195" s="336"/>
      <c r="GH195" s="336"/>
      <c r="GI195" s="336"/>
      <c r="GJ195" s="337"/>
      <c r="GM195" s="338"/>
      <c r="GN195" s="338"/>
      <c r="GO195" s="338"/>
      <c r="GS195" s="338"/>
      <c r="GT195" s="338"/>
      <c r="GU195" s="338"/>
      <c r="GY195" s="338"/>
      <c r="GZ195" s="338"/>
      <c r="HA195" s="338"/>
      <c r="HE195" s="338"/>
      <c r="HF195" s="338"/>
      <c r="HG195" s="338"/>
      <c r="HN195" s="68"/>
      <c r="HO195" s="68"/>
      <c r="HP195" s="68"/>
      <c r="HQ195" s="336"/>
      <c r="HR195" s="68"/>
      <c r="HS195" s="68"/>
      <c r="HT195" s="10"/>
      <c r="HW195" s="338"/>
      <c r="HX195" s="338"/>
      <c r="HY195" s="338"/>
      <c r="IC195" s="338"/>
      <c r="ID195" s="338"/>
      <c r="IE195" s="338"/>
      <c r="II195" s="338"/>
      <c r="IJ195" s="338"/>
      <c r="IK195" s="338"/>
      <c r="IO195" s="338"/>
      <c r="IP195" s="338"/>
      <c r="IQ195" s="338"/>
      <c r="IX195" s="68"/>
      <c r="IY195" s="68"/>
      <c r="IZ195" s="68"/>
      <c r="JA195" s="68"/>
      <c r="JB195" s="68"/>
      <c r="JC195" s="68"/>
      <c r="JD195" s="10"/>
      <c r="JG195" s="338"/>
      <c r="JH195" s="338"/>
      <c r="JI195" s="338"/>
      <c r="JM195" s="338"/>
      <c r="JN195" s="338"/>
      <c r="JQ195" s="338"/>
      <c r="JR195" s="338"/>
      <c r="JS195" s="338"/>
      <c r="JW195" s="358"/>
      <c r="JX195" s="336"/>
      <c r="JY195" s="336"/>
      <c r="JZ195" s="336"/>
      <c r="KA195" s="336"/>
      <c r="KB195" s="336"/>
      <c r="KC195" s="336"/>
      <c r="KD195" s="336"/>
      <c r="KE195" s="336"/>
      <c r="KF195" s="336"/>
      <c r="KG195" s="337"/>
      <c r="KH195" s="338"/>
      <c r="KI195" s="338"/>
      <c r="KJ195" s="338"/>
      <c r="KK195" s="338"/>
      <c r="KL195" s="338"/>
      <c r="KM195" s="338"/>
      <c r="KN195" s="338"/>
      <c r="KO195" s="338"/>
      <c r="KP195" s="338"/>
      <c r="KQ195" s="338"/>
      <c r="KR195" s="338"/>
      <c r="KS195" s="338"/>
      <c r="KT195" s="338"/>
      <c r="KU195" s="338"/>
      <c r="KV195" s="338"/>
      <c r="KW195" s="337"/>
      <c r="KX195" s="336"/>
      <c r="KY195" s="336"/>
      <c r="KZ195" s="336"/>
      <c r="LA195" s="336"/>
      <c r="LB195" s="336"/>
      <c r="LC195" s="336"/>
      <c r="LD195" s="336"/>
      <c r="LE195" s="336"/>
      <c r="LF195" s="336"/>
      <c r="LG195" s="336"/>
      <c r="LH195" s="336"/>
      <c r="LI195" s="336"/>
      <c r="LJ195" s="336"/>
      <c r="LK195" s="336"/>
      <c r="LL195" s="336"/>
      <c r="LM195" s="336"/>
      <c r="LN195" s="336"/>
      <c r="LO195" s="336"/>
      <c r="LP195" s="336"/>
      <c r="LQ195" s="337"/>
      <c r="MN195" s="10"/>
      <c r="OA195" s="10"/>
    </row>
    <row r="196" spans="1:391" s="370" customFormat="1" x14ac:dyDescent="0.25">
      <c r="A196" s="68"/>
      <c r="B196" s="10"/>
      <c r="C196" s="68"/>
      <c r="D196" s="68"/>
      <c r="E196" s="68"/>
      <c r="F196" s="68"/>
      <c r="G196" s="68"/>
      <c r="H196" s="68"/>
      <c r="I196" s="68"/>
      <c r="J196" s="68"/>
      <c r="K196" s="68"/>
      <c r="L196" s="68"/>
      <c r="M196" s="68"/>
      <c r="N196" s="68"/>
      <c r="O196" s="68"/>
      <c r="P196" s="68"/>
      <c r="Q196" s="68"/>
      <c r="R196" s="68"/>
      <c r="S196" s="68"/>
      <c r="T196" s="70"/>
      <c r="AC196" s="68"/>
      <c r="AD196" s="70"/>
      <c r="AM196" s="68"/>
      <c r="AN196" s="70"/>
      <c r="AU196" s="68"/>
      <c r="AV196" s="70"/>
      <c r="BB196" s="68"/>
      <c r="BC196" s="70"/>
      <c r="BD196" s="68"/>
      <c r="BE196" s="68"/>
      <c r="BF196" s="68"/>
      <c r="BG196" s="68"/>
      <c r="BH196" s="68"/>
      <c r="BI196" s="68"/>
      <c r="BJ196" s="70"/>
      <c r="BM196" s="68"/>
      <c r="BN196" s="70"/>
      <c r="BT196" s="68"/>
      <c r="BU196" s="70"/>
      <c r="BZ196" s="10"/>
      <c r="CF196" s="10"/>
      <c r="CI196" s="389"/>
      <c r="CJ196" s="389"/>
      <c r="CK196" s="68"/>
      <c r="CL196" s="70"/>
      <c r="CO196" s="10"/>
      <c r="CU196" s="10"/>
      <c r="DA196" s="10"/>
      <c r="DB196" s="70"/>
      <c r="DC196" s="70"/>
      <c r="DF196" s="68"/>
      <c r="DG196" s="70"/>
      <c r="DH196" s="68"/>
      <c r="DI196" s="386"/>
      <c r="DJ196" s="425"/>
      <c r="DL196" s="68"/>
      <c r="DM196" s="70"/>
      <c r="DQ196" s="68"/>
      <c r="DR196" s="70"/>
      <c r="DS196" s="338"/>
      <c r="DT196" s="338"/>
      <c r="DU196" s="338"/>
      <c r="DW196" s="338"/>
      <c r="DX196" s="338"/>
      <c r="DY196" s="338"/>
      <c r="EA196" s="338"/>
      <c r="EB196" s="338"/>
      <c r="EC196" s="338"/>
      <c r="EE196" s="338"/>
      <c r="EF196" s="338"/>
      <c r="EG196" s="338"/>
      <c r="EI196" s="336"/>
      <c r="EJ196" s="336"/>
      <c r="EK196" s="336"/>
      <c r="EL196" s="336"/>
      <c r="EM196" s="336"/>
      <c r="EN196" s="336"/>
      <c r="EO196" s="337"/>
      <c r="EP196" s="342"/>
      <c r="EQ196" s="336"/>
      <c r="ER196" s="342"/>
      <c r="ES196" s="336"/>
      <c r="ET196" s="342"/>
      <c r="EU196" s="336"/>
      <c r="EV196" s="342"/>
      <c r="EW196" s="336"/>
      <c r="EX196" s="342"/>
      <c r="EY196" s="342"/>
      <c r="EZ196" s="342"/>
      <c r="FA196" s="337"/>
      <c r="FE196" s="338"/>
      <c r="FH196" s="338"/>
      <c r="FI196" s="338"/>
      <c r="FJ196" s="338"/>
      <c r="FK196" s="338"/>
      <c r="FL196" s="338"/>
      <c r="FM196" s="337"/>
      <c r="FN196" s="336"/>
      <c r="FO196" s="336"/>
      <c r="FP196" s="336"/>
      <c r="FQ196" s="336"/>
      <c r="FR196" s="336"/>
      <c r="FS196" s="336"/>
      <c r="FT196" s="336"/>
      <c r="FU196" s="336"/>
      <c r="FV196" s="336"/>
      <c r="FW196" s="337"/>
      <c r="FX196" s="532"/>
      <c r="FY196" s="341"/>
      <c r="FZ196" s="341"/>
      <c r="GA196" s="336"/>
      <c r="GB196" s="341"/>
      <c r="GC196" s="341"/>
      <c r="GD196" s="341"/>
      <c r="GE196" s="336"/>
      <c r="GF196" s="336"/>
      <c r="GG196" s="336"/>
      <c r="GH196" s="336"/>
      <c r="GI196" s="336"/>
      <c r="GJ196" s="337"/>
      <c r="GM196" s="338"/>
      <c r="GN196" s="338"/>
      <c r="GO196" s="338"/>
      <c r="GS196" s="338"/>
      <c r="GT196" s="338"/>
      <c r="GU196" s="338"/>
      <c r="GY196" s="338"/>
      <c r="GZ196" s="338"/>
      <c r="HA196" s="338"/>
      <c r="HE196" s="338"/>
      <c r="HF196" s="338"/>
      <c r="HG196" s="338"/>
      <c r="HN196" s="68"/>
      <c r="HO196" s="68"/>
      <c r="HP196" s="68"/>
      <c r="HQ196" s="336"/>
      <c r="HR196" s="68"/>
      <c r="HS196" s="68"/>
      <c r="HT196" s="10"/>
      <c r="HW196" s="338"/>
      <c r="HX196" s="338"/>
      <c r="HY196" s="338"/>
      <c r="IC196" s="338"/>
      <c r="ID196" s="338"/>
      <c r="IE196" s="338"/>
      <c r="II196" s="338"/>
      <c r="IJ196" s="338"/>
      <c r="IK196" s="338"/>
      <c r="IO196" s="338"/>
      <c r="IP196" s="338"/>
      <c r="IQ196" s="338"/>
      <c r="IX196" s="68"/>
      <c r="IY196" s="68"/>
      <c r="IZ196" s="68"/>
      <c r="JA196" s="68"/>
      <c r="JB196" s="68"/>
      <c r="JC196" s="68"/>
      <c r="JD196" s="10"/>
      <c r="JG196" s="338"/>
      <c r="JH196" s="338"/>
      <c r="JI196" s="338"/>
      <c r="JM196" s="338"/>
      <c r="JN196" s="338"/>
      <c r="JQ196" s="338"/>
      <c r="JR196" s="338"/>
      <c r="JS196" s="338"/>
      <c r="JW196" s="358"/>
      <c r="JX196" s="336"/>
      <c r="JY196" s="336"/>
      <c r="JZ196" s="336"/>
      <c r="KA196" s="336"/>
      <c r="KB196" s="336"/>
      <c r="KC196" s="336"/>
      <c r="KD196" s="336"/>
      <c r="KE196" s="336"/>
      <c r="KF196" s="336"/>
      <c r="KG196" s="337"/>
      <c r="KH196" s="338"/>
      <c r="KI196" s="338"/>
      <c r="KJ196" s="338"/>
      <c r="KK196" s="338"/>
      <c r="KL196" s="338"/>
      <c r="KM196" s="338"/>
      <c r="KN196" s="338"/>
      <c r="KO196" s="338"/>
      <c r="KP196" s="338"/>
      <c r="KQ196" s="338"/>
      <c r="KR196" s="338"/>
      <c r="KS196" s="338"/>
      <c r="KT196" s="338"/>
      <c r="KU196" s="338"/>
      <c r="KV196" s="338"/>
      <c r="KW196" s="337"/>
      <c r="KX196" s="336"/>
      <c r="KY196" s="336"/>
      <c r="KZ196" s="336"/>
      <c r="LA196" s="336"/>
      <c r="LB196" s="336"/>
      <c r="LC196" s="336"/>
      <c r="LD196" s="336"/>
      <c r="LE196" s="336"/>
      <c r="LF196" s="336"/>
      <c r="LG196" s="336"/>
      <c r="LH196" s="336"/>
      <c r="LI196" s="336"/>
      <c r="LJ196" s="336"/>
      <c r="LK196" s="336"/>
      <c r="LL196" s="336"/>
      <c r="LM196" s="336"/>
      <c r="LN196" s="336"/>
      <c r="LO196" s="336"/>
      <c r="LP196" s="336"/>
      <c r="LQ196" s="337"/>
      <c r="MN196" s="10"/>
      <c r="OA196" s="10"/>
    </row>
    <row r="197" spans="1:391" s="370" customFormat="1" x14ac:dyDescent="0.25">
      <c r="A197" s="68"/>
      <c r="B197" s="10"/>
      <c r="C197" s="68"/>
      <c r="D197" s="68"/>
      <c r="E197" s="68"/>
      <c r="F197" s="68"/>
      <c r="G197" s="68"/>
      <c r="H197" s="68"/>
      <c r="I197" s="68"/>
      <c r="J197" s="68"/>
      <c r="K197" s="68"/>
      <c r="L197" s="68"/>
      <c r="M197" s="68"/>
      <c r="N197" s="68"/>
      <c r="O197" s="68"/>
      <c r="P197" s="68"/>
      <c r="Q197" s="68"/>
      <c r="R197" s="68"/>
      <c r="S197" s="68"/>
      <c r="T197" s="70"/>
      <c r="AC197" s="68"/>
      <c r="AD197" s="70"/>
      <c r="AM197" s="68"/>
      <c r="AN197" s="70"/>
      <c r="AU197" s="68"/>
      <c r="AV197" s="70"/>
      <c r="BB197" s="68"/>
      <c r="BC197" s="70"/>
      <c r="BD197" s="68"/>
      <c r="BE197" s="68"/>
      <c r="BF197" s="68"/>
      <c r="BG197" s="68"/>
      <c r="BH197" s="68"/>
      <c r="BI197" s="68"/>
      <c r="BJ197" s="70"/>
      <c r="BM197" s="68"/>
      <c r="BN197" s="70"/>
      <c r="BT197" s="68"/>
      <c r="BU197" s="70"/>
      <c r="BZ197" s="10"/>
      <c r="CF197" s="10"/>
      <c r="CI197" s="389"/>
      <c r="CJ197" s="389"/>
      <c r="CK197" s="68"/>
      <c r="CL197" s="70"/>
      <c r="CO197" s="10"/>
      <c r="CU197" s="10"/>
      <c r="DA197" s="10"/>
      <c r="DB197" s="70"/>
      <c r="DC197" s="70"/>
      <c r="DF197" s="68"/>
      <c r="DG197" s="70"/>
      <c r="DH197" s="68"/>
      <c r="DI197" s="386"/>
      <c r="DJ197" s="425"/>
      <c r="DL197" s="68"/>
      <c r="DM197" s="70"/>
      <c r="DQ197" s="68"/>
      <c r="DR197" s="70"/>
      <c r="DS197" s="338"/>
      <c r="DT197" s="338"/>
      <c r="DU197" s="338"/>
      <c r="DW197" s="338"/>
      <c r="DX197" s="338"/>
      <c r="DY197" s="338"/>
      <c r="EA197" s="338"/>
      <c r="EB197" s="338"/>
      <c r="EC197" s="338"/>
      <c r="EE197" s="338"/>
      <c r="EF197" s="338"/>
      <c r="EG197" s="338"/>
      <c r="EI197" s="336"/>
      <c r="EJ197" s="336"/>
      <c r="EK197" s="336"/>
      <c r="EL197" s="336"/>
      <c r="EM197" s="336"/>
      <c r="EN197" s="336"/>
      <c r="EO197" s="337"/>
      <c r="EP197" s="342"/>
      <c r="EQ197" s="336"/>
      <c r="ER197" s="342"/>
      <c r="ES197" s="336"/>
      <c r="ET197" s="342"/>
      <c r="EU197" s="336"/>
      <c r="EV197" s="342"/>
      <c r="EW197" s="336"/>
      <c r="EX197" s="342"/>
      <c r="EY197" s="342"/>
      <c r="EZ197" s="342"/>
      <c r="FA197" s="337"/>
      <c r="FE197" s="338"/>
      <c r="FH197" s="338"/>
      <c r="FI197" s="338"/>
      <c r="FJ197" s="338"/>
      <c r="FK197" s="338"/>
      <c r="FL197" s="338"/>
      <c r="FM197" s="337"/>
      <c r="FN197" s="336"/>
      <c r="FO197" s="336"/>
      <c r="FP197" s="336"/>
      <c r="FQ197" s="336"/>
      <c r="FR197" s="336"/>
      <c r="FS197" s="336"/>
      <c r="FT197" s="336"/>
      <c r="FU197" s="336"/>
      <c r="FV197" s="336"/>
      <c r="FW197" s="337"/>
      <c r="FX197" s="532"/>
      <c r="FY197" s="341"/>
      <c r="FZ197" s="341"/>
      <c r="GA197" s="336"/>
      <c r="GB197" s="341"/>
      <c r="GC197" s="341"/>
      <c r="GD197" s="341"/>
      <c r="GE197" s="336"/>
      <c r="GF197" s="336"/>
      <c r="GG197" s="336"/>
      <c r="GH197" s="336"/>
      <c r="GI197" s="336"/>
      <c r="GJ197" s="337"/>
      <c r="GM197" s="338"/>
      <c r="GN197" s="338"/>
      <c r="GO197" s="338"/>
      <c r="GS197" s="338"/>
      <c r="GT197" s="338"/>
      <c r="GU197" s="338"/>
      <c r="GY197" s="338"/>
      <c r="GZ197" s="338"/>
      <c r="HA197" s="338"/>
      <c r="HE197" s="338"/>
      <c r="HF197" s="338"/>
      <c r="HG197" s="338"/>
      <c r="HN197" s="68"/>
      <c r="HO197" s="68"/>
      <c r="HP197" s="68"/>
      <c r="HQ197" s="336"/>
      <c r="HR197" s="68"/>
      <c r="HS197" s="68"/>
      <c r="HT197" s="10"/>
      <c r="HW197" s="338"/>
      <c r="HX197" s="338"/>
      <c r="HY197" s="338"/>
      <c r="IC197" s="338"/>
      <c r="ID197" s="338"/>
      <c r="IE197" s="338"/>
      <c r="II197" s="338"/>
      <c r="IJ197" s="338"/>
      <c r="IK197" s="338"/>
      <c r="IO197" s="338"/>
      <c r="IP197" s="338"/>
      <c r="IQ197" s="338"/>
      <c r="IX197" s="68"/>
      <c r="IY197" s="68"/>
      <c r="IZ197" s="68"/>
      <c r="JA197" s="68"/>
      <c r="JB197" s="68"/>
      <c r="JC197" s="68"/>
      <c r="JD197" s="10"/>
      <c r="JG197" s="338"/>
      <c r="JH197" s="338"/>
      <c r="JI197" s="338"/>
      <c r="JM197" s="338"/>
      <c r="JN197" s="338"/>
      <c r="JQ197" s="338"/>
      <c r="JR197" s="338"/>
      <c r="JS197" s="338"/>
      <c r="JW197" s="358"/>
      <c r="JX197" s="336"/>
      <c r="JY197" s="336"/>
      <c r="JZ197" s="336"/>
      <c r="KA197" s="336"/>
      <c r="KB197" s="336"/>
      <c r="KC197" s="336"/>
      <c r="KD197" s="336"/>
      <c r="KE197" s="336"/>
      <c r="KF197" s="336"/>
      <c r="KG197" s="337"/>
      <c r="KH197" s="338"/>
      <c r="KI197" s="338"/>
      <c r="KJ197" s="338"/>
      <c r="KK197" s="338"/>
      <c r="KL197" s="338"/>
      <c r="KM197" s="338"/>
      <c r="KN197" s="338"/>
      <c r="KO197" s="338"/>
      <c r="KP197" s="338"/>
      <c r="KQ197" s="338"/>
      <c r="KR197" s="338"/>
      <c r="KS197" s="338"/>
      <c r="KT197" s="338"/>
      <c r="KU197" s="338"/>
      <c r="KV197" s="338"/>
      <c r="KW197" s="337"/>
      <c r="KX197" s="336"/>
      <c r="KY197" s="336"/>
      <c r="KZ197" s="336"/>
      <c r="LA197" s="336"/>
      <c r="LB197" s="336"/>
      <c r="LC197" s="336"/>
      <c r="LD197" s="336"/>
      <c r="LE197" s="336"/>
      <c r="LF197" s="336"/>
      <c r="LG197" s="336"/>
      <c r="LH197" s="336"/>
      <c r="LI197" s="336"/>
      <c r="LJ197" s="336"/>
      <c r="LK197" s="336"/>
      <c r="LL197" s="336"/>
      <c r="LM197" s="336"/>
      <c r="LN197" s="336"/>
      <c r="LO197" s="336"/>
      <c r="LP197" s="336"/>
      <c r="LQ197" s="337"/>
      <c r="MN197" s="10"/>
      <c r="OA197" s="10"/>
    </row>
    <row r="198" spans="1:391" s="370" customFormat="1" x14ac:dyDescent="0.25">
      <c r="A198" s="68"/>
      <c r="B198" s="10"/>
      <c r="C198" s="68"/>
      <c r="D198" s="68"/>
      <c r="E198" s="68"/>
      <c r="F198" s="68"/>
      <c r="G198" s="68"/>
      <c r="H198" s="68"/>
      <c r="I198" s="68"/>
      <c r="J198" s="68"/>
      <c r="K198" s="68"/>
      <c r="L198" s="68"/>
      <c r="M198" s="68"/>
      <c r="N198" s="68"/>
      <c r="O198" s="68"/>
      <c r="P198" s="68"/>
      <c r="Q198" s="68"/>
      <c r="R198" s="68"/>
      <c r="S198" s="68"/>
      <c r="T198" s="70"/>
      <c r="AC198" s="68"/>
      <c r="AD198" s="70"/>
      <c r="AM198" s="68"/>
      <c r="AN198" s="70"/>
      <c r="AU198" s="68"/>
      <c r="AV198" s="70"/>
      <c r="BB198" s="68"/>
      <c r="BC198" s="70"/>
      <c r="BD198" s="68"/>
      <c r="BE198" s="68"/>
      <c r="BF198" s="68"/>
      <c r="BG198" s="68"/>
      <c r="BH198" s="68"/>
      <c r="BI198" s="68"/>
      <c r="BJ198" s="70"/>
      <c r="BM198" s="68"/>
      <c r="BN198" s="70"/>
      <c r="BT198" s="68"/>
      <c r="BU198" s="70"/>
      <c r="BZ198" s="10"/>
      <c r="CF198" s="10"/>
      <c r="CI198" s="389"/>
      <c r="CJ198" s="389"/>
      <c r="CK198" s="68"/>
      <c r="CL198" s="70"/>
      <c r="CO198" s="10"/>
      <c r="CU198" s="10"/>
      <c r="DA198" s="10"/>
      <c r="DB198" s="70"/>
      <c r="DC198" s="70"/>
      <c r="DF198" s="68"/>
      <c r="DG198" s="70"/>
      <c r="DH198" s="68"/>
      <c r="DI198" s="386"/>
      <c r="DJ198" s="425"/>
      <c r="DL198" s="68"/>
      <c r="DM198" s="70"/>
      <c r="DQ198" s="68"/>
      <c r="DR198" s="70"/>
      <c r="DS198" s="338"/>
      <c r="DT198" s="338"/>
      <c r="DU198" s="338"/>
      <c r="DW198" s="338"/>
      <c r="DX198" s="338"/>
      <c r="DY198" s="338"/>
      <c r="EA198" s="338"/>
      <c r="EB198" s="338"/>
      <c r="EC198" s="338"/>
      <c r="EE198" s="338"/>
      <c r="EF198" s="338"/>
      <c r="EG198" s="338"/>
      <c r="EI198" s="336"/>
      <c r="EJ198" s="336"/>
      <c r="EK198" s="336"/>
      <c r="EL198" s="336"/>
      <c r="EM198" s="336"/>
      <c r="EN198" s="336"/>
      <c r="EO198" s="337"/>
      <c r="EP198" s="342"/>
      <c r="EQ198" s="336"/>
      <c r="ER198" s="342"/>
      <c r="ES198" s="336"/>
      <c r="ET198" s="342"/>
      <c r="EU198" s="336"/>
      <c r="EV198" s="342"/>
      <c r="EW198" s="336"/>
      <c r="EX198" s="342"/>
      <c r="EY198" s="342"/>
      <c r="EZ198" s="342"/>
      <c r="FA198" s="337"/>
      <c r="FE198" s="338"/>
      <c r="FH198" s="338"/>
      <c r="FI198" s="338"/>
      <c r="FJ198" s="338"/>
      <c r="FK198" s="338"/>
      <c r="FL198" s="338"/>
      <c r="FM198" s="337"/>
      <c r="FN198" s="336"/>
      <c r="FO198" s="336"/>
      <c r="FP198" s="336"/>
      <c r="FQ198" s="336"/>
      <c r="FR198" s="336"/>
      <c r="FS198" s="336"/>
      <c r="FT198" s="336"/>
      <c r="FU198" s="336"/>
      <c r="FV198" s="336"/>
      <c r="FW198" s="337"/>
      <c r="FX198" s="532"/>
      <c r="FY198" s="341"/>
      <c r="FZ198" s="341"/>
      <c r="GA198" s="336"/>
      <c r="GB198" s="341"/>
      <c r="GC198" s="341"/>
      <c r="GD198" s="341"/>
      <c r="GE198" s="336"/>
      <c r="GF198" s="336"/>
      <c r="GG198" s="336"/>
      <c r="GH198" s="336"/>
      <c r="GI198" s="336"/>
      <c r="GJ198" s="337"/>
      <c r="GM198" s="338"/>
      <c r="GN198" s="338"/>
      <c r="GO198" s="338"/>
      <c r="GS198" s="338"/>
      <c r="GT198" s="338"/>
      <c r="GU198" s="338"/>
      <c r="GY198" s="338"/>
      <c r="GZ198" s="338"/>
      <c r="HA198" s="338"/>
      <c r="HE198" s="338"/>
      <c r="HF198" s="338"/>
      <c r="HG198" s="338"/>
      <c r="HN198" s="68"/>
      <c r="HO198" s="68"/>
      <c r="HP198" s="68"/>
      <c r="HQ198" s="336"/>
      <c r="HR198" s="68"/>
      <c r="HS198" s="68"/>
      <c r="HT198" s="10"/>
      <c r="HW198" s="338"/>
      <c r="HX198" s="338"/>
      <c r="HY198" s="338"/>
      <c r="IC198" s="338"/>
      <c r="ID198" s="338"/>
      <c r="IE198" s="338"/>
      <c r="II198" s="338"/>
      <c r="IJ198" s="338"/>
      <c r="IK198" s="338"/>
      <c r="IO198" s="338"/>
      <c r="IP198" s="338"/>
      <c r="IQ198" s="338"/>
      <c r="IX198" s="68"/>
      <c r="IY198" s="68"/>
      <c r="IZ198" s="68"/>
      <c r="JA198" s="68"/>
      <c r="JB198" s="68"/>
      <c r="JC198" s="68"/>
      <c r="JD198" s="10"/>
      <c r="JG198" s="338"/>
      <c r="JH198" s="338"/>
      <c r="JI198" s="338"/>
      <c r="JM198" s="338"/>
      <c r="JN198" s="338"/>
      <c r="JQ198" s="338"/>
      <c r="JR198" s="338"/>
      <c r="JS198" s="338"/>
      <c r="JW198" s="358"/>
      <c r="JX198" s="336"/>
      <c r="JY198" s="336"/>
      <c r="JZ198" s="336"/>
      <c r="KA198" s="336"/>
      <c r="KB198" s="336"/>
      <c r="KC198" s="336"/>
      <c r="KD198" s="336"/>
      <c r="KE198" s="336"/>
      <c r="KF198" s="336"/>
      <c r="KG198" s="337"/>
      <c r="KH198" s="338"/>
      <c r="KI198" s="338"/>
      <c r="KJ198" s="338"/>
      <c r="KK198" s="338"/>
      <c r="KL198" s="338"/>
      <c r="KM198" s="338"/>
      <c r="KN198" s="338"/>
      <c r="KO198" s="338"/>
      <c r="KP198" s="338"/>
      <c r="KQ198" s="338"/>
      <c r="KR198" s="338"/>
      <c r="KS198" s="338"/>
      <c r="KT198" s="338"/>
      <c r="KU198" s="338"/>
      <c r="KV198" s="338"/>
      <c r="KW198" s="337"/>
      <c r="KX198" s="336"/>
      <c r="KY198" s="336"/>
      <c r="KZ198" s="336"/>
      <c r="LA198" s="336"/>
      <c r="LB198" s="336"/>
      <c r="LC198" s="336"/>
      <c r="LD198" s="336"/>
      <c r="LE198" s="336"/>
      <c r="LF198" s="336"/>
      <c r="LG198" s="336"/>
      <c r="LH198" s="336"/>
      <c r="LI198" s="336"/>
      <c r="LJ198" s="336"/>
      <c r="LK198" s="336"/>
      <c r="LL198" s="336"/>
      <c r="LM198" s="336"/>
      <c r="LN198" s="336"/>
      <c r="LO198" s="336"/>
      <c r="LP198" s="336"/>
      <c r="LQ198" s="337"/>
      <c r="MN198" s="10"/>
      <c r="OA198" s="10"/>
    </row>
    <row r="199" spans="1:391" s="370" customFormat="1" x14ac:dyDescent="0.25">
      <c r="A199" s="68"/>
      <c r="B199" s="10"/>
      <c r="C199" s="68"/>
      <c r="D199" s="68"/>
      <c r="E199" s="68"/>
      <c r="F199" s="68"/>
      <c r="G199" s="68"/>
      <c r="H199" s="68"/>
      <c r="I199" s="68"/>
      <c r="J199" s="68"/>
      <c r="K199" s="68"/>
      <c r="L199" s="68"/>
      <c r="M199" s="68"/>
      <c r="N199" s="68"/>
      <c r="O199" s="68"/>
      <c r="P199" s="68"/>
      <c r="Q199" s="68"/>
      <c r="R199" s="68"/>
      <c r="S199" s="68"/>
      <c r="T199" s="70"/>
      <c r="AC199" s="68"/>
      <c r="AD199" s="70"/>
      <c r="AM199" s="68"/>
      <c r="AN199" s="70"/>
      <c r="AU199" s="68"/>
      <c r="AV199" s="70"/>
      <c r="BB199" s="68"/>
      <c r="BC199" s="70"/>
      <c r="BD199" s="68"/>
      <c r="BE199" s="68"/>
      <c r="BF199" s="68"/>
      <c r="BG199" s="68"/>
      <c r="BH199" s="68"/>
      <c r="BI199" s="68"/>
      <c r="BJ199" s="70"/>
      <c r="BM199" s="68"/>
      <c r="BN199" s="70"/>
      <c r="BT199" s="68"/>
      <c r="BU199" s="70"/>
      <c r="BZ199" s="10"/>
      <c r="CF199" s="10"/>
      <c r="CI199" s="389"/>
      <c r="CJ199" s="389"/>
      <c r="CK199" s="68"/>
      <c r="CL199" s="70"/>
      <c r="CO199" s="10"/>
      <c r="CU199" s="10"/>
      <c r="DA199" s="10"/>
      <c r="DB199" s="70"/>
      <c r="DC199" s="70"/>
      <c r="DF199" s="68"/>
      <c r="DG199" s="70"/>
      <c r="DH199" s="68"/>
      <c r="DI199" s="386"/>
      <c r="DJ199" s="425"/>
      <c r="DL199" s="68"/>
      <c r="DM199" s="70"/>
      <c r="DQ199" s="68"/>
      <c r="DR199" s="70"/>
      <c r="DS199" s="338"/>
      <c r="DT199" s="338"/>
      <c r="DU199" s="338"/>
      <c r="DW199" s="338"/>
      <c r="DX199" s="338"/>
      <c r="DY199" s="338"/>
      <c r="EA199" s="338"/>
      <c r="EB199" s="338"/>
      <c r="EC199" s="338"/>
      <c r="EE199" s="338"/>
      <c r="EF199" s="338"/>
      <c r="EG199" s="338"/>
      <c r="EI199" s="336"/>
      <c r="EJ199" s="336"/>
      <c r="EK199" s="336"/>
      <c r="EL199" s="336"/>
      <c r="EM199" s="336"/>
      <c r="EN199" s="336"/>
      <c r="EO199" s="337"/>
      <c r="EP199" s="342"/>
      <c r="EQ199" s="336"/>
      <c r="ER199" s="342"/>
      <c r="ES199" s="336"/>
      <c r="ET199" s="342"/>
      <c r="EU199" s="336"/>
      <c r="EV199" s="342"/>
      <c r="EW199" s="336"/>
      <c r="EX199" s="342"/>
      <c r="EY199" s="342"/>
      <c r="EZ199" s="342"/>
      <c r="FA199" s="337"/>
      <c r="FE199" s="338"/>
      <c r="FH199" s="338"/>
      <c r="FI199" s="338"/>
      <c r="FJ199" s="338"/>
      <c r="FK199" s="338"/>
      <c r="FL199" s="338"/>
      <c r="FM199" s="337"/>
      <c r="FN199" s="336"/>
      <c r="FO199" s="336"/>
      <c r="FP199" s="336"/>
      <c r="FQ199" s="336"/>
      <c r="FR199" s="336"/>
      <c r="FS199" s="336"/>
      <c r="FT199" s="336"/>
      <c r="FU199" s="336"/>
      <c r="FV199" s="336"/>
      <c r="FW199" s="337"/>
      <c r="FX199" s="532"/>
      <c r="FY199" s="341"/>
      <c r="FZ199" s="341"/>
      <c r="GA199" s="336"/>
      <c r="GB199" s="341"/>
      <c r="GC199" s="341"/>
      <c r="GD199" s="341"/>
      <c r="GE199" s="336"/>
      <c r="GF199" s="336"/>
      <c r="GG199" s="336"/>
      <c r="GH199" s="336"/>
      <c r="GI199" s="336"/>
      <c r="GJ199" s="337"/>
      <c r="GM199" s="338"/>
      <c r="GN199" s="338"/>
      <c r="GO199" s="338"/>
      <c r="GS199" s="338"/>
      <c r="GT199" s="338"/>
      <c r="GU199" s="338"/>
      <c r="GY199" s="338"/>
      <c r="GZ199" s="338"/>
      <c r="HA199" s="338"/>
      <c r="HE199" s="338"/>
      <c r="HF199" s="338"/>
      <c r="HG199" s="338"/>
      <c r="HN199" s="68"/>
      <c r="HO199" s="68"/>
      <c r="HP199" s="68"/>
      <c r="HQ199" s="336"/>
      <c r="HR199" s="68"/>
      <c r="HS199" s="68"/>
      <c r="HT199" s="10"/>
      <c r="HW199" s="338"/>
      <c r="HX199" s="338"/>
      <c r="HY199" s="338"/>
      <c r="IC199" s="338"/>
      <c r="ID199" s="338"/>
      <c r="IE199" s="338"/>
      <c r="II199" s="338"/>
      <c r="IJ199" s="338"/>
      <c r="IK199" s="338"/>
      <c r="IO199" s="338"/>
      <c r="IP199" s="338"/>
      <c r="IQ199" s="338"/>
      <c r="IX199" s="68"/>
      <c r="IY199" s="68"/>
      <c r="IZ199" s="68"/>
      <c r="JA199" s="68"/>
      <c r="JB199" s="68"/>
      <c r="JC199" s="68"/>
      <c r="JD199" s="10"/>
      <c r="JG199" s="338"/>
      <c r="JH199" s="338"/>
      <c r="JI199" s="338"/>
      <c r="JM199" s="338"/>
      <c r="JN199" s="338"/>
      <c r="JQ199" s="338"/>
      <c r="JR199" s="338"/>
      <c r="JS199" s="338"/>
      <c r="JW199" s="358"/>
      <c r="JX199" s="336"/>
      <c r="JY199" s="336"/>
      <c r="JZ199" s="336"/>
      <c r="KA199" s="336"/>
      <c r="KB199" s="336"/>
      <c r="KC199" s="336"/>
      <c r="KD199" s="336"/>
      <c r="KE199" s="336"/>
      <c r="KF199" s="336"/>
      <c r="KG199" s="337"/>
      <c r="KH199" s="338"/>
      <c r="KI199" s="338"/>
      <c r="KJ199" s="338"/>
      <c r="KK199" s="338"/>
      <c r="KL199" s="338"/>
      <c r="KM199" s="338"/>
      <c r="KN199" s="338"/>
      <c r="KO199" s="338"/>
      <c r="KP199" s="338"/>
      <c r="KQ199" s="338"/>
      <c r="KR199" s="338"/>
      <c r="KS199" s="338"/>
      <c r="KT199" s="338"/>
      <c r="KU199" s="338"/>
      <c r="KV199" s="338"/>
      <c r="KW199" s="337"/>
      <c r="KX199" s="336"/>
      <c r="KY199" s="336"/>
      <c r="KZ199" s="336"/>
      <c r="LA199" s="336"/>
      <c r="LB199" s="336"/>
      <c r="LC199" s="336"/>
      <c r="LD199" s="336"/>
      <c r="LE199" s="336"/>
      <c r="LF199" s="336"/>
      <c r="LG199" s="336"/>
      <c r="LH199" s="336"/>
      <c r="LI199" s="336"/>
      <c r="LJ199" s="336"/>
      <c r="LK199" s="336"/>
      <c r="LL199" s="336"/>
      <c r="LM199" s="336"/>
      <c r="LN199" s="336"/>
      <c r="LO199" s="336"/>
      <c r="LP199" s="336"/>
      <c r="LQ199" s="337"/>
      <c r="MN199" s="10"/>
      <c r="OA199" s="10"/>
    </row>
    <row r="200" spans="1:391" s="370" customFormat="1" x14ac:dyDescent="0.25">
      <c r="A200" s="68"/>
      <c r="B200" s="10"/>
      <c r="C200" s="68"/>
      <c r="D200" s="68"/>
      <c r="E200" s="68"/>
      <c r="F200" s="68"/>
      <c r="G200" s="68"/>
      <c r="H200" s="68"/>
      <c r="I200" s="68"/>
      <c r="J200" s="68"/>
      <c r="K200" s="68"/>
      <c r="L200" s="68"/>
      <c r="M200" s="68"/>
      <c r="N200" s="68"/>
      <c r="O200" s="68"/>
      <c r="P200" s="68"/>
      <c r="Q200" s="68"/>
      <c r="R200" s="68"/>
      <c r="S200" s="68"/>
      <c r="T200" s="70"/>
      <c r="AC200" s="68"/>
      <c r="AD200" s="70"/>
      <c r="AM200" s="68"/>
      <c r="AN200" s="70"/>
      <c r="AU200" s="68"/>
      <c r="AV200" s="70"/>
      <c r="BB200" s="68"/>
      <c r="BC200" s="70"/>
      <c r="BD200" s="68"/>
      <c r="BE200" s="68"/>
      <c r="BF200" s="68"/>
      <c r="BG200" s="68"/>
      <c r="BH200" s="68"/>
      <c r="BI200" s="68"/>
      <c r="BJ200" s="70"/>
      <c r="BM200" s="68"/>
      <c r="BN200" s="70"/>
      <c r="BT200" s="68"/>
      <c r="BU200" s="70"/>
      <c r="BZ200" s="10"/>
      <c r="CF200" s="10"/>
      <c r="CI200" s="389"/>
      <c r="CJ200" s="389"/>
      <c r="CK200" s="68"/>
      <c r="CL200" s="70"/>
      <c r="CO200" s="10"/>
      <c r="CU200" s="10"/>
      <c r="DA200" s="10"/>
      <c r="DB200" s="70"/>
      <c r="DC200" s="70"/>
      <c r="DF200" s="68"/>
      <c r="DG200" s="70"/>
      <c r="DH200" s="68"/>
      <c r="DI200" s="386"/>
      <c r="DJ200" s="425"/>
      <c r="DL200" s="68"/>
      <c r="DM200" s="70"/>
      <c r="DQ200" s="68"/>
      <c r="DR200" s="70"/>
      <c r="DS200" s="338"/>
      <c r="DT200" s="338"/>
      <c r="DU200" s="338"/>
      <c r="DW200" s="338"/>
      <c r="DX200" s="338"/>
      <c r="DY200" s="338"/>
      <c r="EA200" s="338"/>
      <c r="EB200" s="338"/>
      <c r="EC200" s="338"/>
      <c r="EE200" s="338"/>
      <c r="EF200" s="338"/>
      <c r="EG200" s="338"/>
      <c r="EI200" s="336"/>
      <c r="EJ200" s="336"/>
      <c r="EK200" s="336"/>
      <c r="EL200" s="336"/>
      <c r="EM200" s="336"/>
      <c r="EN200" s="336"/>
      <c r="EO200" s="337"/>
      <c r="EP200" s="342"/>
      <c r="EQ200" s="336"/>
      <c r="ER200" s="342"/>
      <c r="ES200" s="336"/>
      <c r="ET200" s="342"/>
      <c r="EU200" s="336"/>
      <c r="EV200" s="342"/>
      <c r="EW200" s="336"/>
      <c r="EX200" s="342"/>
      <c r="EY200" s="342"/>
      <c r="EZ200" s="342"/>
      <c r="FA200" s="337"/>
      <c r="FE200" s="338"/>
      <c r="FH200" s="338"/>
      <c r="FI200" s="338"/>
      <c r="FJ200" s="338"/>
      <c r="FK200" s="338"/>
      <c r="FL200" s="338"/>
      <c r="FM200" s="337"/>
      <c r="FN200" s="336"/>
      <c r="FO200" s="336"/>
      <c r="FP200" s="336"/>
      <c r="FQ200" s="336"/>
      <c r="FR200" s="336"/>
      <c r="FS200" s="336"/>
      <c r="FT200" s="336"/>
      <c r="FU200" s="336"/>
      <c r="FV200" s="336"/>
      <c r="FW200" s="337"/>
      <c r="FX200" s="532"/>
      <c r="FY200" s="341"/>
      <c r="FZ200" s="341"/>
      <c r="GA200" s="336"/>
      <c r="GB200" s="341"/>
      <c r="GC200" s="341"/>
      <c r="GD200" s="341"/>
      <c r="GE200" s="336"/>
      <c r="GF200" s="336"/>
      <c r="GG200" s="336"/>
      <c r="GH200" s="336"/>
      <c r="GI200" s="336"/>
      <c r="GJ200" s="337"/>
      <c r="GM200" s="338"/>
      <c r="GN200" s="338"/>
      <c r="GO200" s="338"/>
      <c r="GS200" s="338"/>
      <c r="GT200" s="338"/>
      <c r="GU200" s="338"/>
      <c r="GY200" s="338"/>
      <c r="GZ200" s="338"/>
      <c r="HA200" s="338"/>
      <c r="HE200" s="338"/>
      <c r="HF200" s="338"/>
      <c r="HG200" s="338"/>
      <c r="HN200" s="68"/>
      <c r="HO200" s="68"/>
      <c r="HP200" s="68"/>
      <c r="HQ200" s="336"/>
      <c r="HR200" s="68"/>
      <c r="HS200" s="68"/>
      <c r="HT200" s="10"/>
      <c r="HW200" s="338"/>
      <c r="HX200" s="338"/>
      <c r="HY200" s="338"/>
      <c r="IC200" s="338"/>
      <c r="ID200" s="338"/>
      <c r="IE200" s="338"/>
      <c r="II200" s="338"/>
      <c r="IJ200" s="338"/>
      <c r="IK200" s="338"/>
      <c r="IO200" s="338"/>
      <c r="IP200" s="338"/>
      <c r="IQ200" s="338"/>
      <c r="IX200" s="68"/>
      <c r="IY200" s="68"/>
      <c r="IZ200" s="68"/>
      <c r="JA200" s="68"/>
      <c r="JB200" s="68"/>
      <c r="JC200" s="68"/>
      <c r="JD200" s="10"/>
      <c r="JG200" s="338"/>
      <c r="JH200" s="338"/>
      <c r="JI200" s="338"/>
      <c r="JM200" s="338"/>
      <c r="JN200" s="338"/>
      <c r="JQ200" s="338"/>
      <c r="JR200" s="338"/>
      <c r="JS200" s="338"/>
      <c r="JW200" s="358"/>
      <c r="JX200" s="336"/>
      <c r="JY200" s="336"/>
      <c r="JZ200" s="336"/>
      <c r="KA200" s="336"/>
      <c r="KB200" s="336"/>
      <c r="KC200" s="336"/>
      <c r="KD200" s="336"/>
      <c r="KE200" s="336"/>
      <c r="KF200" s="336"/>
      <c r="KG200" s="337"/>
      <c r="KH200" s="338"/>
      <c r="KI200" s="338"/>
      <c r="KJ200" s="338"/>
      <c r="KK200" s="338"/>
      <c r="KL200" s="338"/>
      <c r="KM200" s="338"/>
      <c r="KN200" s="338"/>
      <c r="KO200" s="338"/>
      <c r="KP200" s="338"/>
      <c r="KQ200" s="338"/>
      <c r="KR200" s="338"/>
      <c r="KS200" s="338"/>
      <c r="KT200" s="338"/>
      <c r="KU200" s="338"/>
      <c r="KV200" s="338"/>
      <c r="KW200" s="337"/>
      <c r="KX200" s="336"/>
      <c r="KY200" s="336"/>
      <c r="KZ200" s="336"/>
      <c r="LA200" s="336"/>
      <c r="LB200" s="336"/>
      <c r="LC200" s="336"/>
      <c r="LD200" s="336"/>
      <c r="LE200" s="336"/>
      <c r="LF200" s="336"/>
      <c r="LG200" s="336"/>
      <c r="LH200" s="336"/>
      <c r="LI200" s="336"/>
      <c r="LJ200" s="336"/>
      <c r="LK200" s="336"/>
      <c r="LL200" s="336"/>
      <c r="LM200" s="336"/>
      <c r="LN200" s="336"/>
      <c r="LO200" s="336"/>
      <c r="LP200" s="336"/>
      <c r="LQ200" s="337"/>
      <c r="MN200" s="10"/>
      <c r="OA200" s="10"/>
    </row>
    <row r="201" spans="1:391" s="370" customFormat="1" x14ac:dyDescent="0.25">
      <c r="A201" s="68"/>
      <c r="B201" s="10"/>
      <c r="C201" s="68"/>
      <c r="D201" s="68"/>
      <c r="E201" s="68"/>
      <c r="F201" s="68"/>
      <c r="G201" s="68"/>
      <c r="H201" s="68"/>
      <c r="I201" s="68"/>
      <c r="J201" s="68"/>
      <c r="K201" s="68"/>
      <c r="L201" s="68"/>
      <c r="M201" s="68"/>
      <c r="N201" s="68"/>
      <c r="O201" s="68"/>
      <c r="P201" s="68"/>
      <c r="Q201" s="68"/>
      <c r="R201" s="68"/>
      <c r="S201" s="68"/>
      <c r="T201" s="70"/>
      <c r="AC201" s="68"/>
      <c r="AD201" s="70"/>
      <c r="AM201" s="68"/>
      <c r="AN201" s="70"/>
      <c r="AU201" s="68"/>
      <c r="AV201" s="70"/>
      <c r="BB201" s="68"/>
      <c r="BC201" s="70"/>
      <c r="BD201" s="68"/>
      <c r="BE201" s="68"/>
      <c r="BF201" s="68"/>
      <c r="BG201" s="68"/>
      <c r="BH201" s="68"/>
      <c r="BI201" s="68"/>
      <c r="BJ201" s="70"/>
      <c r="BM201" s="68"/>
      <c r="BN201" s="70"/>
      <c r="BT201" s="68"/>
      <c r="BU201" s="70"/>
      <c r="BZ201" s="10"/>
      <c r="CF201" s="10"/>
      <c r="CI201" s="389"/>
      <c r="CJ201" s="389"/>
      <c r="CK201" s="68"/>
      <c r="CL201" s="70"/>
      <c r="CO201" s="10"/>
      <c r="CU201" s="10"/>
      <c r="DA201" s="10"/>
      <c r="DB201" s="70"/>
      <c r="DC201" s="70"/>
      <c r="DF201" s="68"/>
      <c r="DG201" s="70"/>
      <c r="DH201" s="68"/>
      <c r="DI201" s="386"/>
      <c r="DJ201" s="425"/>
      <c r="DL201" s="68"/>
      <c r="DM201" s="70"/>
      <c r="DQ201" s="68"/>
      <c r="DR201" s="70"/>
      <c r="DS201" s="338"/>
      <c r="DT201" s="338"/>
      <c r="DU201" s="338"/>
      <c r="DW201" s="338"/>
      <c r="DX201" s="338"/>
      <c r="DY201" s="338"/>
      <c r="EA201" s="338"/>
      <c r="EB201" s="338"/>
      <c r="EC201" s="338"/>
      <c r="EE201" s="338"/>
      <c r="EF201" s="338"/>
      <c r="EG201" s="338"/>
      <c r="EI201" s="336"/>
      <c r="EJ201" s="336"/>
      <c r="EK201" s="336"/>
      <c r="EL201" s="336"/>
      <c r="EM201" s="336"/>
      <c r="EN201" s="336"/>
      <c r="EO201" s="337"/>
      <c r="EP201" s="342"/>
      <c r="EQ201" s="336"/>
      <c r="ER201" s="342"/>
      <c r="ES201" s="336"/>
      <c r="ET201" s="342"/>
      <c r="EU201" s="336"/>
      <c r="EV201" s="342"/>
      <c r="EW201" s="336"/>
      <c r="EX201" s="342"/>
      <c r="EY201" s="342"/>
      <c r="EZ201" s="342"/>
      <c r="FA201" s="337"/>
      <c r="FE201" s="338"/>
      <c r="FH201" s="338"/>
      <c r="FI201" s="338"/>
      <c r="FJ201" s="338"/>
      <c r="FK201" s="338"/>
      <c r="FL201" s="338"/>
      <c r="FM201" s="337"/>
      <c r="FN201" s="336"/>
      <c r="FO201" s="336"/>
      <c r="FP201" s="336"/>
      <c r="FQ201" s="336"/>
      <c r="FR201" s="336"/>
      <c r="FS201" s="336"/>
      <c r="FT201" s="336"/>
      <c r="FU201" s="336"/>
      <c r="FV201" s="336"/>
      <c r="FW201" s="337"/>
      <c r="FX201" s="532"/>
      <c r="FY201" s="341"/>
      <c r="FZ201" s="341"/>
      <c r="GA201" s="336"/>
      <c r="GB201" s="341"/>
      <c r="GC201" s="341"/>
      <c r="GD201" s="341"/>
      <c r="GE201" s="336"/>
      <c r="GF201" s="336"/>
      <c r="GG201" s="336"/>
      <c r="GH201" s="336"/>
      <c r="GI201" s="336"/>
      <c r="GJ201" s="337"/>
      <c r="GM201" s="338"/>
      <c r="GN201" s="338"/>
      <c r="GO201" s="338"/>
      <c r="GS201" s="338"/>
      <c r="GT201" s="338"/>
      <c r="GU201" s="338"/>
      <c r="GY201" s="338"/>
      <c r="GZ201" s="338"/>
      <c r="HA201" s="338"/>
      <c r="HE201" s="338"/>
      <c r="HF201" s="338"/>
      <c r="HG201" s="338"/>
      <c r="HN201" s="68"/>
      <c r="HO201" s="68"/>
      <c r="HP201" s="68"/>
      <c r="HQ201" s="336"/>
      <c r="HR201" s="68"/>
      <c r="HS201" s="68"/>
      <c r="HT201" s="10"/>
      <c r="HW201" s="338"/>
      <c r="HX201" s="338"/>
      <c r="HY201" s="338"/>
      <c r="IC201" s="338"/>
      <c r="ID201" s="338"/>
      <c r="IE201" s="338"/>
      <c r="II201" s="338"/>
      <c r="IJ201" s="338"/>
      <c r="IK201" s="338"/>
      <c r="IO201" s="338"/>
      <c r="IP201" s="338"/>
      <c r="IQ201" s="338"/>
      <c r="IX201" s="68"/>
      <c r="IY201" s="68"/>
      <c r="IZ201" s="68"/>
      <c r="JA201" s="68"/>
      <c r="JB201" s="68"/>
      <c r="JC201" s="68"/>
      <c r="JD201" s="10"/>
      <c r="JG201" s="338"/>
      <c r="JH201" s="338"/>
      <c r="JI201" s="338"/>
      <c r="JM201" s="338"/>
      <c r="JN201" s="338"/>
      <c r="JQ201" s="338"/>
      <c r="JR201" s="338"/>
      <c r="JS201" s="338"/>
      <c r="JW201" s="358"/>
      <c r="JX201" s="336"/>
      <c r="JY201" s="336"/>
      <c r="JZ201" s="336"/>
      <c r="KA201" s="336"/>
      <c r="KB201" s="336"/>
      <c r="KC201" s="336"/>
      <c r="KD201" s="336"/>
      <c r="KE201" s="336"/>
      <c r="KF201" s="336"/>
      <c r="KG201" s="337"/>
      <c r="KH201" s="338"/>
      <c r="KI201" s="338"/>
      <c r="KJ201" s="338"/>
      <c r="KK201" s="338"/>
      <c r="KL201" s="338"/>
      <c r="KM201" s="338"/>
      <c r="KN201" s="338"/>
      <c r="KO201" s="338"/>
      <c r="KP201" s="338"/>
      <c r="KQ201" s="338"/>
      <c r="KR201" s="338"/>
      <c r="KS201" s="338"/>
      <c r="KT201" s="338"/>
      <c r="KU201" s="338"/>
      <c r="KV201" s="338"/>
      <c r="KW201" s="337"/>
      <c r="KX201" s="336"/>
      <c r="KY201" s="336"/>
      <c r="KZ201" s="336"/>
      <c r="LA201" s="336"/>
      <c r="LB201" s="336"/>
      <c r="LC201" s="336"/>
      <c r="LD201" s="336"/>
      <c r="LE201" s="336"/>
      <c r="LF201" s="336"/>
      <c r="LG201" s="336"/>
      <c r="LH201" s="336"/>
      <c r="LI201" s="336"/>
      <c r="LJ201" s="336"/>
      <c r="LK201" s="336"/>
      <c r="LL201" s="336"/>
      <c r="LM201" s="336"/>
      <c r="LN201" s="336"/>
      <c r="LO201" s="336"/>
      <c r="LP201" s="336"/>
      <c r="LQ201" s="337"/>
      <c r="MN201" s="10"/>
      <c r="OA201" s="10"/>
    </row>
    <row r="202" spans="1:391" s="370" customFormat="1" x14ac:dyDescent="0.25">
      <c r="A202" s="68"/>
      <c r="B202" s="10"/>
      <c r="C202" s="68"/>
      <c r="D202" s="68"/>
      <c r="E202" s="68"/>
      <c r="F202" s="68"/>
      <c r="G202" s="68"/>
      <c r="H202" s="68"/>
      <c r="I202" s="68"/>
      <c r="J202" s="68"/>
      <c r="K202" s="68"/>
      <c r="L202" s="68"/>
      <c r="M202" s="68"/>
      <c r="N202" s="68"/>
      <c r="O202" s="68"/>
      <c r="P202" s="68"/>
      <c r="Q202" s="68"/>
      <c r="R202" s="68"/>
      <c r="S202" s="68"/>
      <c r="T202" s="70"/>
      <c r="AC202" s="68"/>
      <c r="AD202" s="70"/>
      <c r="AM202" s="68"/>
      <c r="AN202" s="70"/>
      <c r="AU202" s="68"/>
      <c r="AV202" s="70"/>
      <c r="BB202" s="68"/>
      <c r="BC202" s="70"/>
      <c r="BD202" s="68"/>
      <c r="BE202" s="68"/>
      <c r="BF202" s="68"/>
      <c r="BG202" s="68"/>
      <c r="BH202" s="68"/>
      <c r="BI202" s="68"/>
      <c r="BJ202" s="70"/>
      <c r="BM202" s="68"/>
      <c r="BN202" s="70"/>
      <c r="BT202" s="68"/>
      <c r="BU202" s="70"/>
      <c r="BZ202" s="10"/>
      <c r="CF202" s="10"/>
      <c r="CI202" s="389"/>
      <c r="CJ202" s="389"/>
      <c r="CK202" s="68"/>
      <c r="CL202" s="70"/>
      <c r="CO202" s="10"/>
      <c r="CU202" s="10"/>
      <c r="DA202" s="10"/>
      <c r="DB202" s="70"/>
      <c r="DC202" s="70"/>
      <c r="DF202" s="68"/>
      <c r="DG202" s="70"/>
      <c r="DH202" s="68"/>
      <c r="DI202" s="386"/>
      <c r="DJ202" s="425"/>
      <c r="DL202" s="68"/>
      <c r="DM202" s="70"/>
      <c r="DQ202" s="68"/>
      <c r="DR202" s="70"/>
      <c r="DS202" s="338"/>
      <c r="DT202" s="338"/>
      <c r="DU202" s="338"/>
      <c r="DW202" s="338"/>
      <c r="DX202" s="338"/>
      <c r="DY202" s="338"/>
      <c r="EA202" s="338"/>
      <c r="EB202" s="338"/>
      <c r="EC202" s="338"/>
      <c r="EE202" s="338"/>
      <c r="EF202" s="338"/>
      <c r="EG202" s="338"/>
      <c r="EI202" s="336"/>
      <c r="EJ202" s="336"/>
      <c r="EK202" s="336"/>
      <c r="EL202" s="336"/>
      <c r="EM202" s="336"/>
      <c r="EN202" s="336"/>
      <c r="EO202" s="337"/>
      <c r="EP202" s="342"/>
      <c r="EQ202" s="336"/>
      <c r="ER202" s="342"/>
      <c r="ES202" s="336"/>
      <c r="ET202" s="342"/>
      <c r="EU202" s="336"/>
      <c r="EV202" s="342"/>
      <c r="EW202" s="336"/>
      <c r="EX202" s="342"/>
      <c r="EY202" s="342"/>
      <c r="EZ202" s="342"/>
      <c r="FA202" s="337"/>
      <c r="FE202" s="338"/>
      <c r="FH202" s="338"/>
      <c r="FI202" s="338"/>
      <c r="FJ202" s="338"/>
      <c r="FK202" s="338"/>
      <c r="FL202" s="338"/>
      <c r="FM202" s="337"/>
      <c r="FN202" s="336"/>
      <c r="FO202" s="336"/>
      <c r="FP202" s="336"/>
      <c r="FQ202" s="336"/>
      <c r="FR202" s="336"/>
      <c r="FS202" s="336"/>
      <c r="FT202" s="336"/>
      <c r="FU202" s="336"/>
      <c r="FV202" s="336"/>
      <c r="FW202" s="337"/>
      <c r="FX202" s="532"/>
      <c r="FY202" s="341"/>
      <c r="FZ202" s="341"/>
      <c r="GA202" s="336"/>
      <c r="GB202" s="341"/>
      <c r="GC202" s="341"/>
      <c r="GD202" s="341"/>
      <c r="GE202" s="336"/>
      <c r="GF202" s="336"/>
      <c r="GG202" s="336"/>
      <c r="GH202" s="336"/>
      <c r="GI202" s="336"/>
      <c r="GJ202" s="337"/>
      <c r="GM202" s="338"/>
      <c r="GN202" s="338"/>
      <c r="GO202" s="338"/>
      <c r="GS202" s="338"/>
      <c r="GT202" s="338"/>
      <c r="GU202" s="338"/>
      <c r="GY202" s="338"/>
      <c r="GZ202" s="338"/>
      <c r="HA202" s="338"/>
      <c r="HE202" s="338"/>
      <c r="HF202" s="338"/>
      <c r="HG202" s="338"/>
      <c r="HN202" s="68"/>
      <c r="HO202" s="68"/>
      <c r="HP202" s="68"/>
      <c r="HQ202" s="336"/>
      <c r="HR202" s="68"/>
      <c r="HS202" s="68"/>
      <c r="HT202" s="10"/>
      <c r="HW202" s="338"/>
      <c r="HX202" s="338"/>
      <c r="HY202" s="338"/>
      <c r="IC202" s="338"/>
      <c r="ID202" s="338"/>
      <c r="IE202" s="338"/>
      <c r="II202" s="338"/>
      <c r="IJ202" s="338"/>
      <c r="IK202" s="338"/>
      <c r="IO202" s="338"/>
      <c r="IP202" s="338"/>
      <c r="IQ202" s="338"/>
      <c r="IX202" s="68"/>
      <c r="IY202" s="68"/>
      <c r="IZ202" s="68"/>
      <c r="JA202" s="68"/>
      <c r="JB202" s="68"/>
      <c r="JC202" s="68"/>
      <c r="JD202" s="10"/>
      <c r="JG202" s="338"/>
      <c r="JH202" s="338"/>
      <c r="JI202" s="338"/>
      <c r="JM202" s="338"/>
      <c r="JN202" s="338"/>
      <c r="JQ202" s="338"/>
      <c r="JR202" s="338"/>
      <c r="JS202" s="338"/>
      <c r="JW202" s="358"/>
      <c r="JX202" s="336"/>
      <c r="JY202" s="336"/>
      <c r="JZ202" s="336"/>
      <c r="KA202" s="336"/>
      <c r="KB202" s="336"/>
      <c r="KC202" s="336"/>
      <c r="KD202" s="336"/>
      <c r="KE202" s="336"/>
      <c r="KF202" s="336"/>
      <c r="KG202" s="337"/>
      <c r="KH202" s="338"/>
      <c r="KI202" s="338"/>
      <c r="KJ202" s="338"/>
      <c r="KK202" s="338"/>
      <c r="KL202" s="338"/>
      <c r="KM202" s="338"/>
      <c r="KN202" s="338"/>
      <c r="KO202" s="338"/>
      <c r="KP202" s="338"/>
      <c r="KQ202" s="338"/>
      <c r="KR202" s="338"/>
      <c r="KS202" s="338"/>
      <c r="KT202" s="338"/>
      <c r="KU202" s="338"/>
      <c r="KV202" s="338"/>
      <c r="KW202" s="337"/>
      <c r="KX202" s="336"/>
      <c r="KY202" s="336"/>
      <c r="KZ202" s="336"/>
      <c r="LA202" s="336"/>
      <c r="LB202" s="336"/>
      <c r="LC202" s="336"/>
      <c r="LD202" s="336"/>
      <c r="LE202" s="336"/>
      <c r="LF202" s="336"/>
      <c r="LG202" s="336"/>
      <c r="LH202" s="336"/>
      <c r="LI202" s="336"/>
      <c r="LJ202" s="336"/>
      <c r="LK202" s="336"/>
      <c r="LL202" s="336"/>
      <c r="LM202" s="336"/>
      <c r="LN202" s="336"/>
      <c r="LO202" s="336"/>
      <c r="LP202" s="336"/>
      <c r="LQ202" s="337"/>
      <c r="MN202" s="10"/>
      <c r="OA202" s="10"/>
    </row>
    <row r="203" spans="1:391" s="370" customFormat="1" x14ac:dyDescent="0.25">
      <c r="A203" s="68"/>
      <c r="B203" s="10"/>
      <c r="C203" s="68"/>
      <c r="D203" s="68"/>
      <c r="E203" s="68"/>
      <c r="F203" s="68"/>
      <c r="G203" s="68"/>
      <c r="H203" s="68"/>
      <c r="I203" s="68"/>
      <c r="J203" s="68"/>
      <c r="K203" s="68"/>
      <c r="L203" s="68"/>
      <c r="M203" s="68"/>
      <c r="N203" s="68"/>
      <c r="O203" s="68"/>
      <c r="P203" s="68"/>
      <c r="Q203" s="68"/>
      <c r="R203" s="68"/>
      <c r="S203" s="68"/>
      <c r="T203" s="70"/>
      <c r="AC203" s="68"/>
      <c r="AD203" s="70"/>
      <c r="AM203" s="68"/>
      <c r="AN203" s="70"/>
      <c r="AU203" s="68"/>
      <c r="AV203" s="70"/>
      <c r="BB203" s="68"/>
      <c r="BC203" s="70"/>
      <c r="BD203" s="68"/>
      <c r="BE203" s="68"/>
      <c r="BF203" s="68"/>
      <c r="BG203" s="68"/>
      <c r="BH203" s="68"/>
      <c r="BI203" s="68"/>
      <c r="BJ203" s="70"/>
      <c r="BM203" s="68"/>
      <c r="BN203" s="70"/>
      <c r="BT203" s="68"/>
      <c r="BU203" s="70"/>
      <c r="BZ203" s="10"/>
      <c r="CF203" s="10"/>
      <c r="CI203" s="389"/>
      <c r="CJ203" s="389"/>
      <c r="CK203" s="68"/>
      <c r="CL203" s="70"/>
      <c r="CO203" s="10"/>
      <c r="CU203" s="10"/>
      <c r="DA203" s="10"/>
      <c r="DB203" s="70"/>
      <c r="DC203" s="70"/>
      <c r="DF203" s="68"/>
      <c r="DG203" s="70"/>
      <c r="DH203" s="68"/>
      <c r="DI203" s="386"/>
      <c r="DJ203" s="425"/>
      <c r="DL203" s="68"/>
      <c r="DM203" s="70"/>
      <c r="DQ203" s="68"/>
      <c r="DR203" s="70"/>
      <c r="DS203" s="338"/>
      <c r="DT203" s="338"/>
      <c r="DU203" s="338"/>
      <c r="DW203" s="338"/>
      <c r="DX203" s="338"/>
      <c r="DY203" s="338"/>
      <c r="EA203" s="338"/>
      <c r="EB203" s="338"/>
      <c r="EC203" s="338"/>
      <c r="EE203" s="338"/>
      <c r="EF203" s="338"/>
      <c r="EG203" s="338"/>
      <c r="EI203" s="336"/>
      <c r="EJ203" s="336"/>
      <c r="EK203" s="336"/>
      <c r="EL203" s="336"/>
      <c r="EM203" s="336"/>
      <c r="EN203" s="336"/>
      <c r="EO203" s="337"/>
      <c r="EP203" s="342"/>
      <c r="EQ203" s="336"/>
      <c r="ER203" s="342"/>
      <c r="ES203" s="336"/>
      <c r="ET203" s="342"/>
      <c r="EU203" s="336"/>
      <c r="EV203" s="342"/>
      <c r="EW203" s="336"/>
      <c r="EX203" s="342"/>
      <c r="EY203" s="342"/>
      <c r="EZ203" s="342"/>
      <c r="FA203" s="337"/>
      <c r="FE203" s="338"/>
      <c r="FH203" s="338"/>
      <c r="FI203" s="338"/>
      <c r="FJ203" s="338"/>
      <c r="FK203" s="338"/>
      <c r="FL203" s="338"/>
      <c r="FM203" s="337"/>
      <c r="FN203" s="336"/>
      <c r="FO203" s="336"/>
      <c r="FP203" s="336"/>
      <c r="FQ203" s="336"/>
      <c r="FR203" s="336"/>
      <c r="FS203" s="336"/>
      <c r="FT203" s="336"/>
      <c r="FU203" s="336"/>
      <c r="FV203" s="336"/>
      <c r="FW203" s="337"/>
      <c r="FX203" s="532"/>
      <c r="FY203" s="341"/>
      <c r="FZ203" s="341"/>
      <c r="GA203" s="336"/>
      <c r="GB203" s="341"/>
      <c r="GC203" s="341"/>
      <c r="GD203" s="341"/>
      <c r="GE203" s="336"/>
      <c r="GF203" s="336"/>
      <c r="GG203" s="336"/>
      <c r="GH203" s="336"/>
      <c r="GI203" s="336"/>
      <c r="GJ203" s="337"/>
      <c r="GM203" s="338"/>
      <c r="GN203" s="338"/>
      <c r="GO203" s="338"/>
      <c r="GS203" s="338"/>
      <c r="GT203" s="338"/>
      <c r="GU203" s="338"/>
      <c r="GY203" s="338"/>
      <c r="GZ203" s="338"/>
      <c r="HA203" s="338"/>
      <c r="HE203" s="338"/>
      <c r="HF203" s="338"/>
      <c r="HG203" s="338"/>
      <c r="HN203" s="68"/>
      <c r="HO203" s="68"/>
      <c r="HP203" s="68"/>
      <c r="HQ203" s="336"/>
      <c r="HR203" s="68"/>
      <c r="HS203" s="68"/>
      <c r="HT203" s="10"/>
      <c r="HW203" s="338"/>
      <c r="HX203" s="338"/>
      <c r="HY203" s="338"/>
      <c r="IC203" s="338"/>
      <c r="ID203" s="338"/>
      <c r="IE203" s="338"/>
      <c r="II203" s="338"/>
      <c r="IJ203" s="338"/>
      <c r="IK203" s="338"/>
      <c r="IO203" s="338"/>
      <c r="IP203" s="338"/>
      <c r="IQ203" s="338"/>
      <c r="IX203" s="68"/>
      <c r="IY203" s="68"/>
      <c r="IZ203" s="68"/>
      <c r="JA203" s="68"/>
      <c r="JB203" s="68"/>
      <c r="JC203" s="68"/>
      <c r="JD203" s="10"/>
      <c r="JG203" s="338"/>
      <c r="JH203" s="338"/>
      <c r="JI203" s="338"/>
      <c r="JM203" s="338"/>
      <c r="JN203" s="338"/>
      <c r="JQ203" s="338"/>
      <c r="JR203" s="338"/>
      <c r="JS203" s="338"/>
      <c r="JW203" s="358"/>
      <c r="JX203" s="336"/>
      <c r="JY203" s="336"/>
      <c r="JZ203" s="336"/>
      <c r="KA203" s="336"/>
      <c r="KB203" s="336"/>
      <c r="KC203" s="336"/>
      <c r="KD203" s="336"/>
      <c r="KE203" s="336"/>
      <c r="KF203" s="336"/>
      <c r="KG203" s="337"/>
      <c r="KH203" s="338"/>
      <c r="KI203" s="338"/>
      <c r="KJ203" s="338"/>
      <c r="KK203" s="338"/>
      <c r="KL203" s="338"/>
      <c r="KM203" s="338"/>
      <c r="KN203" s="338"/>
      <c r="KO203" s="338"/>
      <c r="KP203" s="338"/>
      <c r="KQ203" s="338"/>
      <c r="KR203" s="338"/>
      <c r="KS203" s="338"/>
      <c r="KT203" s="338"/>
      <c r="KU203" s="338"/>
      <c r="KV203" s="338"/>
      <c r="KW203" s="337"/>
      <c r="KX203" s="336"/>
      <c r="KY203" s="336"/>
      <c r="KZ203" s="336"/>
      <c r="LA203" s="336"/>
      <c r="LB203" s="336"/>
      <c r="LC203" s="336"/>
      <c r="LD203" s="336"/>
      <c r="LE203" s="336"/>
      <c r="LF203" s="336"/>
      <c r="LG203" s="336"/>
      <c r="LH203" s="336"/>
      <c r="LI203" s="336"/>
      <c r="LJ203" s="336"/>
      <c r="LK203" s="336"/>
      <c r="LL203" s="336"/>
      <c r="LM203" s="336"/>
      <c r="LN203" s="336"/>
      <c r="LO203" s="336"/>
      <c r="LP203" s="336"/>
      <c r="LQ203" s="337"/>
      <c r="MN203" s="10"/>
      <c r="OA203" s="10"/>
    </row>
    <row r="204" spans="1:391" s="370" customFormat="1" x14ac:dyDescent="0.25">
      <c r="A204" s="68"/>
      <c r="B204" s="10"/>
      <c r="C204" s="68"/>
      <c r="D204" s="68"/>
      <c r="E204" s="68"/>
      <c r="F204" s="68"/>
      <c r="G204" s="68"/>
      <c r="H204" s="68"/>
      <c r="I204" s="68"/>
      <c r="J204" s="68"/>
      <c r="K204" s="68"/>
      <c r="L204" s="68"/>
      <c r="M204" s="68"/>
      <c r="N204" s="68"/>
      <c r="O204" s="68"/>
      <c r="P204" s="68"/>
      <c r="Q204" s="68"/>
      <c r="R204" s="68"/>
      <c r="S204" s="68"/>
      <c r="T204" s="70"/>
      <c r="AC204" s="68"/>
      <c r="AD204" s="70"/>
      <c r="AM204" s="68"/>
      <c r="AN204" s="70"/>
      <c r="AU204" s="68"/>
      <c r="AV204" s="70"/>
      <c r="BB204" s="68"/>
      <c r="BC204" s="70"/>
      <c r="BD204" s="68"/>
      <c r="BE204" s="68"/>
      <c r="BF204" s="68"/>
      <c r="BG204" s="68"/>
      <c r="BH204" s="68"/>
      <c r="BI204" s="68"/>
      <c r="BJ204" s="70"/>
      <c r="BM204" s="68"/>
      <c r="BN204" s="70"/>
      <c r="BT204" s="68"/>
      <c r="BU204" s="70"/>
      <c r="BZ204" s="10"/>
      <c r="CF204" s="10"/>
      <c r="CI204" s="389"/>
      <c r="CJ204" s="389"/>
      <c r="CK204" s="68"/>
      <c r="CL204" s="70"/>
      <c r="CO204" s="10"/>
      <c r="CU204" s="10"/>
      <c r="DA204" s="10"/>
      <c r="DB204" s="70"/>
      <c r="DC204" s="70"/>
      <c r="DF204" s="68"/>
      <c r="DG204" s="70"/>
      <c r="DH204" s="68"/>
      <c r="DI204" s="386"/>
      <c r="DJ204" s="425"/>
      <c r="DL204" s="68"/>
      <c r="DM204" s="70"/>
      <c r="DQ204" s="68"/>
      <c r="DR204" s="70"/>
      <c r="DS204" s="338"/>
      <c r="DT204" s="338"/>
      <c r="DU204" s="338"/>
      <c r="DW204" s="338"/>
      <c r="DX204" s="338"/>
      <c r="DY204" s="338"/>
      <c r="EA204" s="338"/>
      <c r="EB204" s="338"/>
      <c r="EC204" s="338"/>
      <c r="EE204" s="338"/>
      <c r="EF204" s="338"/>
      <c r="EG204" s="338"/>
      <c r="EI204" s="336"/>
      <c r="EJ204" s="336"/>
      <c r="EK204" s="336"/>
      <c r="EL204" s="336"/>
      <c r="EM204" s="336"/>
      <c r="EN204" s="336"/>
      <c r="EO204" s="337"/>
      <c r="EP204" s="342"/>
      <c r="EQ204" s="336"/>
      <c r="ER204" s="342"/>
      <c r="ES204" s="336"/>
      <c r="ET204" s="342"/>
      <c r="EU204" s="336"/>
      <c r="EV204" s="342"/>
      <c r="EW204" s="336"/>
      <c r="EX204" s="342"/>
      <c r="EY204" s="342"/>
      <c r="EZ204" s="342"/>
      <c r="FA204" s="337"/>
      <c r="FE204" s="338"/>
      <c r="FH204" s="338"/>
      <c r="FI204" s="338"/>
      <c r="FJ204" s="338"/>
      <c r="FK204" s="338"/>
      <c r="FL204" s="338"/>
      <c r="FM204" s="337"/>
      <c r="FN204" s="336"/>
      <c r="FO204" s="336"/>
      <c r="FP204" s="336"/>
      <c r="FQ204" s="336"/>
      <c r="FR204" s="336"/>
      <c r="FS204" s="336"/>
      <c r="FT204" s="336"/>
      <c r="FU204" s="336"/>
      <c r="FV204" s="336"/>
      <c r="FW204" s="337"/>
      <c r="FX204" s="532"/>
      <c r="FY204" s="341"/>
      <c r="FZ204" s="341"/>
      <c r="GA204" s="336"/>
      <c r="GB204" s="341"/>
      <c r="GC204" s="341"/>
      <c r="GD204" s="341"/>
      <c r="GE204" s="336"/>
      <c r="GF204" s="336"/>
      <c r="GG204" s="336"/>
      <c r="GH204" s="336"/>
      <c r="GI204" s="336"/>
      <c r="GJ204" s="337"/>
      <c r="GM204" s="338"/>
      <c r="GN204" s="338"/>
      <c r="GO204" s="338"/>
      <c r="GS204" s="338"/>
      <c r="GT204" s="338"/>
      <c r="GU204" s="338"/>
      <c r="GY204" s="338"/>
      <c r="GZ204" s="338"/>
      <c r="HA204" s="338"/>
      <c r="HE204" s="338"/>
      <c r="HF204" s="338"/>
      <c r="HG204" s="338"/>
      <c r="HN204" s="68"/>
      <c r="HO204" s="68"/>
      <c r="HP204" s="68"/>
      <c r="HQ204" s="336"/>
      <c r="HR204" s="68"/>
      <c r="HS204" s="68"/>
      <c r="HT204" s="10"/>
      <c r="HW204" s="338"/>
      <c r="HX204" s="338"/>
      <c r="HY204" s="338"/>
      <c r="IC204" s="338"/>
      <c r="ID204" s="338"/>
      <c r="IE204" s="338"/>
      <c r="II204" s="338"/>
      <c r="IJ204" s="338"/>
      <c r="IK204" s="338"/>
      <c r="IO204" s="338"/>
      <c r="IP204" s="338"/>
      <c r="IQ204" s="338"/>
      <c r="IX204" s="68"/>
      <c r="IY204" s="68"/>
      <c r="IZ204" s="68"/>
      <c r="JA204" s="68"/>
      <c r="JB204" s="68"/>
      <c r="JC204" s="68"/>
      <c r="JD204" s="10"/>
      <c r="JG204" s="338"/>
      <c r="JH204" s="338"/>
      <c r="JI204" s="338"/>
      <c r="JM204" s="338"/>
      <c r="JN204" s="338"/>
      <c r="JQ204" s="338"/>
      <c r="JR204" s="338"/>
      <c r="JS204" s="338"/>
      <c r="JW204" s="358"/>
      <c r="JX204" s="336"/>
      <c r="JY204" s="336"/>
      <c r="JZ204" s="336"/>
      <c r="KA204" s="336"/>
      <c r="KB204" s="336"/>
      <c r="KC204" s="336"/>
      <c r="KD204" s="336"/>
      <c r="KE204" s="336"/>
      <c r="KF204" s="336"/>
      <c r="KG204" s="337"/>
      <c r="KH204" s="338"/>
      <c r="KI204" s="338"/>
      <c r="KJ204" s="338"/>
      <c r="KK204" s="338"/>
      <c r="KL204" s="338"/>
      <c r="KM204" s="338"/>
      <c r="KN204" s="338"/>
      <c r="KO204" s="338"/>
      <c r="KP204" s="338"/>
      <c r="KQ204" s="338"/>
      <c r="KR204" s="338"/>
      <c r="KS204" s="338"/>
      <c r="KT204" s="338"/>
      <c r="KU204" s="338"/>
      <c r="KV204" s="338"/>
      <c r="KW204" s="337"/>
      <c r="KX204" s="336"/>
      <c r="KY204" s="336"/>
      <c r="KZ204" s="336"/>
      <c r="LA204" s="336"/>
      <c r="LB204" s="336"/>
      <c r="LC204" s="336"/>
      <c r="LD204" s="336"/>
      <c r="LE204" s="336"/>
      <c r="LF204" s="336"/>
      <c r="LG204" s="336"/>
      <c r="LH204" s="336"/>
      <c r="LI204" s="336"/>
      <c r="LJ204" s="336"/>
      <c r="LK204" s="336"/>
      <c r="LL204" s="336"/>
      <c r="LM204" s="336"/>
      <c r="LN204" s="336"/>
      <c r="LO204" s="336"/>
      <c r="LP204" s="336"/>
      <c r="LQ204" s="337"/>
      <c r="MN204" s="10"/>
      <c r="OA204" s="10"/>
    </row>
    <row r="205" spans="1:391" s="370" customFormat="1" x14ac:dyDescent="0.25">
      <c r="A205" s="68"/>
      <c r="B205" s="10"/>
      <c r="C205" s="68"/>
      <c r="D205" s="68"/>
      <c r="E205" s="68"/>
      <c r="F205" s="68"/>
      <c r="G205" s="68"/>
      <c r="H205" s="68"/>
      <c r="I205" s="68"/>
      <c r="J205" s="68"/>
      <c r="K205" s="68"/>
      <c r="L205" s="68"/>
      <c r="M205" s="68"/>
      <c r="N205" s="68"/>
      <c r="O205" s="68"/>
      <c r="P205" s="68"/>
      <c r="Q205" s="68"/>
      <c r="R205" s="68"/>
      <c r="S205" s="68"/>
      <c r="T205" s="70"/>
      <c r="AC205" s="68"/>
      <c r="AD205" s="70"/>
      <c r="AM205" s="68"/>
      <c r="AN205" s="70"/>
      <c r="AU205" s="68"/>
      <c r="AV205" s="70"/>
      <c r="BB205" s="68"/>
      <c r="BC205" s="70"/>
      <c r="BD205" s="68"/>
      <c r="BE205" s="68"/>
      <c r="BF205" s="68"/>
      <c r="BG205" s="68"/>
      <c r="BH205" s="68"/>
      <c r="BI205" s="68"/>
      <c r="BJ205" s="70"/>
      <c r="BM205" s="68"/>
      <c r="BN205" s="70"/>
      <c r="BT205" s="68"/>
      <c r="BU205" s="70"/>
      <c r="BZ205" s="10"/>
      <c r="CF205" s="10"/>
      <c r="CI205" s="389"/>
      <c r="CJ205" s="389"/>
      <c r="CK205" s="68"/>
      <c r="CL205" s="70"/>
      <c r="CO205" s="10"/>
      <c r="CU205" s="10"/>
      <c r="DA205" s="10"/>
      <c r="DB205" s="70"/>
      <c r="DC205" s="70"/>
      <c r="DF205" s="68"/>
      <c r="DG205" s="70"/>
      <c r="DH205" s="68"/>
      <c r="DI205" s="386"/>
      <c r="DJ205" s="425"/>
      <c r="DL205" s="68"/>
      <c r="DM205" s="70"/>
      <c r="DQ205" s="68"/>
      <c r="DR205" s="70"/>
      <c r="DS205" s="338"/>
      <c r="DT205" s="338"/>
      <c r="DU205" s="338"/>
      <c r="DW205" s="338"/>
      <c r="DX205" s="338"/>
      <c r="DY205" s="338"/>
      <c r="EA205" s="338"/>
      <c r="EB205" s="338"/>
      <c r="EC205" s="338"/>
      <c r="EE205" s="338"/>
      <c r="EF205" s="338"/>
      <c r="EG205" s="338"/>
      <c r="EI205" s="336"/>
      <c r="EJ205" s="336"/>
      <c r="EK205" s="336"/>
      <c r="EL205" s="336"/>
      <c r="EM205" s="336"/>
      <c r="EN205" s="336"/>
      <c r="EO205" s="337"/>
      <c r="EP205" s="342"/>
      <c r="EQ205" s="336"/>
      <c r="ER205" s="342"/>
      <c r="ES205" s="336"/>
      <c r="ET205" s="342"/>
      <c r="EU205" s="336"/>
      <c r="EV205" s="342"/>
      <c r="EW205" s="336"/>
      <c r="EX205" s="342"/>
      <c r="EY205" s="342"/>
      <c r="EZ205" s="342"/>
      <c r="FA205" s="337"/>
      <c r="FE205" s="338"/>
      <c r="FH205" s="338"/>
      <c r="FI205" s="338"/>
      <c r="FJ205" s="338"/>
      <c r="FK205" s="338"/>
      <c r="FL205" s="338"/>
      <c r="FM205" s="337"/>
      <c r="FN205" s="336"/>
      <c r="FO205" s="336"/>
      <c r="FP205" s="336"/>
      <c r="FQ205" s="336"/>
      <c r="FR205" s="336"/>
      <c r="FS205" s="336"/>
      <c r="FT205" s="336"/>
      <c r="FU205" s="336"/>
      <c r="FV205" s="336"/>
      <c r="FW205" s="337"/>
      <c r="FX205" s="532"/>
      <c r="FY205" s="341"/>
      <c r="FZ205" s="341"/>
      <c r="GA205" s="336"/>
      <c r="GB205" s="341"/>
      <c r="GC205" s="341"/>
      <c r="GD205" s="341"/>
      <c r="GE205" s="336"/>
      <c r="GF205" s="336"/>
      <c r="GG205" s="336"/>
      <c r="GH205" s="336"/>
      <c r="GI205" s="336"/>
      <c r="GJ205" s="337"/>
      <c r="GM205" s="338"/>
      <c r="GN205" s="338"/>
      <c r="GO205" s="338"/>
      <c r="GS205" s="338"/>
      <c r="GT205" s="338"/>
      <c r="GU205" s="338"/>
      <c r="GY205" s="338"/>
      <c r="GZ205" s="338"/>
      <c r="HA205" s="338"/>
      <c r="HE205" s="338"/>
      <c r="HF205" s="338"/>
      <c r="HG205" s="338"/>
      <c r="HN205" s="68"/>
      <c r="HO205" s="68"/>
      <c r="HP205" s="68"/>
      <c r="HQ205" s="336"/>
      <c r="HR205" s="68"/>
      <c r="HS205" s="68"/>
      <c r="HT205" s="10"/>
      <c r="HW205" s="338"/>
      <c r="HX205" s="338"/>
      <c r="HY205" s="338"/>
      <c r="IC205" s="338"/>
      <c r="ID205" s="338"/>
      <c r="IE205" s="338"/>
      <c r="II205" s="338"/>
      <c r="IJ205" s="338"/>
      <c r="IK205" s="338"/>
      <c r="IO205" s="338"/>
      <c r="IP205" s="338"/>
      <c r="IQ205" s="338"/>
      <c r="IX205" s="68"/>
      <c r="IY205" s="68"/>
      <c r="IZ205" s="68"/>
      <c r="JA205" s="68"/>
      <c r="JB205" s="68"/>
      <c r="JC205" s="68"/>
      <c r="JD205" s="10"/>
      <c r="JG205" s="338"/>
      <c r="JH205" s="338"/>
      <c r="JI205" s="338"/>
      <c r="JM205" s="338"/>
      <c r="JN205" s="338"/>
      <c r="JQ205" s="338"/>
      <c r="JR205" s="338"/>
      <c r="JS205" s="338"/>
      <c r="JW205" s="358"/>
      <c r="JX205" s="336"/>
      <c r="JY205" s="336"/>
      <c r="JZ205" s="336"/>
      <c r="KA205" s="336"/>
      <c r="KB205" s="336"/>
      <c r="KC205" s="336"/>
      <c r="KD205" s="336"/>
      <c r="KE205" s="336"/>
      <c r="KF205" s="336"/>
      <c r="KG205" s="337"/>
      <c r="KH205" s="338"/>
      <c r="KI205" s="338"/>
      <c r="KJ205" s="338"/>
      <c r="KK205" s="338"/>
      <c r="KL205" s="338"/>
      <c r="KM205" s="338"/>
      <c r="KN205" s="338"/>
      <c r="KO205" s="338"/>
      <c r="KP205" s="338"/>
      <c r="KQ205" s="338"/>
      <c r="KR205" s="338"/>
      <c r="KS205" s="338"/>
      <c r="KT205" s="338"/>
      <c r="KU205" s="338"/>
      <c r="KV205" s="338"/>
      <c r="KW205" s="337"/>
      <c r="KX205" s="336"/>
      <c r="KY205" s="336"/>
      <c r="KZ205" s="336"/>
      <c r="LA205" s="336"/>
      <c r="LB205" s="336"/>
      <c r="LC205" s="336"/>
      <c r="LD205" s="336"/>
      <c r="LE205" s="336"/>
      <c r="LF205" s="336"/>
      <c r="LG205" s="336"/>
      <c r="LH205" s="336"/>
      <c r="LI205" s="336"/>
      <c r="LJ205" s="336"/>
      <c r="LK205" s="336"/>
      <c r="LL205" s="336"/>
      <c r="LM205" s="336"/>
      <c r="LN205" s="336"/>
      <c r="LO205" s="336"/>
      <c r="LP205" s="336"/>
      <c r="LQ205" s="337"/>
      <c r="MN205" s="10"/>
      <c r="OA205" s="10"/>
    </row>
    <row r="206" spans="1:391" s="370" customFormat="1" x14ac:dyDescent="0.25">
      <c r="A206" s="68"/>
      <c r="B206" s="10"/>
      <c r="C206" s="68"/>
      <c r="D206" s="68"/>
      <c r="E206" s="68"/>
      <c r="F206" s="68"/>
      <c r="G206" s="68"/>
      <c r="H206" s="68"/>
      <c r="I206" s="68"/>
      <c r="J206" s="68"/>
      <c r="K206" s="68"/>
      <c r="L206" s="68"/>
      <c r="M206" s="68"/>
      <c r="N206" s="68"/>
      <c r="O206" s="68"/>
      <c r="P206" s="68"/>
      <c r="Q206" s="68"/>
      <c r="R206" s="68"/>
      <c r="S206" s="68"/>
      <c r="T206" s="70"/>
      <c r="AC206" s="68"/>
      <c r="AD206" s="70"/>
      <c r="AM206" s="68"/>
      <c r="AN206" s="70"/>
      <c r="AU206" s="68"/>
      <c r="AV206" s="70"/>
      <c r="BB206" s="68"/>
      <c r="BC206" s="70"/>
      <c r="BD206" s="68"/>
      <c r="BE206" s="68"/>
      <c r="BF206" s="68"/>
      <c r="BG206" s="68"/>
      <c r="BH206" s="68"/>
      <c r="BI206" s="68"/>
      <c r="BJ206" s="70"/>
      <c r="BM206" s="68"/>
      <c r="BN206" s="70"/>
      <c r="BT206" s="68"/>
      <c r="BU206" s="70"/>
      <c r="BZ206" s="10"/>
      <c r="CF206" s="10"/>
      <c r="CI206" s="389"/>
      <c r="CJ206" s="389"/>
      <c r="CK206" s="68"/>
      <c r="CL206" s="70"/>
      <c r="CO206" s="10"/>
      <c r="CU206" s="10"/>
      <c r="DA206" s="10"/>
      <c r="DB206" s="70"/>
      <c r="DC206" s="70"/>
      <c r="DF206" s="68"/>
      <c r="DG206" s="70"/>
      <c r="DH206" s="68"/>
      <c r="DI206" s="386"/>
      <c r="DJ206" s="425"/>
      <c r="DL206" s="68"/>
      <c r="DM206" s="70"/>
      <c r="DQ206" s="68"/>
      <c r="DR206" s="70"/>
      <c r="DS206" s="338"/>
      <c r="DT206" s="338"/>
      <c r="DU206" s="338"/>
      <c r="DW206" s="338"/>
      <c r="DX206" s="338"/>
      <c r="DY206" s="338"/>
      <c r="EA206" s="338"/>
      <c r="EB206" s="338"/>
      <c r="EC206" s="338"/>
      <c r="EE206" s="338"/>
      <c r="EF206" s="338"/>
      <c r="EG206" s="338"/>
      <c r="EI206" s="336"/>
      <c r="EJ206" s="336"/>
      <c r="EK206" s="336"/>
      <c r="EL206" s="336"/>
      <c r="EM206" s="336"/>
      <c r="EN206" s="336"/>
      <c r="EO206" s="337"/>
      <c r="EP206" s="342"/>
      <c r="EQ206" s="336"/>
      <c r="ER206" s="342"/>
      <c r="ES206" s="336"/>
      <c r="ET206" s="342"/>
      <c r="EU206" s="336"/>
      <c r="EV206" s="342"/>
      <c r="EW206" s="336"/>
      <c r="EX206" s="342"/>
      <c r="EY206" s="342"/>
      <c r="EZ206" s="342"/>
      <c r="FA206" s="337"/>
      <c r="FE206" s="338"/>
      <c r="FH206" s="338"/>
      <c r="FI206" s="338"/>
      <c r="FJ206" s="338"/>
      <c r="FK206" s="338"/>
      <c r="FL206" s="338"/>
      <c r="FM206" s="337"/>
      <c r="FN206" s="336"/>
      <c r="FO206" s="336"/>
      <c r="FP206" s="336"/>
      <c r="FQ206" s="336"/>
      <c r="FR206" s="336"/>
      <c r="FS206" s="336"/>
      <c r="FT206" s="336"/>
      <c r="FU206" s="336"/>
      <c r="FV206" s="336"/>
      <c r="FW206" s="337"/>
      <c r="FX206" s="532"/>
      <c r="FY206" s="341"/>
      <c r="FZ206" s="341"/>
      <c r="GA206" s="336"/>
      <c r="GB206" s="341"/>
      <c r="GC206" s="341"/>
      <c r="GD206" s="341"/>
      <c r="GE206" s="336"/>
      <c r="GF206" s="336"/>
      <c r="GG206" s="336"/>
      <c r="GH206" s="336"/>
      <c r="GI206" s="336"/>
      <c r="GJ206" s="337"/>
      <c r="GM206" s="338"/>
      <c r="GN206" s="338"/>
      <c r="GO206" s="338"/>
      <c r="GS206" s="338"/>
      <c r="GT206" s="338"/>
      <c r="GU206" s="338"/>
      <c r="GY206" s="338"/>
      <c r="GZ206" s="338"/>
      <c r="HA206" s="338"/>
      <c r="HE206" s="338"/>
      <c r="HF206" s="338"/>
      <c r="HG206" s="338"/>
      <c r="HN206" s="68"/>
      <c r="HO206" s="68"/>
      <c r="HP206" s="68"/>
      <c r="HQ206" s="336"/>
      <c r="HR206" s="68"/>
      <c r="HS206" s="68"/>
      <c r="HT206" s="10"/>
      <c r="HW206" s="338"/>
      <c r="HX206" s="338"/>
      <c r="HY206" s="338"/>
      <c r="IC206" s="338"/>
      <c r="ID206" s="338"/>
      <c r="IE206" s="338"/>
      <c r="II206" s="338"/>
      <c r="IJ206" s="338"/>
      <c r="IK206" s="338"/>
      <c r="IO206" s="338"/>
      <c r="IP206" s="338"/>
      <c r="IQ206" s="338"/>
      <c r="IX206" s="68"/>
      <c r="IY206" s="68"/>
      <c r="IZ206" s="68"/>
      <c r="JA206" s="68"/>
      <c r="JB206" s="68"/>
      <c r="JC206" s="68"/>
      <c r="JD206" s="10"/>
      <c r="JG206" s="338"/>
      <c r="JH206" s="338"/>
      <c r="JI206" s="338"/>
      <c r="JM206" s="338"/>
      <c r="JN206" s="338"/>
      <c r="JQ206" s="338"/>
      <c r="JR206" s="338"/>
      <c r="JS206" s="338"/>
      <c r="JW206" s="358"/>
      <c r="JX206" s="336"/>
      <c r="JY206" s="336"/>
      <c r="JZ206" s="336"/>
      <c r="KA206" s="336"/>
      <c r="KB206" s="336"/>
      <c r="KC206" s="336"/>
      <c r="KD206" s="336"/>
      <c r="KE206" s="336"/>
      <c r="KF206" s="336"/>
      <c r="KG206" s="337"/>
      <c r="KH206" s="338"/>
      <c r="KI206" s="338"/>
      <c r="KJ206" s="338"/>
      <c r="KK206" s="338"/>
      <c r="KL206" s="338"/>
      <c r="KM206" s="338"/>
      <c r="KN206" s="338"/>
      <c r="KO206" s="338"/>
      <c r="KP206" s="338"/>
      <c r="KQ206" s="338"/>
      <c r="KR206" s="338"/>
      <c r="KS206" s="338"/>
      <c r="KT206" s="338"/>
      <c r="KU206" s="338"/>
      <c r="KV206" s="338"/>
      <c r="KW206" s="337"/>
      <c r="KX206" s="336"/>
      <c r="KY206" s="336"/>
      <c r="KZ206" s="336"/>
      <c r="LA206" s="336"/>
      <c r="LB206" s="336"/>
      <c r="LC206" s="336"/>
      <c r="LD206" s="336"/>
      <c r="LE206" s="336"/>
      <c r="LF206" s="336"/>
      <c r="LG206" s="336"/>
      <c r="LH206" s="336"/>
      <c r="LI206" s="336"/>
      <c r="LJ206" s="336"/>
      <c r="LK206" s="336"/>
      <c r="LL206" s="336"/>
      <c r="LM206" s="336"/>
      <c r="LN206" s="336"/>
      <c r="LO206" s="336"/>
      <c r="LP206" s="336"/>
      <c r="LQ206" s="337"/>
      <c r="MN206" s="10"/>
      <c r="OA206" s="10"/>
    </row>
    <row r="207" spans="1:391" s="370" customFormat="1" x14ac:dyDescent="0.25">
      <c r="A207" s="68"/>
      <c r="B207" s="10"/>
      <c r="C207" s="68"/>
      <c r="D207" s="68"/>
      <c r="E207" s="68"/>
      <c r="F207" s="68"/>
      <c r="G207" s="68"/>
      <c r="H207" s="68"/>
      <c r="I207" s="68"/>
      <c r="J207" s="68"/>
      <c r="K207" s="68"/>
      <c r="L207" s="68"/>
      <c r="M207" s="68"/>
      <c r="N207" s="68"/>
      <c r="O207" s="68"/>
      <c r="P207" s="68"/>
      <c r="Q207" s="68"/>
      <c r="R207" s="68"/>
      <c r="S207" s="68"/>
      <c r="T207" s="70"/>
      <c r="AC207" s="68"/>
      <c r="AD207" s="70"/>
      <c r="AM207" s="68"/>
      <c r="AN207" s="70"/>
      <c r="AU207" s="68"/>
      <c r="AV207" s="70"/>
      <c r="BB207" s="68"/>
      <c r="BC207" s="70"/>
      <c r="BD207" s="68"/>
      <c r="BE207" s="68"/>
      <c r="BF207" s="68"/>
      <c r="BG207" s="68"/>
      <c r="BH207" s="68"/>
      <c r="BI207" s="68"/>
      <c r="BJ207" s="70"/>
      <c r="BM207" s="68"/>
      <c r="BN207" s="70"/>
      <c r="BT207" s="68"/>
      <c r="BU207" s="70"/>
      <c r="BZ207" s="10"/>
      <c r="CF207" s="10"/>
      <c r="CI207" s="389"/>
      <c r="CJ207" s="389"/>
      <c r="CK207" s="68"/>
      <c r="CL207" s="70"/>
      <c r="CO207" s="10"/>
      <c r="CU207" s="10"/>
      <c r="DA207" s="10"/>
      <c r="DB207" s="70"/>
      <c r="DC207" s="70"/>
      <c r="DF207" s="68"/>
      <c r="DG207" s="70"/>
      <c r="DH207" s="68"/>
      <c r="DI207" s="386"/>
      <c r="DJ207" s="425"/>
      <c r="DL207" s="68"/>
      <c r="DM207" s="70"/>
      <c r="DQ207" s="68"/>
      <c r="DR207" s="70"/>
      <c r="DS207" s="338"/>
      <c r="DT207" s="338"/>
      <c r="DU207" s="338"/>
      <c r="DW207" s="338"/>
      <c r="DX207" s="338"/>
      <c r="DY207" s="338"/>
      <c r="EA207" s="338"/>
      <c r="EB207" s="338"/>
      <c r="EC207" s="338"/>
      <c r="EE207" s="338"/>
      <c r="EF207" s="338"/>
      <c r="EG207" s="338"/>
      <c r="EI207" s="336"/>
      <c r="EJ207" s="336"/>
      <c r="EK207" s="336"/>
      <c r="EL207" s="336"/>
      <c r="EM207" s="336"/>
      <c r="EN207" s="336"/>
      <c r="EO207" s="337"/>
      <c r="EP207" s="342"/>
      <c r="EQ207" s="336"/>
      <c r="ER207" s="342"/>
      <c r="ES207" s="336"/>
      <c r="ET207" s="342"/>
      <c r="EU207" s="336"/>
      <c r="EV207" s="342"/>
      <c r="EW207" s="336"/>
      <c r="EX207" s="342"/>
      <c r="EY207" s="342"/>
      <c r="EZ207" s="342"/>
      <c r="FA207" s="337"/>
      <c r="FE207" s="338"/>
      <c r="FH207" s="338"/>
      <c r="FI207" s="338"/>
      <c r="FJ207" s="338"/>
      <c r="FK207" s="338"/>
      <c r="FL207" s="338"/>
      <c r="FM207" s="337"/>
      <c r="FN207" s="336"/>
      <c r="FO207" s="336"/>
      <c r="FP207" s="336"/>
      <c r="FQ207" s="336"/>
      <c r="FR207" s="336"/>
      <c r="FS207" s="336"/>
      <c r="FT207" s="336"/>
      <c r="FU207" s="336"/>
      <c r="FV207" s="336"/>
      <c r="FW207" s="337"/>
      <c r="FX207" s="532"/>
      <c r="FY207" s="341"/>
      <c r="FZ207" s="341"/>
      <c r="GA207" s="336"/>
      <c r="GB207" s="341"/>
      <c r="GC207" s="341"/>
      <c r="GD207" s="341"/>
      <c r="GE207" s="336"/>
      <c r="GF207" s="336"/>
      <c r="GG207" s="336"/>
      <c r="GH207" s="336"/>
      <c r="GI207" s="336"/>
      <c r="GJ207" s="337"/>
      <c r="GM207" s="338"/>
      <c r="GN207" s="338"/>
      <c r="GO207" s="338"/>
      <c r="GS207" s="338"/>
      <c r="GT207" s="338"/>
      <c r="GU207" s="338"/>
      <c r="GY207" s="338"/>
      <c r="GZ207" s="338"/>
      <c r="HA207" s="338"/>
      <c r="HE207" s="338"/>
      <c r="HF207" s="338"/>
      <c r="HG207" s="338"/>
      <c r="HN207" s="68"/>
      <c r="HO207" s="68"/>
      <c r="HP207" s="68"/>
      <c r="HQ207" s="336"/>
      <c r="HR207" s="68"/>
      <c r="HS207" s="68"/>
      <c r="HT207" s="10"/>
      <c r="HW207" s="338"/>
      <c r="HX207" s="338"/>
      <c r="HY207" s="338"/>
      <c r="IC207" s="338"/>
      <c r="ID207" s="338"/>
      <c r="IE207" s="338"/>
      <c r="II207" s="338"/>
      <c r="IJ207" s="338"/>
      <c r="IK207" s="338"/>
      <c r="IO207" s="338"/>
      <c r="IP207" s="338"/>
      <c r="IQ207" s="338"/>
      <c r="IX207" s="68"/>
      <c r="IY207" s="68"/>
      <c r="IZ207" s="68"/>
      <c r="JA207" s="68"/>
      <c r="JB207" s="68"/>
      <c r="JC207" s="68"/>
      <c r="JD207" s="10"/>
      <c r="JG207" s="338"/>
      <c r="JH207" s="338"/>
      <c r="JI207" s="338"/>
      <c r="JM207" s="338"/>
      <c r="JN207" s="338"/>
      <c r="JQ207" s="338"/>
      <c r="JR207" s="338"/>
      <c r="JS207" s="338"/>
      <c r="JW207" s="358"/>
      <c r="JX207" s="336"/>
      <c r="JY207" s="336"/>
      <c r="JZ207" s="336"/>
      <c r="KA207" s="336"/>
      <c r="KB207" s="336"/>
      <c r="KC207" s="336"/>
      <c r="KD207" s="336"/>
      <c r="KE207" s="336"/>
      <c r="KF207" s="336"/>
      <c r="KG207" s="337"/>
      <c r="KH207" s="338"/>
      <c r="KI207" s="338"/>
      <c r="KJ207" s="338"/>
      <c r="KK207" s="338"/>
      <c r="KL207" s="338"/>
      <c r="KM207" s="338"/>
      <c r="KN207" s="338"/>
      <c r="KO207" s="338"/>
      <c r="KP207" s="338"/>
      <c r="KQ207" s="338"/>
      <c r="KR207" s="338"/>
      <c r="KS207" s="338"/>
      <c r="KT207" s="338"/>
      <c r="KU207" s="338"/>
      <c r="KV207" s="338"/>
      <c r="KW207" s="337"/>
      <c r="KX207" s="336"/>
      <c r="KY207" s="336"/>
      <c r="KZ207" s="336"/>
      <c r="LA207" s="336"/>
      <c r="LB207" s="336"/>
      <c r="LC207" s="336"/>
      <c r="LD207" s="336"/>
      <c r="LE207" s="336"/>
      <c r="LF207" s="336"/>
      <c r="LG207" s="336"/>
      <c r="LH207" s="336"/>
      <c r="LI207" s="336"/>
      <c r="LJ207" s="336"/>
      <c r="LK207" s="336"/>
      <c r="LL207" s="336"/>
      <c r="LM207" s="336"/>
      <c r="LN207" s="336"/>
      <c r="LO207" s="336"/>
      <c r="LP207" s="336"/>
      <c r="LQ207" s="337"/>
      <c r="MN207" s="10"/>
      <c r="OA207" s="10"/>
    </row>
    <row r="208" spans="1:391" s="370" customFormat="1" x14ac:dyDescent="0.25">
      <c r="A208" s="68"/>
      <c r="B208" s="10"/>
      <c r="C208" s="68"/>
      <c r="D208" s="68"/>
      <c r="E208" s="68"/>
      <c r="F208" s="68"/>
      <c r="G208" s="68"/>
      <c r="H208" s="68"/>
      <c r="I208" s="68"/>
      <c r="J208" s="68"/>
      <c r="K208" s="68"/>
      <c r="L208" s="68"/>
      <c r="M208" s="68"/>
      <c r="N208" s="68"/>
      <c r="O208" s="68"/>
      <c r="P208" s="68"/>
      <c r="Q208" s="68"/>
      <c r="R208" s="68"/>
      <c r="S208" s="68"/>
      <c r="T208" s="70"/>
      <c r="AC208" s="68"/>
      <c r="AD208" s="70"/>
      <c r="AM208" s="68"/>
      <c r="AN208" s="70"/>
      <c r="AU208" s="68"/>
      <c r="AV208" s="70"/>
      <c r="BB208" s="68"/>
      <c r="BC208" s="70"/>
      <c r="BD208" s="68"/>
      <c r="BE208" s="68"/>
      <c r="BF208" s="68"/>
      <c r="BG208" s="68"/>
      <c r="BH208" s="68"/>
      <c r="BI208" s="68"/>
      <c r="BJ208" s="70"/>
      <c r="BM208" s="68"/>
      <c r="BN208" s="70"/>
      <c r="BT208" s="68"/>
      <c r="BU208" s="70"/>
      <c r="BZ208" s="10"/>
      <c r="CF208" s="10"/>
      <c r="CI208" s="389"/>
      <c r="CJ208" s="389"/>
      <c r="CK208" s="68"/>
      <c r="CL208" s="70"/>
      <c r="CO208" s="10"/>
      <c r="CU208" s="10"/>
      <c r="DA208" s="10"/>
      <c r="DB208" s="70"/>
      <c r="DC208" s="70"/>
      <c r="DF208" s="68"/>
      <c r="DG208" s="70"/>
      <c r="DH208" s="68"/>
      <c r="DI208" s="386"/>
      <c r="DJ208" s="425"/>
      <c r="DL208" s="68"/>
      <c r="DM208" s="70"/>
      <c r="DQ208" s="68"/>
      <c r="DR208" s="70"/>
      <c r="DS208" s="338"/>
      <c r="DT208" s="338"/>
      <c r="DU208" s="338"/>
      <c r="DW208" s="338"/>
      <c r="DX208" s="338"/>
      <c r="DY208" s="338"/>
      <c r="EA208" s="338"/>
      <c r="EB208" s="338"/>
      <c r="EC208" s="338"/>
      <c r="EE208" s="338"/>
      <c r="EF208" s="338"/>
      <c r="EG208" s="338"/>
      <c r="EI208" s="336"/>
      <c r="EJ208" s="336"/>
      <c r="EK208" s="336"/>
      <c r="EL208" s="336"/>
      <c r="EM208" s="336"/>
      <c r="EN208" s="336"/>
      <c r="EO208" s="337"/>
      <c r="EP208" s="342"/>
      <c r="EQ208" s="336"/>
      <c r="ER208" s="342"/>
      <c r="ES208" s="336"/>
      <c r="ET208" s="342"/>
      <c r="EU208" s="336"/>
      <c r="EV208" s="342"/>
      <c r="EW208" s="336"/>
      <c r="EX208" s="342"/>
      <c r="EY208" s="342"/>
      <c r="EZ208" s="342"/>
      <c r="FA208" s="337"/>
      <c r="FE208" s="338"/>
      <c r="FH208" s="338"/>
      <c r="FI208" s="338"/>
      <c r="FJ208" s="338"/>
      <c r="FK208" s="338"/>
      <c r="FL208" s="338"/>
      <c r="FM208" s="337"/>
      <c r="FN208" s="336"/>
      <c r="FO208" s="336"/>
      <c r="FP208" s="336"/>
      <c r="FQ208" s="336"/>
      <c r="FR208" s="336"/>
      <c r="FS208" s="336"/>
      <c r="FT208" s="336"/>
      <c r="FU208" s="336"/>
      <c r="FV208" s="336"/>
      <c r="FW208" s="337"/>
      <c r="FX208" s="532"/>
      <c r="FY208" s="341"/>
      <c r="FZ208" s="341"/>
      <c r="GA208" s="336"/>
      <c r="GB208" s="341"/>
      <c r="GC208" s="341"/>
      <c r="GD208" s="341"/>
      <c r="GE208" s="336"/>
      <c r="GF208" s="336"/>
      <c r="GG208" s="336"/>
      <c r="GH208" s="336"/>
      <c r="GI208" s="336"/>
      <c r="GJ208" s="337"/>
      <c r="GM208" s="338"/>
      <c r="GN208" s="338"/>
      <c r="GO208" s="338"/>
      <c r="GS208" s="338"/>
      <c r="GT208" s="338"/>
      <c r="GU208" s="338"/>
      <c r="GY208" s="338"/>
      <c r="GZ208" s="338"/>
      <c r="HA208" s="338"/>
      <c r="HE208" s="338"/>
      <c r="HF208" s="338"/>
      <c r="HG208" s="338"/>
      <c r="HN208" s="68"/>
      <c r="HO208" s="68"/>
      <c r="HP208" s="68"/>
      <c r="HQ208" s="336"/>
      <c r="HR208" s="68"/>
      <c r="HS208" s="68"/>
      <c r="HT208" s="10"/>
      <c r="HW208" s="338"/>
      <c r="HX208" s="338"/>
      <c r="HY208" s="338"/>
      <c r="IC208" s="338"/>
      <c r="ID208" s="338"/>
      <c r="IE208" s="338"/>
      <c r="II208" s="338"/>
      <c r="IJ208" s="338"/>
      <c r="IK208" s="338"/>
      <c r="IO208" s="338"/>
      <c r="IP208" s="338"/>
      <c r="IQ208" s="338"/>
      <c r="IX208" s="68"/>
      <c r="IY208" s="68"/>
      <c r="IZ208" s="68"/>
      <c r="JA208" s="68"/>
      <c r="JB208" s="68"/>
      <c r="JC208" s="68"/>
      <c r="JD208" s="10"/>
      <c r="JG208" s="338"/>
      <c r="JH208" s="338"/>
      <c r="JI208" s="338"/>
      <c r="JM208" s="338"/>
      <c r="JN208" s="338"/>
      <c r="JQ208" s="338"/>
      <c r="JR208" s="338"/>
      <c r="JS208" s="338"/>
      <c r="JW208" s="358"/>
      <c r="JX208" s="336"/>
      <c r="JY208" s="336"/>
      <c r="JZ208" s="336"/>
      <c r="KA208" s="336"/>
      <c r="KB208" s="336"/>
      <c r="KC208" s="336"/>
      <c r="KD208" s="336"/>
      <c r="KE208" s="336"/>
      <c r="KF208" s="336"/>
      <c r="KG208" s="337"/>
      <c r="KH208" s="338"/>
      <c r="KI208" s="338"/>
      <c r="KJ208" s="338"/>
      <c r="KK208" s="338"/>
      <c r="KL208" s="338"/>
      <c r="KM208" s="338"/>
      <c r="KN208" s="338"/>
      <c r="KO208" s="338"/>
      <c r="KP208" s="338"/>
      <c r="KQ208" s="338"/>
      <c r="KR208" s="338"/>
      <c r="KS208" s="338"/>
      <c r="KT208" s="338"/>
      <c r="KU208" s="338"/>
      <c r="KV208" s="338"/>
      <c r="KW208" s="337"/>
      <c r="KX208" s="336"/>
      <c r="KY208" s="336"/>
      <c r="KZ208" s="336"/>
      <c r="LA208" s="336"/>
      <c r="LB208" s="336"/>
      <c r="LC208" s="336"/>
      <c r="LD208" s="336"/>
      <c r="LE208" s="336"/>
      <c r="LF208" s="336"/>
      <c r="LG208" s="336"/>
      <c r="LH208" s="336"/>
      <c r="LI208" s="336"/>
      <c r="LJ208" s="336"/>
      <c r="LK208" s="336"/>
      <c r="LL208" s="336"/>
      <c r="LM208" s="336"/>
      <c r="LN208" s="336"/>
      <c r="LO208" s="336"/>
      <c r="LP208" s="336"/>
      <c r="LQ208" s="337"/>
      <c r="MN208" s="10"/>
      <c r="OA208" s="10"/>
    </row>
    <row r="209" spans="1:391" s="370" customFormat="1" x14ac:dyDescent="0.25">
      <c r="A209" s="68"/>
      <c r="B209" s="10"/>
      <c r="C209" s="68"/>
      <c r="D209" s="68"/>
      <c r="E209" s="68"/>
      <c r="F209" s="68"/>
      <c r="G209" s="68"/>
      <c r="H209" s="68"/>
      <c r="I209" s="68"/>
      <c r="J209" s="68"/>
      <c r="K209" s="68"/>
      <c r="L209" s="68"/>
      <c r="M209" s="68"/>
      <c r="N209" s="68"/>
      <c r="O209" s="68"/>
      <c r="P209" s="68"/>
      <c r="Q209" s="68"/>
      <c r="R209" s="68"/>
      <c r="S209" s="68"/>
      <c r="T209" s="70"/>
      <c r="AC209" s="68"/>
      <c r="AD209" s="70"/>
      <c r="AM209" s="68"/>
      <c r="AN209" s="70"/>
      <c r="AU209" s="68"/>
      <c r="AV209" s="70"/>
      <c r="BB209" s="68"/>
      <c r="BC209" s="70"/>
      <c r="BD209" s="68"/>
      <c r="BE209" s="68"/>
      <c r="BF209" s="68"/>
      <c r="BG209" s="68"/>
      <c r="BH209" s="68"/>
      <c r="BI209" s="68"/>
      <c r="BJ209" s="70"/>
      <c r="BM209" s="68"/>
      <c r="BN209" s="70"/>
      <c r="BT209" s="68"/>
      <c r="BU209" s="70"/>
      <c r="BZ209" s="10"/>
      <c r="CF209" s="10"/>
      <c r="CI209" s="389"/>
      <c r="CJ209" s="389"/>
      <c r="CK209" s="68"/>
      <c r="CL209" s="70"/>
      <c r="CO209" s="10"/>
      <c r="CU209" s="10"/>
      <c r="DA209" s="10"/>
      <c r="DB209" s="70"/>
      <c r="DC209" s="70"/>
      <c r="DF209" s="68"/>
      <c r="DG209" s="70"/>
      <c r="DH209" s="68"/>
      <c r="DI209" s="386"/>
      <c r="DJ209" s="425"/>
      <c r="DL209" s="68"/>
      <c r="DM209" s="70"/>
      <c r="DQ209" s="68"/>
      <c r="DR209" s="70"/>
      <c r="DS209" s="338"/>
      <c r="DT209" s="338"/>
      <c r="DU209" s="338"/>
      <c r="DW209" s="338"/>
      <c r="DX209" s="338"/>
      <c r="DY209" s="338"/>
      <c r="EA209" s="338"/>
      <c r="EB209" s="338"/>
      <c r="EC209" s="338"/>
      <c r="EE209" s="338"/>
      <c r="EF209" s="338"/>
      <c r="EG209" s="338"/>
      <c r="EI209" s="336"/>
      <c r="EJ209" s="336"/>
      <c r="EK209" s="336"/>
      <c r="EL209" s="336"/>
      <c r="EM209" s="336"/>
      <c r="EN209" s="336"/>
      <c r="EO209" s="337"/>
      <c r="EP209" s="342"/>
      <c r="EQ209" s="336"/>
      <c r="ER209" s="342"/>
      <c r="ES209" s="336"/>
      <c r="ET209" s="342"/>
      <c r="EU209" s="336"/>
      <c r="EV209" s="342"/>
      <c r="EW209" s="336"/>
      <c r="EX209" s="342"/>
      <c r="EY209" s="342"/>
      <c r="EZ209" s="342"/>
      <c r="FA209" s="337"/>
      <c r="FE209" s="338"/>
      <c r="FH209" s="338"/>
      <c r="FI209" s="338"/>
      <c r="FJ209" s="338"/>
      <c r="FK209" s="338"/>
      <c r="FL209" s="338"/>
      <c r="FM209" s="337"/>
      <c r="FN209" s="336"/>
      <c r="FO209" s="336"/>
      <c r="FP209" s="336"/>
      <c r="FQ209" s="336"/>
      <c r="FR209" s="336"/>
      <c r="FS209" s="336"/>
      <c r="FT209" s="336"/>
      <c r="FU209" s="336"/>
      <c r="FV209" s="336"/>
      <c r="FW209" s="337"/>
      <c r="FX209" s="532"/>
      <c r="FY209" s="341"/>
      <c r="FZ209" s="341"/>
      <c r="GA209" s="336"/>
      <c r="GB209" s="341"/>
      <c r="GC209" s="341"/>
      <c r="GD209" s="341"/>
      <c r="GE209" s="336"/>
      <c r="GF209" s="336"/>
      <c r="GG209" s="336"/>
      <c r="GH209" s="336"/>
      <c r="GI209" s="336"/>
      <c r="GJ209" s="337"/>
      <c r="GM209" s="338"/>
      <c r="GN209" s="338"/>
      <c r="GO209" s="338"/>
      <c r="GS209" s="338"/>
      <c r="GT209" s="338"/>
      <c r="GU209" s="338"/>
      <c r="GY209" s="338"/>
      <c r="GZ209" s="338"/>
      <c r="HA209" s="338"/>
      <c r="HE209" s="338"/>
      <c r="HF209" s="338"/>
      <c r="HG209" s="338"/>
      <c r="HN209" s="68"/>
      <c r="HO209" s="68"/>
      <c r="HP209" s="68"/>
      <c r="HQ209" s="336"/>
      <c r="HR209" s="68"/>
      <c r="HS209" s="68"/>
      <c r="HT209" s="10"/>
      <c r="HW209" s="338"/>
      <c r="HX209" s="338"/>
      <c r="HY209" s="338"/>
      <c r="IC209" s="338"/>
      <c r="ID209" s="338"/>
      <c r="IE209" s="338"/>
      <c r="II209" s="338"/>
      <c r="IJ209" s="338"/>
      <c r="IK209" s="338"/>
      <c r="IO209" s="338"/>
      <c r="IP209" s="338"/>
      <c r="IQ209" s="338"/>
      <c r="IX209" s="68"/>
      <c r="IY209" s="68"/>
      <c r="IZ209" s="68"/>
      <c r="JA209" s="68"/>
      <c r="JB209" s="68"/>
      <c r="JC209" s="68"/>
      <c r="JD209" s="10"/>
      <c r="JG209" s="338"/>
      <c r="JH209" s="338"/>
      <c r="JI209" s="338"/>
      <c r="JM209" s="338"/>
      <c r="JN209" s="338"/>
      <c r="JQ209" s="338"/>
      <c r="JR209" s="338"/>
      <c r="JS209" s="338"/>
      <c r="JW209" s="358"/>
      <c r="JX209" s="336"/>
      <c r="JY209" s="336"/>
      <c r="JZ209" s="336"/>
      <c r="KA209" s="336"/>
      <c r="KB209" s="336"/>
      <c r="KC209" s="336"/>
      <c r="KD209" s="336"/>
      <c r="KE209" s="336"/>
      <c r="KF209" s="336"/>
      <c r="KG209" s="337"/>
      <c r="KH209" s="338"/>
      <c r="KI209" s="338"/>
      <c r="KJ209" s="338"/>
      <c r="KK209" s="338"/>
      <c r="KL209" s="338"/>
      <c r="KM209" s="338"/>
      <c r="KN209" s="338"/>
      <c r="KO209" s="338"/>
      <c r="KP209" s="338"/>
      <c r="KQ209" s="338"/>
      <c r="KR209" s="338"/>
      <c r="KS209" s="338"/>
      <c r="KT209" s="338"/>
      <c r="KU209" s="338"/>
      <c r="KV209" s="338"/>
      <c r="KW209" s="337"/>
      <c r="KX209" s="336"/>
      <c r="KY209" s="336"/>
      <c r="KZ209" s="336"/>
      <c r="LA209" s="336"/>
      <c r="LB209" s="336"/>
      <c r="LC209" s="336"/>
      <c r="LD209" s="336"/>
      <c r="LE209" s="336"/>
      <c r="LF209" s="336"/>
      <c r="LG209" s="336"/>
      <c r="LH209" s="336"/>
      <c r="LI209" s="336"/>
      <c r="LJ209" s="336"/>
      <c r="LK209" s="336"/>
      <c r="LL209" s="336"/>
      <c r="LM209" s="336"/>
      <c r="LN209" s="336"/>
      <c r="LO209" s="336"/>
      <c r="LP209" s="336"/>
      <c r="LQ209" s="337"/>
      <c r="MN209" s="10"/>
      <c r="OA209" s="10"/>
    </row>
    <row r="210" spans="1:391" s="370" customFormat="1" x14ac:dyDescent="0.25">
      <c r="A210" s="68"/>
      <c r="B210" s="10"/>
      <c r="C210" s="68"/>
      <c r="D210" s="68"/>
      <c r="E210" s="68"/>
      <c r="F210" s="68"/>
      <c r="G210" s="68"/>
      <c r="H210" s="68"/>
      <c r="I210" s="68"/>
      <c r="J210" s="68"/>
      <c r="K210" s="68"/>
      <c r="L210" s="68"/>
      <c r="M210" s="68"/>
      <c r="N210" s="68"/>
      <c r="O210" s="68"/>
      <c r="P210" s="68"/>
      <c r="Q210" s="68"/>
      <c r="R210" s="68"/>
      <c r="S210" s="68"/>
      <c r="T210" s="70"/>
      <c r="AC210" s="68"/>
      <c r="AD210" s="70"/>
      <c r="AM210" s="68"/>
      <c r="AN210" s="70"/>
      <c r="AU210" s="68"/>
      <c r="AV210" s="70"/>
      <c r="BB210" s="68"/>
      <c r="BC210" s="70"/>
      <c r="BD210" s="68"/>
      <c r="BE210" s="68"/>
      <c r="BF210" s="68"/>
      <c r="BG210" s="68"/>
      <c r="BH210" s="68"/>
      <c r="BI210" s="68"/>
      <c r="BJ210" s="70"/>
      <c r="BM210" s="68"/>
      <c r="BN210" s="70"/>
      <c r="BT210" s="68"/>
      <c r="BU210" s="70"/>
      <c r="BZ210" s="10"/>
      <c r="CF210" s="10"/>
      <c r="CI210" s="389"/>
      <c r="CJ210" s="389"/>
      <c r="CK210" s="68"/>
      <c r="CL210" s="70"/>
      <c r="CO210" s="10"/>
      <c r="CU210" s="10"/>
      <c r="DA210" s="10"/>
      <c r="DB210" s="70"/>
      <c r="DC210" s="70"/>
      <c r="DF210" s="68"/>
      <c r="DG210" s="70"/>
      <c r="DH210" s="68"/>
      <c r="DI210" s="386"/>
      <c r="DJ210" s="425"/>
      <c r="DL210" s="68"/>
      <c r="DM210" s="70"/>
      <c r="DQ210" s="68"/>
      <c r="DR210" s="70"/>
      <c r="DS210" s="338"/>
      <c r="DT210" s="338"/>
      <c r="DU210" s="338"/>
      <c r="DW210" s="338"/>
      <c r="DX210" s="338"/>
      <c r="DY210" s="338"/>
      <c r="EA210" s="338"/>
      <c r="EB210" s="338"/>
      <c r="EC210" s="338"/>
      <c r="EE210" s="338"/>
      <c r="EF210" s="338"/>
      <c r="EG210" s="338"/>
      <c r="EI210" s="336"/>
      <c r="EJ210" s="336"/>
      <c r="EK210" s="336"/>
      <c r="EL210" s="336"/>
      <c r="EM210" s="336"/>
      <c r="EN210" s="336"/>
      <c r="EO210" s="337"/>
      <c r="EP210" s="342"/>
      <c r="EQ210" s="336"/>
      <c r="ER210" s="342"/>
      <c r="ES210" s="336"/>
      <c r="ET210" s="342"/>
      <c r="EU210" s="336"/>
      <c r="EV210" s="342"/>
      <c r="EW210" s="336"/>
      <c r="EX210" s="342"/>
      <c r="EY210" s="342"/>
      <c r="EZ210" s="342"/>
      <c r="FA210" s="337"/>
      <c r="FE210" s="338"/>
      <c r="FH210" s="338"/>
      <c r="FI210" s="338"/>
      <c r="FJ210" s="338"/>
      <c r="FK210" s="338"/>
      <c r="FL210" s="338"/>
      <c r="FM210" s="337"/>
      <c r="FN210" s="336"/>
      <c r="FO210" s="336"/>
      <c r="FP210" s="336"/>
      <c r="FQ210" s="336"/>
      <c r="FR210" s="336"/>
      <c r="FS210" s="336"/>
      <c r="FT210" s="336"/>
      <c r="FU210" s="336"/>
      <c r="FV210" s="336"/>
      <c r="FW210" s="337"/>
      <c r="FX210" s="532"/>
      <c r="FY210" s="341"/>
      <c r="FZ210" s="341"/>
      <c r="GA210" s="336"/>
      <c r="GB210" s="341"/>
      <c r="GC210" s="341"/>
      <c r="GD210" s="341"/>
      <c r="GE210" s="336"/>
      <c r="GF210" s="336"/>
      <c r="GG210" s="336"/>
      <c r="GH210" s="336"/>
      <c r="GI210" s="336"/>
      <c r="GJ210" s="337"/>
      <c r="GM210" s="338"/>
      <c r="GN210" s="338"/>
      <c r="GO210" s="338"/>
      <c r="GS210" s="338"/>
      <c r="GT210" s="338"/>
      <c r="GU210" s="338"/>
      <c r="GY210" s="338"/>
      <c r="GZ210" s="338"/>
      <c r="HA210" s="338"/>
      <c r="HE210" s="338"/>
      <c r="HF210" s="338"/>
      <c r="HG210" s="338"/>
      <c r="HN210" s="68"/>
      <c r="HO210" s="68"/>
      <c r="HP210" s="68"/>
      <c r="HQ210" s="336"/>
      <c r="HR210" s="68"/>
      <c r="HS210" s="68"/>
      <c r="HT210" s="10"/>
      <c r="HW210" s="338"/>
      <c r="HX210" s="338"/>
      <c r="HY210" s="338"/>
      <c r="IC210" s="338"/>
      <c r="ID210" s="338"/>
      <c r="IE210" s="338"/>
      <c r="II210" s="338"/>
      <c r="IJ210" s="338"/>
      <c r="IK210" s="338"/>
      <c r="IO210" s="338"/>
      <c r="IP210" s="338"/>
      <c r="IQ210" s="338"/>
      <c r="IX210" s="68"/>
      <c r="IY210" s="68"/>
      <c r="IZ210" s="68"/>
      <c r="JA210" s="68"/>
      <c r="JB210" s="68"/>
      <c r="JC210" s="68"/>
      <c r="JD210" s="10"/>
      <c r="JG210" s="338"/>
      <c r="JH210" s="338"/>
      <c r="JI210" s="338"/>
      <c r="JM210" s="338"/>
      <c r="JN210" s="338"/>
      <c r="JQ210" s="338"/>
      <c r="JR210" s="338"/>
      <c r="JS210" s="338"/>
      <c r="JW210" s="358"/>
      <c r="JX210" s="336"/>
      <c r="JY210" s="336"/>
      <c r="JZ210" s="336"/>
      <c r="KA210" s="336"/>
      <c r="KB210" s="336"/>
      <c r="KC210" s="336"/>
      <c r="KD210" s="336"/>
      <c r="KE210" s="336"/>
      <c r="KF210" s="336"/>
      <c r="KG210" s="337"/>
      <c r="KH210" s="338"/>
      <c r="KI210" s="338"/>
      <c r="KJ210" s="338"/>
      <c r="KK210" s="338"/>
      <c r="KL210" s="338"/>
      <c r="KM210" s="338"/>
      <c r="KN210" s="338"/>
      <c r="KO210" s="338"/>
      <c r="KP210" s="338"/>
      <c r="KQ210" s="338"/>
      <c r="KR210" s="338"/>
      <c r="KS210" s="338"/>
      <c r="KT210" s="338"/>
      <c r="KU210" s="338"/>
      <c r="KV210" s="338"/>
      <c r="KW210" s="337"/>
      <c r="KX210" s="336"/>
      <c r="KY210" s="336"/>
      <c r="KZ210" s="336"/>
      <c r="LA210" s="336"/>
      <c r="LB210" s="336"/>
      <c r="LC210" s="336"/>
      <c r="LD210" s="336"/>
      <c r="LE210" s="336"/>
      <c r="LF210" s="336"/>
      <c r="LG210" s="336"/>
      <c r="LH210" s="336"/>
      <c r="LI210" s="336"/>
      <c r="LJ210" s="336"/>
      <c r="LK210" s="336"/>
      <c r="LL210" s="336"/>
      <c r="LM210" s="336"/>
      <c r="LN210" s="336"/>
      <c r="LO210" s="336"/>
      <c r="LP210" s="336"/>
      <c r="LQ210" s="337"/>
      <c r="MN210" s="10"/>
      <c r="OA210" s="10"/>
    </row>
    <row r="211" spans="1:391" s="370" customFormat="1" x14ac:dyDescent="0.25">
      <c r="A211" s="68"/>
      <c r="B211" s="10"/>
      <c r="C211" s="68"/>
      <c r="D211" s="68"/>
      <c r="E211" s="68"/>
      <c r="F211" s="68"/>
      <c r="G211" s="68"/>
      <c r="H211" s="68"/>
      <c r="I211" s="68"/>
      <c r="J211" s="68"/>
      <c r="K211" s="68"/>
      <c r="L211" s="68"/>
      <c r="M211" s="68"/>
      <c r="N211" s="68"/>
      <c r="O211" s="68"/>
      <c r="P211" s="68"/>
      <c r="Q211" s="68"/>
      <c r="R211" s="68"/>
      <c r="S211" s="68"/>
      <c r="T211" s="70"/>
      <c r="AC211" s="68"/>
      <c r="AD211" s="70"/>
      <c r="AM211" s="68"/>
      <c r="AN211" s="70"/>
      <c r="AU211" s="68"/>
      <c r="AV211" s="70"/>
      <c r="BB211" s="68"/>
      <c r="BC211" s="70"/>
      <c r="BD211" s="68"/>
      <c r="BE211" s="68"/>
      <c r="BF211" s="68"/>
      <c r="BG211" s="68"/>
      <c r="BH211" s="68"/>
      <c r="BI211" s="68"/>
      <c r="BJ211" s="70"/>
      <c r="BM211" s="68"/>
      <c r="BN211" s="70"/>
      <c r="BT211" s="68"/>
      <c r="BU211" s="70"/>
      <c r="BZ211" s="10"/>
      <c r="CF211" s="10"/>
      <c r="CI211" s="389"/>
      <c r="CJ211" s="389"/>
      <c r="CK211" s="68"/>
      <c r="CL211" s="70"/>
      <c r="CO211" s="10"/>
      <c r="CU211" s="10"/>
      <c r="DA211" s="10"/>
      <c r="DB211" s="70"/>
      <c r="DC211" s="70"/>
      <c r="DF211" s="68"/>
      <c r="DG211" s="70"/>
      <c r="DH211" s="68"/>
      <c r="DI211" s="386"/>
      <c r="DJ211" s="425"/>
      <c r="DL211" s="68"/>
      <c r="DM211" s="70"/>
      <c r="DQ211" s="68"/>
      <c r="DR211" s="70"/>
      <c r="DS211" s="338"/>
      <c r="DT211" s="338"/>
      <c r="DU211" s="338"/>
      <c r="DW211" s="338"/>
      <c r="DX211" s="338"/>
      <c r="DY211" s="338"/>
      <c r="EA211" s="338"/>
      <c r="EB211" s="338"/>
      <c r="EC211" s="338"/>
      <c r="EE211" s="338"/>
      <c r="EF211" s="338"/>
      <c r="EG211" s="338"/>
      <c r="EI211" s="336"/>
      <c r="EJ211" s="336"/>
      <c r="EK211" s="336"/>
      <c r="EL211" s="336"/>
      <c r="EM211" s="336"/>
      <c r="EN211" s="336"/>
      <c r="EO211" s="337"/>
      <c r="EP211" s="342"/>
      <c r="EQ211" s="336"/>
      <c r="ER211" s="342"/>
      <c r="ES211" s="336"/>
      <c r="ET211" s="342"/>
      <c r="EU211" s="336"/>
      <c r="EV211" s="342"/>
      <c r="EW211" s="336"/>
      <c r="EX211" s="342"/>
      <c r="EY211" s="342"/>
      <c r="EZ211" s="342"/>
      <c r="FA211" s="337"/>
      <c r="FE211" s="338"/>
      <c r="FH211" s="338"/>
      <c r="FI211" s="338"/>
      <c r="FJ211" s="338"/>
      <c r="FK211" s="338"/>
      <c r="FL211" s="338"/>
      <c r="FM211" s="337"/>
      <c r="FN211" s="336"/>
      <c r="FO211" s="336"/>
      <c r="FP211" s="336"/>
      <c r="FQ211" s="336"/>
      <c r="FR211" s="336"/>
      <c r="FS211" s="336"/>
      <c r="FT211" s="336"/>
      <c r="FU211" s="336"/>
      <c r="FV211" s="336"/>
      <c r="FW211" s="337"/>
      <c r="FX211" s="532"/>
      <c r="FY211" s="341"/>
      <c r="FZ211" s="341"/>
      <c r="GA211" s="336"/>
      <c r="GB211" s="341"/>
      <c r="GC211" s="341"/>
      <c r="GD211" s="341"/>
      <c r="GE211" s="336"/>
      <c r="GF211" s="336"/>
      <c r="GG211" s="336"/>
      <c r="GH211" s="336"/>
      <c r="GI211" s="336"/>
      <c r="GJ211" s="337"/>
      <c r="GM211" s="338"/>
      <c r="GN211" s="338"/>
      <c r="GO211" s="338"/>
      <c r="GS211" s="338"/>
      <c r="GT211" s="338"/>
      <c r="GU211" s="338"/>
      <c r="GY211" s="338"/>
      <c r="GZ211" s="338"/>
      <c r="HA211" s="338"/>
      <c r="HE211" s="338"/>
      <c r="HF211" s="338"/>
      <c r="HG211" s="338"/>
      <c r="HN211" s="68"/>
      <c r="HO211" s="68"/>
      <c r="HP211" s="68"/>
      <c r="HQ211" s="336"/>
      <c r="HR211" s="68"/>
      <c r="HS211" s="68"/>
      <c r="HT211" s="10"/>
      <c r="HW211" s="338"/>
      <c r="HX211" s="338"/>
      <c r="HY211" s="338"/>
      <c r="IC211" s="338"/>
      <c r="ID211" s="338"/>
      <c r="IE211" s="338"/>
      <c r="II211" s="338"/>
      <c r="IJ211" s="338"/>
      <c r="IK211" s="338"/>
      <c r="IO211" s="338"/>
      <c r="IP211" s="338"/>
      <c r="IQ211" s="338"/>
      <c r="IX211" s="68"/>
      <c r="IY211" s="68"/>
      <c r="IZ211" s="68"/>
      <c r="JA211" s="68"/>
      <c r="JB211" s="68"/>
      <c r="JC211" s="68"/>
      <c r="JD211" s="10"/>
      <c r="JG211" s="338"/>
      <c r="JH211" s="338"/>
      <c r="JI211" s="338"/>
      <c r="JM211" s="338"/>
      <c r="JN211" s="338"/>
      <c r="JQ211" s="338"/>
      <c r="JR211" s="338"/>
      <c r="JS211" s="338"/>
      <c r="JW211" s="358"/>
      <c r="JX211" s="336"/>
      <c r="JY211" s="336"/>
      <c r="JZ211" s="336"/>
      <c r="KA211" s="336"/>
      <c r="KB211" s="336"/>
      <c r="KC211" s="336"/>
      <c r="KD211" s="336"/>
      <c r="KE211" s="336"/>
      <c r="KF211" s="336"/>
      <c r="KG211" s="337"/>
      <c r="KH211" s="338"/>
      <c r="KI211" s="338"/>
      <c r="KJ211" s="338"/>
      <c r="KK211" s="338"/>
      <c r="KL211" s="338"/>
      <c r="KM211" s="338"/>
      <c r="KN211" s="338"/>
      <c r="KO211" s="338"/>
      <c r="KP211" s="338"/>
      <c r="KQ211" s="338"/>
      <c r="KR211" s="338"/>
      <c r="KS211" s="338"/>
      <c r="KT211" s="338"/>
      <c r="KU211" s="338"/>
      <c r="KV211" s="338"/>
      <c r="KW211" s="337"/>
      <c r="KX211" s="336"/>
      <c r="KY211" s="336"/>
      <c r="KZ211" s="336"/>
      <c r="LA211" s="336"/>
      <c r="LB211" s="336"/>
      <c r="LC211" s="336"/>
      <c r="LD211" s="336"/>
      <c r="LE211" s="336"/>
      <c r="LF211" s="336"/>
      <c r="LG211" s="336"/>
      <c r="LH211" s="336"/>
      <c r="LI211" s="336"/>
      <c r="LJ211" s="336"/>
      <c r="LK211" s="336"/>
      <c r="LL211" s="336"/>
      <c r="LM211" s="336"/>
      <c r="LN211" s="336"/>
      <c r="LO211" s="336"/>
      <c r="LP211" s="336"/>
      <c r="LQ211" s="337"/>
      <c r="MN211" s="10"/>
      <c r="OA211" s="10"/>
    </row>
    <row r="212" spans="1:391" s="370" customFormat="1" x14ac:dyDescent="0.25">
      <c r="A212" s="68"/>
      <c r="B212" s="10"/>
      <c r="C212" s="68"/>
      <c r="D212" s="68"/>
      <c r="E212" s="68"/>
      <c r="F212" s="68"/>
      <c r="G212" s="68"/>
      <c r="H212" s="68"/>
      <c r="I212" s="68"/>
      <c r="J212" s="68"/>
      <c r="K212" s="68"/>
      <c r="L212" s="68"/>
      <c r="M212" s="68"/>
      <c r="N212" s="68"/>
      <c r="O212" s="68"/>
      <c r="P212" s="68"/>
      <c r="Q212" s="68"/>
      <c r="R212" s="68"/>
      <c r="S212" s="68"/>
      <c r="T212" s="70"/>
      <c r="AC212" s="68"/>
      <c r="AD212" s="70"/>
      <c r="AM212" s="68"/>
      <c r="AN212" s="70"/>
      <c r="AU212" s="68"/>
      <c r="AV212" s="70"/>
      <c r="BB212" s="68"/>
      <c r="BC212" s="70"/>
      <c r="BD212" s="68"/>
      <c r="BE212" s="68"/>
      <c r="BF212" s="68"/>
      <c r="BG212" s="68"/>
      <c r="BH212" s="68"/>
      <c r="BI212" s="68"/>
      <c r="BJ212" s="70"/>
      <c r="BM212" s="68"/>
      <c r="BN212" s="70"/>
      <c r="BT212" s="68"/>
      <c r="BU212" s="70"/>
      <c r="BZ212" s="10"/>
      <c r="CF212" s="10"/>
      <c r="CI212" s="389"/>
      <c r="CJ212" s="389"/>
      <c r="CK212" s="68"/>
      <c r="CL212" s="70"/>
      <c r="CO212" s="10"/>
      <c r="CU212" s="10"/>
      <c r="DA212" s="10"/>
      <c r="DB212" s="70"/>
      <c r="DC212" s="70"/>
      <c r="DF212" s="68"/>
      <c r="DG212" s="70"/>
      <c r="DH212" s="68"/>
      <c r="DI212" s="386"/>
      <c r="DJ212" s="425"/>
      <c r="DL212" s="68"/>
      <c r="DM212" s="70"/>
      <c r="DQ212" s="68"/>
      <c r="DR212" s="70"/>
      <c r="DS212" s="338"/>
      <c r="DT212" s="338"/>
      <c r="DU212" s="338"/>
      <c r="DW212" s="338"/>
      <c r="DX212" s="338"/>
      <c r="DY212" s="338"/>
      <c r="EA212" s="338"/>
      <c r="EB212" s="338"/>
      <c r="EC212" s="338"/>
      <c r="EE212" s="338"/>
      <c r="EF212" s="338"/>
      <c r="EG212" s="338"/>
      <c r="EI212" s="336"/>
      <c r="EJ212" s="336"/>
      <c r="EK212" s="336"/>
      <c r="EL212" s="336"/>
      <c r="EM212" s="336"/>
      <c r="EN212" s="336"/>
      <c r="EO212" s="337"/>
      <c r="EP212" s="342"/>
      <c r="EQ212" s="336"/>
      <c r="ER212" s="342"/>
      <c r="ES212" s="336"/>
      <c r="ET212" s="342"/>
      <c r="EU212" s="336"/>
      <c r="EV212" s="342"/>
      <c r="EW212" s="336"/>
      <c r="EX212" s="342"/>
      <c r="EY212" s="342"/>
      <c r="EZ212" s="342"/>
      <c r="FA212" s="337"/>
      <c r="FE212" s="338"/>
      <c r="FH212" s="338"/>
      <c r="FI212" s="338"/>
      <c r="FJ212" s="338"/>
      <c r="FK212" s="338"/>
      <c r="FL212" s="338"/>
      <c r="FM212" s="337"/>
      <c r="FN212" s="336"/>
      <c r="FO212" s="336"/>
      <c r="FP212" s="336"/>
      <c r="FQ212" s="336"/>
      <c r="FR212" s="336"/>
      <c r="FS212" s="336"/>
      <c r="FT212" s="336"/>
      <c r="FU212" s="336"/>
      <c r="FV212" s="336"/>
      <c r="FW212" s="337"/>
      <c r="FX212" s="532"/>
      <c r="FY212" s="341"/>
      <c r="FZ212" s="341"/>
      <c r="GA212" s="336"/>
      <c r="GB212" s="341"/>
      <c r="GC212" s="341"/>
      <c r="GD212" s="341"/>
      <c r="GE212" s="336"/>
      <c r="GF212" s="336"/>
      <c r="GG212" s="336"/>
      <c r="GH212" s="336"/>
      <c r="GI212" s="336"/>
      <c r="GJ212" s="337"/>
      <c r="GM212" s="338"/>
      <c r="GN212" s="338"/>
      <c r="GO212" s="338"/>
      <c r="GS212" s="338"/>
      <c r="GT212" s="338"/>
      <c r="GU212" s="338"/>
      <c r="GY212" s="338"/>
      <c r="GZ212" s="338"/>
      <c r="HA212" s="338"/>
      <c r="HE212" s="338"/>
      <c r="HF212" s="338"/>
      <c r="HG212" s="338"/>
      <c r="HN212" s="68"/>
      <c r="HO212" s="68"/>
      <c r="HP212" s="68"/>
      <c r="HQ212" s="336"/>
      <c r="HR212" s="68"/>
      <c r="HS212" s="68"/>
      <c r="HT212" s="10"/>
      <c r="HW212" s="338"/>
      <c r="HX212" s="338"/>
      <c r="HY212" s="338"/>
      <c r="IC212" s="338"/>
      <c r="ID212" s="338"/>
      <c r="IE212" s="338"/>
      <c r="II212" s="338"/>
      <c r="IJ212" s="338"/>
      <c r="IK212" s="338"/>
      <c r="IO212" s="338"/>
      <c r="IP212" s="338"/>
      <c r="IQ212" s="338"/>
      <c r="IX212" s="68"/>
      <c r="IY212" s="68"/>
      <c r="IZ212" s="68"/>
      <c r="JA212" s="68"/>
      <c r="JB212" s="68"/>
      <c r="JC212" s="68"/>
      <c r="JD212" s="10"/>
      <c r="JG212" s="338"/>
      <c r="JH212" s="338"/>
      <c r="JI212" s="338"/>
      <c r="JM212" s="338"/>
      <c r="JN212" s="338"/>
      <c r="JQ212" s="338"/>
      <c r="JR212" s="338"/>
      <c r="JS212" s="338"/>
      <c r="JW212" s="358"/>
      <c r="JX212" s="336"/>
      <c r="JY212" s="336"/>
      <c r="JZ212" s="336"/>
      <c r="KA212" s="336"/>
      <c r="KB212" s="336"/>
      <c r="KC212" s="336"/>
      <c r="KD212" s="336"/>
      <c r="KE212" s="336"/>
      <c r="KF212" s="336"/>
      <c r="KG212" s="337"/>
      <c r="KH212" s="338"/>
      <c r="KI212" s="338"/>
      <c r="KJ212" s="338"/>
      <c r="KK212" s="338"/>
      <c r="KL212" s="338"/>
      <c r="KM212" s="338"/>
      <c r="KN212" s="338"/>
      <c r="KO212" s="338"/>
      <c r="KP212" s="338"/>
      <c r="KQ212" s="338"/>
      <c r="KR212" s="338"/>
      <c r="KS212" s="338"/>
      <c r="KT212" s="338"/>
      <c r="KU212" s="338"/>
      <c r="KV212" s="338"/>
      <c r="KW212" s="337"/>
      <c r="KX212" s="336"/>
      <c r="KY212" s="336"/>
      <c r="KZ212" s="336"/>
      <c r="LA212" s="336"/>
      <c r="LB212" s="336"/>
      <c r="LC212" s="336"/>
      <c r="LD212" s="336"/>
      <c r="LE212" s="336"/>
      <c r="LF212" s="336"/>
      <c r="LG212" s="336"/>
      <c r="LH212" s="336"/>
      <c r="LI212" s="336"/>
      <c r="LJ212" s="336"/>
      <c r="LK212" s="336"/>
      <c r="LL212" s="336"/>
      <c r="LM212" s="336"/>
      <c r="LN212" s="336"/>
      <c r="LO212" s="336"/>
      <c r="LP212" s="336"/>
      <c r="LQ212" s="337"/>
      <c r="MN212" s="10"/>
      <c r="OA212" s="10"/>
    </row>
    <row r="213" spans="1:391" s="370" customFormat="1" x14ac:dyDescent="0.25">
      <c r="A213" s="68"/>
      <c r="B213" s="10"/>
      <c r="C213" s="68"/>
      <c r="D213" s="68"/>
      <c r="E213" s="68"/>
      <c r="F213" s="68"/>
      <c r="G213" s="68"/>
      <c r="H213" s="68"/>
      <c r="I213" s="68"/>
      <c r="J213" s="68"/>
      <c r="K213" s="68"/>
      <c r="L213" s="68"/>
      <c r="M213" s="68"/>
      <c r="N213" s="68"/>
      <c r="O213" s="68"/>
      <c r="P213" s="68"/>
      <c r="Q213" s="68"/>
      <c r="R213" s="68"/>
      <c r="S213" s="68"/>
      <c r="T213" s="70"/>
      <c r="AC213" s="68"/>
      <c r="AD213" s="70"/>
      <c r="AM213" s="68"/>
      <c r="AN213" s="70"/>
      <c r="AU213" s="68"/>
      <c r="AV213" s="70"/>
      <c r="BB213" s="68"/>
      <c r="BC213" s="70"/>
      <c r="BD213" s="68"/>
      <c r="BE213" s="68"/>
      <c r="BF213" s="68"/>
      <c r="BG213" s="68"/>
      <c r="BH213" s="68"/>
      <c r="BI213" s="68"/>
      <c r="BJ213" s="70"/>
      <c r="BM213" s="68"/>
      <c r="BN213" s="70"/>
      <c r="BT213" s="68"/>
      <c r="BU213" s="70"/>
      <c r="BZ213" s="10"/>
      <c r="CF213" s="10"/>
      <c r="CI213" s="389"/>
      <c r="CJ213" s="389"/>
      <c r="CK213" s="68"/>
      <c r="CL213" s="70"/>
      <c r="CO213" s="10"/>
      <c r="CU213" s="10"/>
      <c r="DA213" s="10"/>
      <c r="DB213" s="70"/>
      <c r="DC213" s="70"/>
      <c r="DF213" s="68"/>
      <c r="DG213" s="70"/>
      <c r="DH213" s="68"/>
      <c r="DI213" s="386"/>
      <c r="DJ213" s="425"/>
      <c r="DL213" s="68"/>
      <c r="DM213" s="70"/>
      <c r="DQ213" s="68"/>
      <c r="DR213" s="70"/>
      <c r="DS213" s="338"/>
      <c r="DT213" s="338"/>
      <c r="DU213" s="338"/>
      <c r="DW213" s="338"/>
      <c r="DX213" s="338"/>
      <c r="DY213" s="338"/>
      <c r="EA213" s="338"/>
      <c r="EB213" s="338"/>
      <c r="EC213" s="338"/>
      <c r="EE213" s="338"/>
      <c r="EF213" s="338"/>
      <c r="EG213" s="338"/>
      <c r="EI213" s="336"/>
      <c r="EJ213" s="336"/>
      <c r="EK213" s="336"/>
      <c r="EL213" s="336"/>
      <c r="EM213" s="336"/>
      <c r="EN213" s="336"/>
      <c r="EO213" s="337"/>
      <c r="EP213" s="342"/>
      <c r="EQ213" s="336"/>
      <c r="ER213" s="342"/>
      <c r="ES213" s="336"/>
      <c r="ET213" s="342"/>
      <c r="EU213" s="336"/>
      <c r="EV213" s="342"/>
      <c r="EW213" s="336"/>
      <c r="EX213" s="342"/>
      <c r="EY213" s="342"/>
      <c r="EZ213" s="342"/>
      <c r="FA213" s="337"/>
      <c r="FE213" s="338"/>
      <c r="FH213" s="338"/>
      <c r="FI213" s="338"/>
      <c r="FJ213" s="338"/>
      <c r="FK213" s="338"/>
      <c r="FL213" s="338"/>
      <c r="FM213" s="337"/>
      <c r="FN213" s="336"/>
      <c r="FO213" s="336"/>
      <c r="FP213" s="336"/>
      <c r="FQ213" s="336"/>
      <c r="FR213" s="336"/>
      <c r="FS213" s="336"/>
      <c r="FT213" s="336"/>
      <c r="FU213" s="336"/>
      <c r="FV213" s="336"/>
      <c r="FW213" s="337"/>
      <c r="FX213" s="532"/>
      <c r="FY213" s="341"/>
      <c r="FZ213" s="341"/>
      <c r="GA213" s="336"/>
      <c r="GB213" s="341"/>
      <c r="GC213" s="341"/>
      <c r="GD213" s="341"/>
      <c r="GE213" s="336"/>
      <c r="GF213" s="336"/>
      <c r="GG213" s="336"/>
      <c r="GH213" s="336"/>
      <c r="GI213" s="336"/>
      <c r="GJ213" s="337"/>
      <c r="GM213" s="338"/>
      <c r="GN213" s="338"/>
      <c r="GO213" s="338"/>
      <c r="GS213" s="338"/>
      <c r="GT213" s="338"/>
      <c r="GU213" s="338"/>
      <c r="GY213" s="338"/>
      <c r="GZ213" s="338"/>
      <c r="HA213" s="338"/>
      <c r="HE213" s="338"/>
      <c r="HF213" s="338"/>
      <c r="HG213" s="338"/>
      <c r="HN213" s="68"/>
      <c r="HO213" s="68"/>
      <c r="HP213" s="68"/>
      <c r="HQ213" s="336"/>
      <c r="HR213" s="68"/>
      <c r="HS213" s="68"/>
      <c r="HT213" s="10"/>
      <c r="HW213" s="338"/>
      <c r="HX213" s="338"/>
      <c r="HY213" s="338"/>
      <c r="IC213" s="338"/>
      <c r="ID213" s="338"/>
      <c r="IE213" s="338"/>
      <c r="II213" s="338"/>
      <c r="IJ213" s="338"/>
      <c r="IK213" s="338"/>
      <c r="IO213" s="338"/>
      <c r="IP213" s="338"/>
      <c r="IQ213" s="338"/>
      <c r="IX213" s="68"/>
      <c r="IY213" s="68"/>
      <c r="IZ213" s="68"/>
      <c r="JA213" s="68"/>
      <c r="JB213" s="68"/>
      <c r="JC213" s="68"/>
      <c r="JD213" s="10"/>
      <c r="JG213" s="338"/>
      <c r="JH213" s="338"/>
      <c r="JI213" s="338"/>
      <c r="JM213" s="338"/>
      <c r="JN213" s="338"/>
      <c r="JQ213" s="338"/>
      <c r="JR213" s="338"/>
      <c r="JS213" s="338"/>
      <c r="JW213" s="358"/>
      <c r="JX213" s="336"/>
      <c r="JY213" s="336"/>
      <c r="JZ213" s="336"/>
      <c r="KA213" s="336"/>
      <c r="KB213" s="336"/>
      <c r="KC213" s="336"/>
      <c r="KD213" s="336"/>
      <c r="KE213" s="336"/>
      <c r="KF213" s="336"/>
      <c r="KG213" s="337"/>
      <c r="KH213" s="338"/>
      <c r="KI213" s="338"/>
      <c r="KJ213" s="338"/>
      <c r="KK213" s="338"/>
      <c r="KL213" s="338"/>
      <c r="KM213" s="338"/>
      <c r="KN213" s="338"/>
      <c r="KO213" s="338"/>
      <c r="KP213" s="338"/>
      <c r="KQ213" s="338"/>
      <c r="KR213" s="338"/>
      <c r="KS213" s="338"/>
      <c r="KT213" s="338"/>
      <c r="KU213" s="338"/>
      <c r="KV213" s="338"/>
      <c r="KW213" s="337"/>
      <c r="KX213" s="336"/>
      <c r="KY213" s="336"/>
      <c r="KZ213" s="336"/>
      <c r="LA213" s="336"/>
      <c r="LB213" s="336"/>
      <c r="LC213" s="336"/>
      <c r="LD213" s="336"/>
      <c r="LE213" s="336"/>
      <c r="LF213" s="336"/>
      <c r="LG213" s="336"/>
      <c r="LH213" s="336"/>
      <c r="LI213" s="336"/>
      <c r="LJ213" s="336"/>
      <c r="LK213" s="336"/>
      <c r="LL213" s="336"/>
      <c r="LM213" s="336"/>
      <c r="LN213" s="336"/>
      <c r="LO213" s="336"/>
      <c r="LP213" s="336"/>
      <c r="LQ213" s="337"/>
      <c r="MN213" s="10"/>
      <c r="OA213" s="10"/>
    </row>
    <row r="214" spans="1:391" s="370" customFormat="1" x14ac:dyDescent="0.25">
      <c r="A214" s="68"/>
      <c r="B214" s="10"/>
      <c r="C214" s="68"/>
      <c r="D214" s="68"/>
      <c r="E214" s="68"/>
      <c r="F214" s="68"/>
      <c r="G214" s="68"/>
      <c r="H214" s="68"/>
      <c r="I214" s="68"/>
      <c r="J214" s="68"/>
      <c r="K214" s="68"/>
      <c r="L214" s="68"/>
      <c r="M214" s="68"/>
      <c r="N214" s="68"/>
      <c r="O214" s="68"/>
      <c r="P214" s="68"/>
      <c r="Q214" s="68"/>
      <c r="R214" s="68"/>
      <c r="S214" s="68"/>
      <c r="T214" s="70"/>
      <c r="AC214" s="68"/>
      <c r="AD214" s="70"/>
      <c r="AM214" s="68"/>
      <c r="AN214" s="70"/>
      <c r="AU214" s="68"/>
      <c r="AV214" s="70"/>
      <c r="BB214" s="68"/>
      <c r="BC214" s="70"/>
      <c r="BD214" s="68"/>
      <c r="BE214" s="68"/>
      <c r="BF214" s="68"/>
      <c r="BG214" s="68"/>
      <c r="BH214" s="68"/>
      <c r="BI214" s="68"/>
      <c r="BJ214" s="70"/>
      <c r="BM214" s="68"/>
      <c r="BN214" s="70"/>
      <c r="BT214" s="68"/>
      <c r="BU214" s="70"/>
      <c r="BZ214" s="10"/>
      <c r="CF214" s="10"/>
      <c r="CI214" s="389"/>
      <c r="CJ214" s="389"/>
      <c r="CK214" s="68"/>
      <c r="CL214" s="70"/>
      <c r="CO214" s="10"/>
      <c r="CU214" s="10"/>
      <c r="DA214" s="10"/>
      <c r="DB214" s="70"/>
      <c r="DC214" s="70"/>
      <c r="DF214" s="68"/>
      <c r="DG214" s="70"/>
      <c r="DH214" s="68"/>
      <c r="DI214" s="386"/>
      <c r="DJ214" s="425"/>
      <c r="DL214" s="68"/>
      <c r="DM214" s="70"/>
      <c r="DQ214" s="68"/>
      <c r="DR214" s="70"/>
      <c r="DS214" s="338"/>
      <c r="DT214" s="338"/>
      <c r="DU214" s="338"/>
      <c r="DW214" s="338"/>
      <c r="DX214" s="338"/>
      <c r="DY214" s="338"/>
      <c r="EA214" s="338"/>
      <c r="EB214" s="338"/>
      <c r="EC214" s="338"/>
      <c r="EE214" s="338"/>
      <c r="EF214" s="338"/>
      <c r="EG214" s="338"/>
      <c r="EI214" s="336"/>
      <c r="EJ214" s="336"/>
      <c r="EK214" s="336"/>
      <c r="EL214" s="336"/>
      <c r="EM214" s="336"/>
      <c r="EN214" s="336"/>
      <c r="EO214" s="337"/>
      <c r="EP214" s="342"/>
      <c r="EQ214" s="336"/>
      <c r="ER214" s="342"/>
      <c r="ES214" s="336"/>
      <c r="ET214" s="342"/>
      <c r="EU214" s="336"/>
      <c r="EV214" s="342"/>
      <c r="EW214" s="336"/>
      <c r="EX214" s="342"/>
      <c r="EY214" s="342"/>
      <c r="EZ214" s="342"/>
      <c r="FA214" s="337"/>
      <c r="FE214" s="338"/>
      <c r="FH214" s="338"/>
      <c r="FI214" s="338"/>
      <c r="FJ214" s="338"/>
      <c r="FK214" s="338"/>
      <c r="FL214" s="338"/>
      <c r="FM214" s="337"/>
      <c r="FN214" s="336"/>
      <c r="FO214" s="336"/>
      <c r="FP214" s="336"/>
      <c r="FQ214" s="336"/>
      <c r="FR214" s="336"/>
      <c r="FS214" s="336"/>
      <c r="FT214" s="336"/>
      <c r="FU214" s="336"/>
      <c r="FV214" s="336"/>
      <c r="FW214" s="337"/>
      <c r="FX214" s="532"/>
      <c r="FY214" s="341"/>
      <c r="FZ214" s="341"/>
      <c r="GA214" s="336"/>
      <c r="GB214" s="341"/>
      <c r="GC214" s="341"/>
      <c r="GD214" s="341"/>
      <c r="GE214" s="336"/>
      <c r="GF214" s="336"/>
      <c r="GG214" s="336"/>
      <c r="GH214" s="336"/>
      <c r="GI214" s="336"/>
      <c r="GJ214" s="337"/>
      <c r="GM214" s="338"/>
      <c r="GN214" s="338"/>
      <c r="GO214" s="338"/>
      <c r="GS214" s="338"/>
      <c r="GT214" s="338"/>
      <c r="GU214" s="338"/>
      <c r="GY214" s="338"/>
      <c r="GZ214" s="338"/>
      <c r="HA214" s="338"/>
      <c r="HE214" s="338"/>
      <c r="HF214" s="338"/>
      <c r="HG214" s="338"/>
      <c r="HN214" s="68"/>
      <c r="HO214" s="68"/>
      <c r="HP214" s="68"/>
      <c r="HQ214" s="336"/>
      <c r="HR214" s="68"/>
      <c r="HS214" s="68"/>
      <c r="HT214" s="10"/>
      <c r="HW214" s="338"/>
      <c r="HX214" s="338"/>
      <c r="HY214" s="338"/>
      <c r="IC214" s="338"/>
      <c r="ID214" s="338"/>
      <c r="IE214" s="338"/>
      <c r="II214" s="338"/>
      <c r="IJ214" s="338"/>
      <c r="IK214" s="338"/>
      <c r="IO214" s="338"/>
      <c r="IP214" s="338"/>
      <c r="IQ214" s="338"/>
      <c r="IX214" s="68"/>
      <c r="IY214" s="68"/>
      <c r="IZ214" s="68"/>
      <c r="JA214" s="68"/>
      <c r="JB214" s="68"/>
      <c r="JC214" s="68"/>
      <c r="JD214" s="10"/>
      <c r="JG214" s="338"/>
      <c r="JH214" s="338"/>
      <c r="JI214" s="338"/>
      <c r="JM214" s="338"/>
      <c r="JN214" s="338"/>
      <c r="JQ214" s="338"/>
      <c r="JR214" s="338"/>
      <c r="JS214" s="338"/>
      <c r="JW214" s="358"/>
      <c r="JX214" s="336"/>
      <c r="JY214" s="336"/>
      <c r="JZ214" s="336"/>
      <c r="KA214" s="336"/>
      <c r="KB214" s="336"/>
      <c r="KC214" s="336"/>
      <c r="KD214" s="336"/>
      <c r="KE214" s="336"/>
      <c r="KF214" s="336"/>
      <c r="KG214" s="337"/>
      <c r="KH214" s="338"/>
      <c r="KI214" s="338"/>
      <c r="KJ214" s="338"/>
      <c r="KK214" s="338"/>
      <c r="KL214" s="338"/>
      <c r="KM214" s="338"/>
      <c r="KN214" s="338"/>
      <c r="KO214" s="338"/>
      <c r="KP214" s="338"/>
      <c r="KQ214" s="338"/>
      <c r="KR214" s="338"/>
      <c r="KS214" s="338"/>
      <c r="KT214" s="338"/>
      <c r="KU214" s="338"/>
      <c r="KV214" s="338"/>
      <c r="KW214" s="337"/>
      <c r="KX214" s="336"/>
      <c r="KY214" s="336"/>
      <c r="KZ214" s="336"/>
      <c r="LA214" s="336"/>
      <c r="LB214" s="336"/>
      <c r="LC214" s="336"/>
      <c r="LD214" s="336"/>
      <c r="LE214" s="336"/>
      <c r="LF214" s="336"/>
      <c r="LG214" s="336"/>
      <c r="LH214" s="336"/>
      <c r="LI214" s="336"/>
      <c r="LJ214" s="336"/>
      <c r="LK214" s="336"/>
      <c r="LL214" s="336"/>
      <c r="LM214" s="336"/>
      <c r="LN214" s="336"/>
      <c r="LO214" s="336"/>
      <c r="LP214" s="336"/>
      <c r="LQ214" s="337"/>
      <c r="MN214" s="10"/>
      <c r="OA214" s="10"/>
    </row>
    <row r="215" spans="1:391" s="370" customFormat="1" x14ac:dyDescent="0.25">
      <c r="A215" s="68"/>
      <c r="B215" s="10"/>
      <c r="C215" s="68"/>
      <c r="D215" s="68"/>
      <c r="E215" s="68"/>
      <c r="F215" s="68"/>
      <c r="G215" s="68"/>
      <c r="H215" s="68"/>
      <c r="I215" s="68"/>
      <c r="J215" s="68"/>
      <c r="K215" s="68"/>
      <c r="L215" s="68"/>
      <c r="M215" s="68"/>
      <c r="N215" s="68"/>
      <c r="O215" s="68"/>
      <c r="P215" s="68"/>
      <c r="Q215" s="68"/>
      <c r="R215" s="68"/>
      <c r="S215" s="68"/>
      <c r="T215" s="70"/>
      <c r="AC215" s="68"/>
      <c r="AD215" s="70"/>
      <c r="AM215" s="68"/>
      <c r="AN215" s="70"/>
      <c r="AU215" s="68"/>
      <c r="AV215" s="70"/>
      <c r="BB215" s="68"/>
      <c r="BC215" s="70"/>
      <c r="BD215" s="68"/>
      <c r="BE215" s="68"/>
      <c r="BF215" s="68"/>
      <c r="BG215" s="68"/>
      <c r="BH215" s="68"/>
      <c r="BI215" s="68"/>
      <c r="BJ215" s="70"/>
      <c r="BM215" s="68"/>
      <c r="BN215" s="70"/>
      <c r="BT215" s="68"/>
      <c r="BU215" s="70"/>
      <c r="BZ215" s="10"/>
      <c r="CF215" s="10"/>
      <c r="CI215" s="389"/>
      <c r="CJ215" s="389"/>
      <c r="CK215" s="68"/>
      <c r="CL215" s="70"/>
      <c r="CO215" s="10"/>
      <c r="CU215" s="10"/>
      <c r="DA215" s="10"/>
      <c r="DB215" s="70"/>
      <c r="DC215" s="70"/>
      <c r="DF215" s="68"/>
      <c r="DG215" s="70"/>
      <c r="DH215" s="68"/>
      <c r="DI215" s="386"/>
      <c r="DJ215" s="425"/>
      <c r="DL215" s="68"/>
      <c r="DM215" s="70"/>
      <c r="DQ215" s="68"/>
      <c r="DR215" s="70"/>
      <c r="DS215" s="338"/>
      <c r="DT215" s="338"/>
      <c r="DU215" s="338"/>
      <c r="DW215" s="338"/>
      <c r="DX215" s="338"/>
      <c r="DY215" s="338"/>
      <c r="EA215" s="338"/>
      <c r="EB215" s="338"/>
      <c r="EC215" s="338"/>
      <c r="EE215" s="338"/>
      <c r="EF215" s="338"/>
      <c r="EG215" s="338"/>
      <c r="EI215" s="336"/>
      <c r="EJ215" s="336"/>
      <c r="EK215" s="336"/>
      <c r="EL215" s="336"/>
      <c r="EM215" s="336"/>
      <c r="EN215" s="336"/>
      <c r="EO215" s="337"/>
      <c r="EP215" s="342"/>
      <c r="EQ215" s="336"/>
      <c r="ER215" s="342"/>
      <c r="ES215" s="336"/>
      <c r="ET215" s="342"/>
      <c r="EU215" s="336"/>
      <c r="EV215" s="342"/>
      <c r="EW215" s="336"/>
      <c r="EX215" s="342"/>
      <c r="EY215" s="342"/>
      <c r="EZ215" s="342"/>
      <c r="FA215" s="337"/>
      <c r="FE215" s="338"/>
      <c r="FH215" s="338"/>
      <c r="FI215" s="338"/>
      <c r="FJ215" s="338"/>
      <c r="FK215" s="338"/>
      <c r="FL215" s="338"/>
      <c r="FM215" s="337"/>
      <c r="FN215" s="336"/>
      <c r="FO215" s="336"/>
      <c r="FP215" s="336"/>
      <c r="FQ215" s="336"/>
      <c r="FR215" s="336"/>
      <c r="FS215" s="336"/>
      <c r="FT215" s="336"/>
      <c r="FU215" s="336"/>
      <c r="FV215" s="336"/>
      <c r="FW215" s="337"/>
      <c r="FX215" s="532"/>
      <c r="FY215" s="341"/>
      <c r="FZ215" s="341"/>
      <c r="GA215" s="336"/>
      <c r="GB215" s="341"/>
      <c r="GC215" s="341"/>
      <c r="GD215" s="341"/>
      <c r="GE215" s="336"/>
      <c r="GF215" s="336"/>
      <c r="GG215" s="336"/>
      <c r="GH215" s="336"/>
      <c r="GI215" s="336"/>
      <c r="GJ215" s="337"/>
      <c r="GM215" s="338"/>
      <c r="GN215" s="338"/>
      <c r="GO215" s="338"/>
      <c r="GS215" s="338"/>
      <c r="GT215" s="338"/>
      <c r="GU215" s="338"/>
      <c r="GY215" s="338"/>
      <c r="GZ215" s="338"/>
      <c r="HA215" s="338"/>
      <c r="HE215" s="338"/>
      <c r="HF215" s="338"/>
      <c r="HG215" s="338"/>
      <c r="HN215" s="68"/>
      <c r="HO215" s="68"/>
      <c r="HP215" s="68"/>
      <c r="HQ215" s="336"/>
      <c r="HR215" s="68"/>
      <c r="HS215" s="68"/>
      <c r="HT215" s="10"/>
      <c r="HW215" s="338"/>
      <c r="HX215" s="338"/>
      <c r="HY215" s="338"/>
      <c r="IC215" s="338"/>
      <c r="ID215" s="338"/>
      <c r="IE215" s="338"/>
      <c r="II215" s="338"/>
      <c r="IJ215" s="338"/>
      <c r="IK215" s="338"/>
      <c r="IO215" s="338"/>
      <c r="IP215" s="338"/>
      <c r="IQ215" s="338"/>
      <c r="IX215" s="68"/>
      <c r="IY215" s="68"/>
      <c r="IZ215" s="68"/>
      <c r="JA215" s="68"/>
      <c r="JB215" s="68"/>
      <c r="JC215" s="68"/>
      <c r="JD215" s="10"/>
      <c r="JG215" s="338"/>
      <c r="JH215" s="338"/>
      <c r="JI215" s="338"/>
      <c r="JM215" s="338"/>
      <c r="JN215" s="338"/>
      <c r="JQ215" s="338"/>
      <c r="JR215" s="338"/>
      <c r="JS215" s="338"/>
      <c r="JW215" s="358"/>
      <c r="JX215" s="336"/>
      <c r="JY215" s="336"/>
      <c r="JZ215" s="336"/>
      <c r="KA215" s="336"/>
      <c r="KB215" s="336"/>
      <c r="KC215" s="336"/>
      <c r="KD215" s="336"/>
      <c r="KE215" s="336"/>
      <c r="KF215" s="336"/>
      <c r="KG215" s="337"/>
      <c r="KH215" s="338"/>
      <c r="KI215" s="338"/>
      <c r="KJ215" s="338"/>
      <c r="KK215" s="338"/>
      <c r="KL215" s="338"/>
      <c r="KM215" s="338"/>
      <c r="KN215" s="338"/>
      <c r="KO215" s="338"/>
      <c r="KP215" s="338"/>
      <c r="KQ215" s="338"/>
      <c r="KR215" s="338"/>
      <c r="KS215" s="338"/>
      <c r="KT215" s="338"/>
      <c r="KU215" s="338"/>
      <c r="KV215" s="338"/>
      <c r="KW215" s="337"/>
      <c r="KX215" s="336"/>
      <c r="KY215" s="336"/>
      <c r="KZ215" s="336"/>
      <c r="LA215" s="336"/>
      <c r="LB215" s="336"/>
      <c r="LC215" s="336"/>
      <c r="LD215" s="336"/>
      <c r="LE215" s="336"/>
      <c r="LF215" s="336"/>
      <c r="LG215" s="336"/>
      <c r="LH215" s="336"/>
      <c r="LI215" s="336"/>
      <c r="LJ215" s="336"/>
      <c r="LK215" s="336"/>
      <c r="LL215" s="336"/>
      <c r="LM215" s="336"/>
      <c r="LN215" s="336"/>
      <c r="LO215" s="336"/>
      <c r="LP215" s="336"/>
      <c r="LQ215" s="337"/>
      <c r="MN215" s="10"/>
      <c r="OA215" s="10"/>
    </row>
    <row r="216" spans="1:391" s="370" customFormat="1" x14ac:dyDescent="0.25">
      <c r="A216" s="68"/>
      <c r="B216" s="10"/>
      <c r="C216" s="68"/>
      <c r="D216" s="68"/>
      <c r="E216" s="68"/>
      <c r="F216" s="68"/>
      <c r="G216" s="68"/>
      <c r="H216" s="68"/>
      <c r="I216" s="68"/>
      <c r="J216" s="68"/>
      <c r="K216" s="68"/>
      <c r="L216" s="68"/>
      <c r="M216" s="68"/>
      <c r="N216" s="68"/>
      <c r="O216" s="68"/>
      <c r="P216" s="68"/>
      <c r="Q216" s="68"/>
      <c r="R216" s="68"/>
      <c r="S216" s="68"/>
      <c r="T216" s="70"/>
      <c r="AC216" s="68"/>
      <c r="AD216" s="70"/>
      <c r="AM216" s="68"/>
      <c r="AN216" s="70"/>
      <c r="AU216" s="68"/>
      <c r="AV216" s="70"/>
      <c r="BB216" s="68"/>
      <c r="BC216" s="70"/>
      <c r="BD216" s="68"/>
      <c r="BE216" s="68"/>
      <c r="BF216" s="68"/>
      <c r="BG216" s="68"/>
      <c r="BH216" s="68"/>
      <c r="BI216" s="68"/>
      <c r="BJ216" s="70"/>
      <c r="BM216" s="68"/>
      <c r="BN216" s="70"/>
      <c r="BT216" s="68"/>
      <c r="BU216" s="70"/>
      <c r="BZ216" s="10"/>
      <c r="CF216" s="10"/>
      <c r="CI216" s="389"/>
      <c r="CJ216" s="389"/>
      <c r="CK216" s="68"/>
      <c r="CL216" s="70"/>
      <c r="CO216" s="10"/>
      <c r="CU216" s="10"/>
      <c r="DA216" s="10"/>
      <c r="DB216" s="70"/>
      <c r="DC216" s="70"/>
      <c r="DF216" s="68"/>
      <c r="DG216" s="70"/>
      <c r="DH216" s="68"/>
      <c r="DI216" s="386"/>
      <c r="DJ216" s="425"/>
      <c r="DL216" s="68"/>
      <c r="DM216" s="70"/>
      <c r="DQ216" s="68"/>
      <c r="DR216" s="70"/>
      <c r="DS216" s="338"/>
      <c r="DT216" s="338"/>
      <c r="DU216" s="338"/>
      <c r="DW216" s="338"/>
      <c r="DX216" s="338"/>
      <c r="DY216" s="338"/>
      <c r="EA216" s="338"/>
      <c r="EB216" s="338"/>
      <c r="EC216" s="338"/>
      <c r="EE216" s="338"/>
      <c r="EF216" s="338"/>
      <c r="EG216" s="338"/>
      <c r="EI216" s="336"/>
      <c r="EJ216" s="336"/>
      <c r="EK216" s="336"/>
      <c r="EL216" s="336"/>
      <c r="EM216" s="336"/>
      <c r="EN216" s="336"/>
      <c r="EO216" s="337"/>
      <c r="EP216" s="342"/>
      <c r="EQ216" s="336"/>
      <c r="ER216" s="342"/>
      <c r="ES216" s="336"/>
      <c r="ET216" s="342"/>
      <c r="EU216" s="336"/>
      <c r="EV216" s="342"/>
      <c r="EW216" s="336"/>
      <c r="EX216" s="342"/>
      <c r="EY216" s="342"/>
      <c r="EZ216" s="342"/>
      <c r="FA216" s="337"/>
      <c r="FE216" s="338"/>
      <c r="FH216" s="338"/>
      <c r="FI216" s="338"/>
      <c r="FJ216" s="338"/>
      <c r="FK216" s="338"/>
      <c r="FL216" s="338"/>
      <c r="FM216" s="337"/>
      <c r="FN216" s="336"/>
      <c r="FO216" s="336"/>
      <c r="FP216" s="336"/>
      <c r="FQ216" s="336"/>
      <c r="FR216" s="336"/>
      <c r="FS216" s="336"/>
      <c r="FT216" s="336"/>
      <c r="FU216" s="336"/>
      <c r="FV216" s="336"/>
      <c r="FW216" s="337"/>
      <c r="FX216" s="532"/>
      <c r="FY216" s="341"/>
      <c r="FZ216" s="341"/>
      <c r="GA216" s="336"/>
      <c r="GB216" s="341"/>
      <c r="GC216" s="341"/>
      <c r="GD216" s="341"/>
      <c r="GE216" s="336"/>
      <c r="GF216" s="336"/>
      <c r="GG216" s="336"/>
      <c r="GH216" s="336"/>
      <c r="GI216" s="336"/>
      <c r="GJ216" s="337"/>
      <c r="GM216" s="338"/>
      <c r="GN216" s="338"/>
      <c r="GO216" s="338"/>
      <c r="GS216" s="338"/>
      <c r="GT216" s="338"/>
      <c r="GU216" s="338"/>
      <c r="GY216" s="338"/>
      <c r="GZ216" s="338"/>
      <c r="HA216" s="338"/>
      <c r="HE216" s="338"/>
      <c r="HF216" s="338"/>
      <c r="HG216" s="338"/>
      <c r="HN216" s="68"/>
      <c r="HO216" s="68"/>
      <c r="HP216" s="68"/>
      <c r="HQ216" s="336"/>
      <c r="HR216" s="68"/>
      <c r="HS216" s="68"/>
      <c r="HT216" s="10"/>
      <c r="HW216" s="338"/>
      <c r="HX216" s="338"/>
      <c r="HY216" s="338"/>
      <c r="IC216" s="338"/>
      <c r="ID216" s="338"/>
      <c r="IE216" s="338"/>
      <c r="II216" s="338"/>
      <c r="IJ216" s="338"/>
      <c r="IK216" s="338"/>
      <c r="IO216" s="338"/>
      <c r="IP216" s="338"/>
      <c r="IQ216" s="338"/>
      <c r="IX216" s="68"/>
      <c r="IY216" s="68"/>
      <c r="IZ216" s="68"/>
      <c r="JA216" s="68"/>
      <c r="JB216" s="68"/>
      <c r="JC216" s="68"/>
      <c r="JD216" s="10"/>
      <c r="JG216" s="338"/>
      <c r="JH216" s="338"/>
      <c r="JI216" s="338"/>
      <c r="JM216" s="338"/>
      <c r="JN216" s="338"/>
      <c r="JQ216" s="338"/>
      <c r="JR216" s="338"/>
      <c r="JS216" s="338"/>
      <c r="JW216" s="358"/>
      <c r="JX216" s="336"/>
      <c r="JY216" s="336"/>
      <c r="JZ216" s="336"/>
      <c r="KA216" s="336"/>
      <c r="KB216" s="336"/>
      <c r="KC216" s="336"/>
      <c r="KD216" s="336"/>
      <c r="KE216" s="336"/>
      <c r="KF216" s="336"/>
      <c r="KG216" s="337"/>
      <c r="KH216" s="338"/>
      <c r="KI216" s="338"/>
      <c r="KJ216" s="338"/>
      <c r="KK216" s="338"/>
      <c r="KL216" s="338"/>
      <c r="KM216" s="338"/>
      <c r="KN216" s="338"/>
      <c r="KO216" s="338"/>
      <c r="KP216" s="338"/>
      <c r="KQ216" s="338"/>
      <c r="KR216" s="338"/>
      <c r="KS216" s="338"/>
      <c r="KT216" s="338"/>
      <c r="KU216" s="338"/>
      <c r="KV216" s="338"/>
      <c r="KW216" s="337"/>
      <c r="KX216" s="336"/>
      <c r="KY216" s="336"/>
      <c r="KZ216" s="336"/>
      <c r="LA216" s="336"/>
      <c r="LB216" s="336"/>
      <c r="LC216" s="336"/>
      <c r="LD216" s="336"/>
      <c r="LE216" s="336"/>
      <c r="LF216" s="336"/>
      <c r="LG216" s="336"/>
      <c r="LH216" s="336"/>
      <c r="LI216" s="336"/>
      <c r="LJ216" s="336"/>
      <c r="LK216" s="336"/>
      <c r="LL216" s="336"/>
      <c r="LM216" s="336"/>
      <c r="LN216" s="336"/>
      <c r="LO216" s="336"/>
      <c r="LP216" s="336"/>
      <c r="LQ216" s="337"/>
      <c r="MN216" s="10"/>
      <c r="OA216" s="10"/>
    </row>
    <row r="217" spans="1:391" s="370" customFormat="1" x14ac:dyDescent="0.25">
      <c r="A217" s="68"/>
      <c r="B217" s="10"/>
      <c r="C217" s="68"/>
      <c r="D217" s="68"/>
      <c r="E217" s="68"/>
      <c r="F217" s="68"/>
      <c r="G217" s="68"/>
      <c r="H217" s="68"/>
      <c r="I217" s="68"/>
      <c r="J217" s="68"/>
      <c r="K217" s="68"/>
      <c r="L217" s="68"/>
      <c r="M217" s="68"/>
      <c r="N217" s="68"/>
      <c r="O217" s="68"/>
      <c r="P217" s="68"/>
      <c r="Q217" s="68"/>
      <c r="R217" s="68"/>
      <c r="S217" s="68"/>
      <c r="T217" s="70"/>
      <c r="AC217" s="68"/>
      <c r="AD217" s="70"/>
      <c r="AM217" s="68"/>
      <c r="AN217" s="70"/>
      <c r="AU217" s="68"/>
      <c r="AV217" s="70"/>
      <c r="BB217" s="68"/>
      <c r="BC217" s="70"/>
      <c r="BD217" s="68"/>
      <c r="BE217" s="68"/>
      <c r="BF217" s="68"/>
      <c r="BG217" s="68"/>
      <c r="BH217" s="68"/>
      <c r="BI217" s="68"/>
      <c r="BJ217" s="70"/>
      <c r="BM217" s="68"/>
      <c r="BN217" s="70"/>
      <c r="BT217" s="68"/>
      <c r="BU217" s="70"/>
      <c r="BZ217" s="10"/>
      <c r="CF217" s="10"/>
      <c r="CI217" s="389"/>
      <c r="CJ217" s="389"/>
      <c r="CK217" s="68"/>
      <c r="CL217" s="70"/>
      <c r="CO217" s="10"/>
      <c r="CU217" s="10"/>
      <c r="DA217" s="10"/>
      <c r="DB217" s="70"/>
      <c r="DC217" s="70"/>
      <c r="DF217" s="68"/>
      <c r="DG217" s="70"/>
      <c r="DH217" s="68"/>
      <c r="DI217" s="386"/>
      <c r="DJ217" s="425"/>
      <c r="DL217" s="68"/>
      <c r="DM217" s="70"/>
      <c r="DQ217" s="68"/>
      <c r="DR217" s="70"/>
      <c r="DS217" s="338"/>
      <c r="DT217" s="338"/>
      <c r="DU217" s="338"/>
      <c r="DW217" s="338"/>
      <c r="DX217" s="338"/>
      <c r="DY217" s="338"/>
      <c r="EA217" s="338"/>
      <c r="EB217" s="338"/>
      <c r="EC217" s="338"/>
      <c r="EE217" s="338"/>
      <c r="EF217" s="338"/>
      <c r="EG217" s="338"/>
      <c r="EI217" s="336"/>
      <c r="EJ217" s="336"/>
      <c r="EK217" s="336"/>
      <c r="EL217" s="336"/>
      <c r="EM217" s="336"/>
      <c r="EN217" s="336"/>
      <c r="EO217" s="337"/>
      <c r="EP217" s="342"/>
      <c r="EQ217" s="336"/>
      <c r="ER217" s="342"/>
      <c r="ES217" s="336"/>
      <c r="ET217" s="342"/>
      <c r="EU217" s="336"/>
      <c r="EV217" s="342"/>
      <c r="EW217" s="336"/>
      <c r="EX217" s="342"/>
      <c r="EY217" s="342"/>
      <c r="EZ217" s="342"/>
      <c r="FA217" s="337"/>
      <c r="FE217" s="338"/>
      <c r="FH217" s="338"/>
      <c r="FI217" s="338"/>
      <c r="FJ217" s="338"/>
      <c r="FK217" s="338"/>
      <c r="FL217" s="338"/>
      <c r="FM217" s="337"/>
      <c r="FN217" s="336"/>
      <c r="FO217" s="336"/>
      <c r="FP217" s="336"/>
      <c r="FQ217" s="336"/>
      <c r="FR217" s="336"/>
      <c r="FS217" s="336"/>
      <c r="FT217" s="336"/>
      <c r="FU217" s="336"/>
      <c r="FV217" s="336"/>
      <c r="FW217" s="337"/>
      <c r="FX217" s="532"/>
      <c r="FY217" s="341"/>
      <c r="FZ217" s="341"/>
      <c r="GA217" s="336"/>
      <c r="GB217" s="341"/>
      <c r="GC217" s="341"/>
      <c r="GD217" s="341"/>
      <c r="GE217" s="336"/>
      <c r="GF217" s="336"/>
      <c r="GG217" s="336"/>
      <c r="GH217" s="336"/>
      <c r="GI217" s="336"/>
      <c r="GJ217" s="337"/>
      <c r="GM217" s="338"/>
      <c r="GN217" s="338"/>
      <c r="GO217" s="338"/>
      <c r="GS217" s="338"/>
      <c r="GT217" s="338"/>
      <c r="GU217" s="338"/>
      <c r="GY217" s="338"/>
      <c r="GZ217" s="338"/>
      <c r="HA217" s="338"/>
      <c r="HE217" s="338"/>
      <c r="HF217" s="338"/>
      <c r="HG217" s="338"/>
      <c r="HN217" s="68"/>
      <c r="HO217" s="68"/>
      <c r="HP217" s="68"/>
      <c r="HQ217" s="336"/>
      <c r="HR217" s="68"/>
      <c r="HS217" s="68"/>
      <c r="HT217" s="10"/>
      <c r="HW217" s="338"/>
      <c r="HX217" s="338"/>
      <c r="HY217" s="338"/>
      <c r="IC217" s="338"/>
      <c r="ID217" s="338"/>
      <c r="IE217" s="338"/>
      <c r="II217" s="338"/>
      <c r="IJ217" s="338"/>
      <c r="IK217" s="338"/>
      <c r="IO217" s="338"/>
      <c r="IP217" s="338"/>
      <c r="IQ217" s="338"/>
      <c r="IX217" s="68"/>
      <c r="IY217" s="68"/>
      <c r="IZ217" s="68"/>
      <c r="JA217" s="68"/>
      <c r="JB217" s="68"/>
      <c r="JC217" s="68"/>
      <c r="JD217" s="10"/>
      <c r="JG217" s="338"/>
      <c r="JH217" s="338"/>
      <c r="JI217" s="338"/>
      <c r="JM217" s="338"/>
      <c r="JN217" s="338"/>
      <c r="JQ217" s="338"/>
      <c r="JR217" s="338"/>
      <c r="JS217" s="338"/>
      <c r="JW217" s="358"/>
      <c r="JX217" s="336"/>
      <c r="JY217" s="336"/>
      <c r="JZ217" s="336"/>
      <c r="KA217" s="336"/>
      <c r="KB217" s="336"/>
      <c r="KC217" s="336"/>
      <c r="KD217" s="336"/>
      <c r="KE217" s="336"/>
      <c r="KF217" s="336"/>
      <c r="KG217" s="337"/>
      <c r="KH217" s="338"/>
      <c r="KI217" s="338"/>
      <c r="KJ217" s="338"/>
      <c r="KK217" s="338"/>
      <c r="KL217" s="338"/>
      <c r="KM217" s="338"/>
      <c r="KN217" s="338"/>
      <c r="KO217" s="338"/>
      <c r="KP217" s="338"/>
      <c r="KQ217" s="338"/>
      <c r="KR217" s="338"/>
      <c r="KS217" s="338"/>
      <c r="KT217" s="338"/>
      <c r="KU217" s="338"/>
      <c r="KV217" s="338"/>
      <c r="KW217" s="337"/>
      <c r="KX217" s="336"/>
      <c r="KY217" s="336"/>
      <c r="KZ217" s="336"/>
      <c r="LA217" s="336"/>
      <c r="LB217" s="336"/>
      <c r="LC217" s="336"/>
      <c r="LD217" s="336"/>
      <c r="LE217" s="336"/>
      <c r="LF217" s="336"/>
      <c r="LG217" s="336"/>
      <c r="LH217" s="336"/>
      <c r="LI217" s="336"/>
      <c r="LJ217" s="336"/>
      <c r="LK217" s="336"/>
      <c r="LL217" s="336"/>
      <c r="LM217" s="336"/>
      <c r="LN217" s="336"/>
      <c r="LO217" s="336"/>
      <c r="LP217" s="336"/>
      <c r="LQ217" s="337"/>
      <c r="MN217" s="10"/>
      <c r="OA217" s="10"/>
    </row>
    <row r="218" spans="1:391" s="370" customFormat="1" x14ac:dyDescent="0.25">
      <c r="A218" s="68"/>
      <c r="B218" s="10"/>
      <c r="C218" s="68"/>
      <c r="D218" s="68"/>
      <c r="E218" s="68"/>
      <c r="F218" s="68"/>
      <c r="G218" s="68"/>
      <c r="H218" s="68"/>
      <c r="I218" s="68"/>
      <c r="J218" s="68"/>
      <c r="K218" s="68"/>
      <c r="L218" s="68"/>
      <c r="M218" s="68"/>
      <c r="N218" s="68"/>
      <c r="O218" s="68"/>
      <c r="P218" s="68"/>
      <c r="Q218" s="68"/>
      <c r="R218" s="68"/>
      <c r="S218" s="68"/>
      <c r="T218" s="70"/>
      <c r="AC218" s="68"/>
      <c r="AD218" s="70"/>
      <c r="AM218" s="68"/>
      <c r="AN218" s="70"/>
      <c r="AU218" s="68"/>
      <c r="AV218" s="70"/>
      <c r="BB218" s="68"/>
      <c r="BC218" s="70"/>
      <c r="BD218" s="68"/>
      <c r="BE218" s="68"/>
      <c r="BF218" s="68"/>
      <c r="BG218" s="68"/>
      <c r="BH218" s="68"/>
      <c r="BI218" s="68"/>
      <c r="BJ218" s="70"/>
      <c r="BM218" s="68"/>
      <c r="BN218" s="70"/>
      <c r="BT218" s="68"/>
      <c r="BU218" s="70"/>
      <c r="BZ218" s="10"/>
      <c r="CF218" s="10"/>
      <c r="CI218" s="389"/>
      <c r="CJ218" s="389"/>
      <c r="CK218" s="68"/>
      <c r="CL218" s="70"/>
      <c r="CO218" s="10"/>
      <c r="CU218" s="10"/>
      <c r="DA218" s="10"/>
      <c r="DB218" s="70"/>
      <c r="DC218" s="70"/>
      <c r="DF218" s="68"/>
      <c r="DG218" s="70"/>
      <c r="DH218" s="68"/>
      <c r="DI218" s="386"/>
      <c r="DJ218" s="425"/>
      <c r="DL218" s="68"/>
      <c r="DM218" s="70"/>
      <c r="DQ218" s="68"/>
      <c r="DR218" s="70"/>
      <c r="DS218" s="338"/>
      <c r="DT218" s="338"/>
      <c r="DU218" s="338"/>
      <c r="DW218" s="338"/>
      <c r="DX218" s="338"/>
      <c r="DY218" s="338"/>
      <c r="EA218" s="338"/>
      <c r="EB218" s="338"/>
      <c r="EC218" s="338"/>
      <c r="EE218" s="338"/>
      <c r="EF218" s="338"/>
      <c r="EG218" s="338"/>
      <c r="EI218" s="336"/>
      <c r="EJ218" s="336"/>
      <c r="EK218" s="336"/>
      <c r="EL218" s="336"/>
      <c r="EM218" s="336"/>
      <c r="EN218" s="336"/>
      <c r="EO218" s="337"/>
      <c r="EP218" s="342"/>
      <c r="EQ218" s="336"/>
      <c r="ER218" s="342"/>
      <c r="ES218" s="336"/>
      <c r="ET218" s="342"/>
      <c r="EU218" s="336"/>
      <c r="EV218" s="342"/>
      <c r="EW218" s="336"/>
      <c r="EX218" s="342"/>
      <c r="EY218" s="342"/>
      <c r="EZ218" s="342"/>
      <c r="FA218" s="337"/>
      <c r="FE218" s="338"/>
      <c r="FH218" s="338"/>
      <c r="FI218" s="338"/>
      <c r="FJ218" s="338"/>
      <c r="FK218" s="338"/>
      <c r="FL218" s="338"/>
      <c r="FM218" s="337"/>
      <c r="FN218" s="336"/>
      <c r="FO218" s="336"/>
      <c r="FP218" s="336"/>
      <c r="FQ218" s="336"/>
      <c r="FR218" s="336"/>
      <c r="FS218" s="336"/>
      <c r="FT218" s="336"/>
      <c r="FU218" s="336"/>
      <c r="FV218" s="336"/>
      <c r="FW218" s="337"/>
      <c r="FX218" s="532"/>
      <c r="FY218" s="341"/>
      <c r="FZ218" s="341"/>
      <c r="GA218" s="336"/>
      <c r="GB218" s="341"/>
      <c r="GC218" s="341"/>
      <c r="GD218" s="341"/>
      <c r="GE218" s="336"/>
      <c r="GF218" s="336"/>
      <c r="GG218" s="336"/>
      <c r="GH218" s="336"/>
      <c r="GI218" s="336"/>
      <c r="GJ218" s="337"/>
      <c r="GM218" s="338"/>
      <c r="GN218" s="338"/>
      <c r="GO218" s="338"/>
      <c r="GS218" s="338"/>
      <c r="GT218" s="338"/>
      <c r="GU218" s="338"/>
      <c r="GY218" s="338"/>
      <c r="GZ218" s="338"/>
      <c r="HA218" s="338"/>
      <c r="HE218" s="338"/>
      <c r="HF218" s="338"/>
      <c r="HG218" s="338"/>
      <c r="HN218" s="68"/>
      <c r="HO218" s="68"/>
      <c r="HP218" s="68"/>
      <c r="HQ218" s="336"/>
      <c r="HR218" s="68"/>
      <c r="HS218" s="68"/>
      <c r="HT218" s="10"/>
      <c r="HW218" s="338"/>
      <c r="HX218" s="338"/>
      <c r="HY218" s="338"/>
      <c r="IC218" s="338"/>
      <c r="ID218" s="338"/>
      <c r="IE218" s="338"/>
      <c r="II218" s="338"/>
      <c r="IJ218" s="338"/>
      <c r="IK218" s="338"/>
      <c r="IO218" s="338"/>
      <c r="IP218" s="338"/>
      <c r="IQ218" s="338"/>
      <c r="IX218" s="68"/>
      <c r="IY218" s="68"/>
      <c r="IZ218" s="68"/>
      <c r="JA218" s="68"/>
      <c r="JB218" s="68"/>
      <c r="JC218" s="68"/>
      <c r="JD218" s="10"/>
      <c r="JG218" s="338"/>
      <c r="JH218" s="338"/>
      <c r="JI218" s="338"/>
      <c r="JM218" s="338"/>
      <c r="JN218" s="338"/>
      <c r="JQ218" s="338"/>
      <c r="JR218" s="338"/>
      <c r="JS218" s="338"/>
      <c r="JW218" s="358"/>
      <c r="JX218" s="336"/>
      <c r="JY218" s="336"/>
      <c r="JZ218" s="336"/>
      <c r="KA218" s="336"/>
      <c r="KB218" s="336"/>
      <c r="KC218" s="336"/>
      <c r="KD218" s="336"/>
      <c r="KE218" s="336"/>
      <c r="KF218" s="336"/>
      <c r="KG218" s="337"/>
      <c r="KH218" s="338"/>
      <c r="KI218" s="338"/>
      <c r="KJ218" s="338"/>
      <c r="KK218" s="338"/>
      <c r="KL218" s="338"/>
      <c r="KM218" s="338"/>
      <c r="KN218" s="338"/>
      <c r="KO218" s="338"/>
      <c r="KP218" s="338"/>
      <c r="KQ218" s="338"/>
      <c r="KR218" s="338"/>
      <c r="KS218" s="338"/>
      <c r="KT218" s="338"/>
      <c r="KU218" s="338"/>
      <c r="KV218" s="338"/>
      <c r="KW218" s="337"/>
      <c r="KX218" s="336"/>
      <c r="KY218" s="336"/>
      <c r="KZ218" s="336"/>
      <c r="LA218" s="336"/>
      <c r="LB218" s="336"/>
      <c r="LC218" s="336"/>
      <c r="LD218" s="336"/>
      <c r="LE218" s="336"/>
      <c r="LF218" s="336"/>
      <c r="LG218" s="336"/>
      <c r="LH218" s="336"/>
      <c r="LI218" s="336"/>
      <c r="LJ218" s="336"/>
      <c r="LK218" s="336"/>
      <c r="LL218" s="336"/>
      <c r="LM218" s="336"/>
      <c r="LN218" s="336"/>
      <c r="LO218" s="336"/>
      <c r="LP218" s="336"/>
      <c r="LQ218" s="337"/>
      <c r="MN218" s="10"/>
      <c r="OA218" s="10"/>
    </row>
    <row r="219" spans="1:391" s="370" customFormat="1" x14ac:dyDescent="0.25">
      <c r="A219" s="68"/>
      <c r="B219" s="10"/>
      <c r="C219" s="68"/>
      <c r="D219" s="68"/>
      <c r="E219" s="68"/>
      <c r="F219" s="68"/>
      <c r="G219" s="68"/>
      <c r="H219" s="68"/>
      <c r="I219" s="68"/>
      <c r="J219" s="68"/>
      <c r="K219" s="68"/>
      <c r="L219" s="68"/>
      <c r="M219" s="68"/>
      <c r="N219" s="68"/>
      <c r="O219" s="68"/>
      <c r="P219" s="68"/>
      <c r="Q219" s="68"/>
      <c r="R219" s="68"/>
      <c r="S219" s="68"/>
      <c r="T219" s="70"/>
      <c r="AC219" s="68"/>
      <c r="AD219" s="70"/>
      <c r="AM219" s="68"/>
      <c r="AN219" s="70"/>
      <c r="AU219" s="68"/>
      <c r="AV219" s="70"/>
      <c r="BB219" s="68"/>
      <c r="BC219" s="70"/>
      <c r="BD219" s="68"/>
      <c r="BE219" s="68"/>
      <c r="BF219" s="68"/>
      <c r="BG219" s="68"/>
      <c r="BH219" s="68"/>
      <c r="BI219" s="68"/>
      <c r="BJ219" s="70"/>
      <c r="BM219" s="68"/>
      <c r="BN219" s="70"/>
      <c r="BT219" s="68"/>
      <c r="BU219" s="70"/>
      <c r="BZ219" s="10"/>
      <c r="CF219" s="10"/>
      <c r="CI219" s="389"/>
      <c r="CJ219" s="389"/>
      <c r="CK219" s="68"/>
      <c r="CL219" s="70"/>
      <c r="CO219" s="10"/>
      <c r="CU219" s="10"/>
      <c r="DA219" s="10"/>
      <c r="DB219" s="70"/>
      <c r="DC219" s="70"/>
      <c r="DF219" s="68"/>
      <c r="DG219" s="70"/>
      <c r="DH219" s="68"/>
      <c r="DI219" s="386"/>
      <c r="DJ219" s="425"/>
      <c r="DL219" s="68"/>
      <c r="DM219" s="70"/>
      <c r="DQ219" s="68"/>
      <c r="DR219" s="70"/>
      <c r="DS219" s="338"/>
      <c r="DT219" s="338"/>
      <c r="DU219" s="338"/>
      <c r="DW219" s="338"/>
      <c r="DX219" s="338"/>
      <c r="DY219" s="338"/>
      <c r="EA219" s="338"/>
      <c r="EB219" s="338"/>
      <c r="EC219" s="338"/>
      <c r="EE219" s="338"/>
      <c r="EF219" s="338"/>
      <c r="EG219" s="338"/>
      <c r="EI219" s="336"/>
      <c r="EJ219" s="336"/>
      <c r="EK219" s="336"/>
      <c r="EL219" s="336"/>
      <c r="EM219" s="336"/>
      <c r="EN219" s="336"/>
      <c r="EO219" s="337"/>
      <c r="EP219" s="342"/>
      <c r="EQ219" s="336"/>
      <c r="ER219" s="342"/>
      <c r="ES219" s="336"/>
      <c r="ET219" s="342"/>
      <c r="EU219" s="336"/>
      <c r="EV219" s="342"/>
      <c r="EW219" s="336"/>
      <c r="EX219" s="342"/>
      <c r="EY219" s="342"/>
      <c r="EZ219" s="342"/>
      <c r="FA219" s="337"/>
      <c r="FE219" s="338"/>
      <c r="FH219" s="338"/>
      <c r="FI219" s="338"/>
      <c r="FJ219" s="338"/>
      <c r="FK219" s="338"/>
      <c r="FL219" s="338"/>
      <c r="FM219" s="337"/>
      <c r="FN219" s="336"/>
      <c r="FO219" s="336"/>
      <c r="FP219" s="336"/>
      <c r="FQ219" s="336"/>
      <c r="FR219" s="336"/>
      <c r="FS219" s="336"/>
      <c r="FT219" s="336"/>
      <c r="FU219" s="336"/>
      <c r="FV219" s="336"/>
      <c r="FW219" s="337"/>
      <c r="FX219" s="532"/>
      <c r="FY219" s="341"/>
      <c r="FZ219" s="341"/>
      <c r="GA219" s="336"/>
      <c r="GB219" s="341"/>
      <c r="GC219" s="341"/>
      <c r="GD219" s="341"/>
      <c r="GE219" s="336"/>
      <c r="GF219" s="336"/>
      <c r="GG219" s="336"/>
      <c r="GH219" s="336"/>
      <c r="GI219" s="336"/>
      <c r="GJ219" s="337"/>
      <c r="GM219" s="338"/>
      <c r="GN219" s="338"/>
      <c r="GO219" s="338"/>
      <c r="GS219" s="338"/>
      <c r="GT219" s="338"/>
      <c r="GU219" s="338"/>
      <c r="GY219" s="338"/>
      <c r="GZ219" s="338"/>
      <c r="HA219" s="338"/>
      <c r="HE219" s="338"/>
      <c r="HF219" s="338"/>
      <c r="HG219" s="338"/>
      <c r="HN219" s="68"/>
      <c r="HO219" s="68"/>
      <c r="HP219" s="68"/>
      <c r="HQ219" s="336"/>
      <c r="HR219" s="68"/>
      <c r="HS219" s="68"/>
      <c r="HT219" s="10"/>
      <c r="HW219" s="338"/>
      <c r="HX219" s="338"/>
      <c r="HY219" s="338"/>
      <c r="IC219" s="338"/>
      <c r="ID219" s="338"/>
      <c r="IE219" s="338"/>
      <c r="II219" s="338"/>
      <c r="IJ219" s="338"/>
      <c r="IK219" s="338"/>
      <c r="IO219" s="338"/>
      <c r="IP219" s="338"/>
      <c r="IQ219" s="338"/>
      <c r="IX219" s="68"/>
      <c r="IY219" s="68"/>
      <c r="IZ219" s="68"/>
      <c r="JA219" s="68"/>
      <c r="JB219" s="68"/>
      <c r="JC219" s="68"/>
      <c r="JD219" s="10"/>
      <c r="JG219" s="338"/>
      <c r="JH219" s="338"/>
      <c r="JI219" s="338"/>
      <c r="JM219" s="338"/>
      <c r="JN219" s="338"/>
      <c r="JQ219" s="338"/>
      <c r="JR219" s="338"/>
      <c r="JS219" s="338"/>
      <c r="JW219" s="358"/>
      <c r="JX219" s="336"/>
      <c r="JY219" s="336"/>
      <c r="JZ219" s="336"/>
      <c r="KA219" s="336"/>
      <c r="KB219" s="336"/>
      <c r="KC219" s="336"/>
      <c r="KD219" s="336"/>
      <c r="KE219" s="336"/>
      <c r="KF219" s="336"/>
      <c r="KG219" s="337"/>
      <c r="KH219" s="338"/>
      <c r="KI219" s="338"/>
      <c r="KJ219" s="338"/>
      <c r="KK219" s="338"/>
      <c r="KL219" s="338"/>
      <c r="KM219" s="338"/>
      <c r="KN219" s="338"/>
      <c r="KO219" s="338"/>
      <c r="KP219" s="338"/>
      <c r="KQ219" s="338"/>
      <c r="KR219" s="338"/>
      <c r="KS219" s="338"/>
      <c r="KT219" s="338"/>
      <c r="KU219" s="338"/>
      <c r="KV219" s="338"/>
      <c r="KW219" s="337"/>
      <c r="KX219" s="336"/>
      <c r="KY219" s="336"/>
      <c r="KZ219" s="336"/>
      <c r="LA219" s="336"/>
      <c r="LB219" s="336"/>
      <c r="LC219" s="336"/>
      <c r="LD219" s="336"/>
      <c r="LE219" s="336"/>
      <c r="LF219" s="336"/>
      <c r="LG219" s="336"/>
      <c r="LH219" s="336"/>
      <c r="LI219" s="336"/>
      <c r="LJ219" s="336"/>
      <c r="LK219" s="336"/>
      <c r="LL219" s="336"/>
      <c r="LM219" s="336"/>
      <c r="LN219" s="336"/>
      <c r="LO219" s="336"/>
      <c r="LP219" s="336"/>
      <c r="LQ219" s="337"/>
      <c r="MN219" s="10"/>
      <c r="OA219" s="10"/>
    </row>
    <row r="220" spans="1:391" s="370" customFormat="1" x14ac:dyDescent="0.25">
      <c r="A220" s="68"/>
      <c r="B220" s="10"/>
      <c r="C220" s="68"/>
      <c r="D220" s="68"/>
      <c r="E220" s="68"/>
      <c r="F220" s="68"/>
      <c r="G220" s="68"/>
      <c r="H220" s="68"/>
      <c r="I220" s="68"/>
      <c r="J220" s="68"/>
      <c r="K220" s="68"/>
      <c r="L220" s="68"/>
      <c r="M220" s="68"/>
      <c r="N220" s="68"/>
      <c r="O220" s="68"/>
      <c r="P220" s="68"/>
      <c r="Q220" s="68"/>
      <c r="R220" s="68"/>
      <c r="S220" s="68"/>
      <c r="T220" s="70"/>
      <c r="AC220" s="68"/>
      <c r="AD220" s="70"/>
      <c r="AM220" s="68"/>
      <c r="AN220" s="70"/>
      <c r="AU220" s="68"/>
      <c r="AV220" s="70"/>
      <c r="BB220" s="68"/>
      <c r="BC220" s="70"/>
      <c r="BD220" s="68"/>
      <c r="BE220" s="68"/>
      <c r="BF220" s="68"/>
      <c r="BG220" s="68"/>
      <c r="BH220" s="68"/>
      <c r="BI220" s="68"/>
      <c r="BJ220" s="70"/>
      <c r="BM220" s="68"/>
      <c r="BN220" s="70"/>
      <c r="BT220" s="68"/>
      <c r="BU220" s="70"/>
      <c r="BZ220" s="10"/>
      <c r="CF220" s="10"/>
      <c r="CI220" s="389"/>
      <c r="CJ220" s="389"/>
      <c r="CK220" s="68"/>
      <c r="CL220" s="70"/>
      <c r="CO220" s="10"/>
      <c r="CU220" s="10"/>
      <c r="DA220" s="10"/>
      <c r="DB220" s="70"/>
      <c r="DC220" s="70"/>
      <c r="DF220" s="68"/>
      <c r="DG220" s="70"/>
      <c r="DH220" s="68"/>
      <c r="DI220" s="386"/>
      <c r="DJ220" s="425"/>
      <c r="DL220" s="68"/>
      <c r="DM220" s="70"/>
      <c r="DQ220" s="68"/>
      <c r="DR220" s="70"/>
      <c r="DS220" s="338"/>
      <c r="DT220" s="338"/>
      <c r="DU220" s="338"/>
      <c r="DW220" s="338"/>
      <c r="DX220" s="338"/>
      <c r="DY220" s="338"/>
      <c r="EA220" s="338"/>
      <c r="EB220" s="338"/>
      <c r="EC220" s="338"/>
      <c r="EE220" s="338"/>
      <c r="EF220" s="338"/>
      <c r="EG220" s="338"/>
      <c r="EI220" s="336"/>
      <c r="EJ220" s="336"/>
      <c r="EK220" s="336"/>
      <c r="EL220" s="336"/>
      <c r="EM220" s="336"/>
      <c r="EN220" s="336"/>
      <c r="EO220" s="337"/>
      <c r="EP220" s="342"/>
      <c r="EQ220" s="336"/>
      <c r="ER220" s="342"/>
      <c r="ES220" s="336"/>
      <c r="ET220" s="342"/>
      <c r="EU220" s="336"/>
      <c r="EV220" s="342"/>
      <c r="EW220" s="336"/>
      <c r="EX220" s="342"/>
      <c r="EY220" s="342"/>
      <c r="EZ220" s="342"/>
      <c r="FA220" s="337"/>
      <c r="FE220" s="338"/>
      <c r="FH220" s="338"/>
      <c r="FI220" s="338"/>
      <c r="FJ220" s="338"/>
      <c r="FK220" s="338"/>
      <c r="FL220" s="338"/>
      <c r="FM220" s="337"/>
      <c r="FN220" s="336"/>
      <c r="FO220" s="336"/>
      <c r="FP220" s="336"/>
      <c r="FQ220" s="336"/>
      <c r="FR220" s="336"/>
      <c r="FS220" s="336"/>
      <c r="FT220" s="336"/>
      <c r="FU220" s="336"/>
      <c r="FV220" s="336"/>
      <c r="FW220" s="337"/>
      <c r="FX220" s="532"/>
      <c r="FY220" s="341"/>
      <c r="FZ220" s="341"/>
      <c r="GA220" s="336"/>
      <c r="GB220" s="341"/>
      <c r="GC220" s="341"/>
      <c r="GD220" s="341"/>
      <c r="GE220" s="336"/>
      <c r="GF220" s="336"/>
      <c r="GG220" s="336"/>
      <c r="GH220" s="336"/>
      <c r="GI220" s="336"/>
      <c r="GJ220" s="337"/>
      <c r="GM220" s="338"/>
      <c r="GN220" s="338"/>
      <c r="GO220" s="338"/>
      <c r="GS220" s="338"/>
      <c r="GT220" s="338"/>
      <c r="GU220" s="338"/>
      <c r="GY220" s="338"/>
      <c r="GZ220" s="338"/>
      <c r="HA220" s="338"/>
      <c r="HE220" s="338"/>
      <c r="HF220" s="338"/>
      <c r="HG220" s="338"/>
      <c r="HN220" s="68"/>
      <c r="HO220" s="68"/>
      <c r="HP220" s="68"/>
      <c r="HQ220" s="336"/>
      <c r="HR220" s="68"/>
      <c r="HS220" s="68"/>
      <c r="HT220" s="10"/>
      <c r="HW220" s="338"/>
      <c r="HX220" s="338"/>
      <c r="HY220" s="338"/>
      <c r="IC220" s="338"/>
      <c r="ID220" s="338"/>
      <c r="IE220" s="338"/>
      <c r="II220" s="338"/>
      <c r="IJ220" s="338"/>
      <c r="IK220" s="338"/>
      <c r="IO220" s="338"/>
      <c r="IP220" s="338"/>
      <c r="IQ220" s="338"/>
      <c r="IX220" s="68"/>
      <c r="IY220" s="68"/>
      <c r="IZ220" s="68"/>
      <c r="JA220" s="68"/>
      <c r="JB220" s="68"/>
      <c r="JC220" s="68"/>
      <c r="JD220" s="10"/>
      <c r="JG220" s="338"/>
      <c r="JH220" s="338"/>
      <c r="JI220" s="338"/>
      <c r="JM220" s="338"/>
      <c r="JN220" s="338"/>
      <c r="JQ220" s="338"/>
      <c r="JR220" s="338"/>
      <c r="JS220" s="338"/>
      <c r="JW220" s="358"/>
      <c r="JX220" s="336"/>
      <c r="JY220" s="336"/>
      <c r="JZ220" s="336"/>
      <c r="KA220" s="336"/>
      <c r="KB220" s="336"/>
      <c r="KC220" s="336"/>
      <c r="KD220" s="336"/>
      <c r="KE220" s="336"/>
      <c r="KF220" s="336"/>
      <c r="KG220" s="337"/>
      <c r="KH220" s="338"/>
      <c r="KI220" s="338"/>
      <c r="KJ220" s="338"/>
      <c r="KK220" s="338"/>
      <c r="KL220" s="338"/>
      <c r="KM220" s="338"/>
      <c r="KN220" s="338"/>
      <c r="KO220" s="338"/>
      <c r="KP220" s="338"/>
      <c r="KQ220" s="338"/>
      <c r="KR220" s="338"/>
      <c r="KS220" s="338"/>
      <c r="KT220" s="338"/>
      <c r="KU220" s="338"/>
      <c r="KV220" s="338"/>
      <c r="KW220" s="337"/>
      <c r="KX220" s="336"/>
      <c r="KY220" s="336"/>
      <c r="KZ220" s="336"/>
      <c r="LA220" s="336"/>
      <c r="LB220" s="336"/>
      <c r="LC220" s="336"/>
      <c r="LD220" s="336"/>
      <c r="LE220" s="336"/>
      <c r="LF220" s="336"/>
      <c r="LG220" s="336"/>
      <c r="LH220" s="336"/>
      <c r="LI220" s="336"/>
      <c r="LJ220" s="336"/>
      <c r="LK220" s="336"/>
      <c r="LL220" s="336"/>
      <c r="LM220" s="336"/>
      <c r="LN220" s="336"/>
      <c r="LO220" s="336"/>
      <c r="LP220" s="336"/>
      <c r="LQ220" s="337"/>
      <c r="MN220" s="10"/>
      <c r="OA220" s="10"/>
    </row>
    <row r="221" spans="1:391" s="370" customFormat="1" x14ac:dyDescent="0.25">
      <c r="A221" s="68"/>
      <c r="B221" s="10"/>
      <c r="C221" s="68"/>
      <c r="D221" s="68"/>
      <c r="E221" s="68"/>
      <c r="F221" s="68"/>
      <c r="G221" s="68"/>
      <c r="H221" s="68"/>
      <c r="I221" s="68"/>
      <c r="J221" s="68"/>
      <c r="K221" s="68"/>
      <c r="L221" s="68"/>
      <c r="M221" s="68"/>
      <c r="N221" s="68"/>
      <c r="O221" s="68"/>
      <c r="P221" s="68"/>
      <c r="Q221" s="68"/>
      <c r="R221" s="68"/>
      <c r="S221" s="68"/>
      <c r="T221" s="70"/>
      <c r="AC221" s="68"/>
      <c r="AD221" s="70"/>
      <c r="AM221" s="68"/>
      <c r="AN221" s="70"/>
      <c r="AU221" s="68"/>
      <c r="AV221" s="70"/>
      <c r="BB221" s="68"/>
      <c r="BC221" s="70"/>
      <c r="BD221" s="68"/>
      <c r="BE221" s="68"/>
      <c r="BF221" s="68"/>
      <c r="BG221" s="68"/>
      <c r="BH221" s="68"/>
      <c r="BI221" s="68"/>
      <c r="BJ221" s="70"/>
      <c r="BM221" s="68"/>
      <c r="BN221" s="70"/>
      <c r="BT221" s="68"/>
      <c r="BU221" s="70"/>
      <c r="BZ221" s="10"/>
      <c r="CF221" s="10"/>
      <c r="CI221" s="389"/>
      <c r="CJ221" s="389"/>
      <c r="CK221" s="68"/>
      <c r="CL221" s="70"/>
      <c r="CO221" s="10"/>
      <c r="CU221" s="10"/>
      <c r="DA221" s="10"/>
      <c r="DB221" s="70"/>
      <c r="DC221" s="70"/>
      <c r="DF221" s="68"/>
      <c r="DG221" s="70"/>
      <c r="DH221" s="68"/>
      <c r="DI221" s="386"/>
      <c r="DJ221" s="425"/>
      <c r="DL221" s="68"/>
      <c r="DM221" s="70"/>
      <c r="DQ221" s="68"/>
      <c r="DR221" s="70"/>
      <c r="DS221" s="338"/>
      <c r="DT221" s="338"/>
      <c r="DU221" s="338"/>
      <c r="DW221" s="338"/>
      <c r="DX221" s="338"/>
      <c r="DY221" s="338"/>
      <c r="EA221" s="338"/>
      <c r="EB221" s="338"/>
      <c r="EC221" s="338"/>
      <c r="EE221" s="338"/>
      <c r="EF221" s="338"/>
      <c r="EG221" s="338"/>
      <c r="EI221" s="336"/>
      <c r="EJ221" s="336"/>
      <c r="EK221" s="336"/>
      <c r="EL221" s="336"/>
      <c r="EM221" s="336"/>
      <c r="EN221" s="336"/>
      <c r="EO221" s="337"/>
      <c r="EP221" s="342"/>
      <c r="EQ221" s="336"/>
      <c r="ER221" s="342"/>
      <c r="ES221" s="336"/>
      <c r="ET221" s="342"/>
      <c r="EU221" s="336"/>
      <c r="EV221" s="342"/>
      <c r="EW221" s="336"/>
      <c r="EX221" s="342"/>
      <c r="EY221" s="342"/>
      <c r="EZ221" s="342"/>
      <c r="FA221" s="337"/>
      <c r="FE221" s="338"/>
      <c r="FH221" s="338"/>
      <c r="FI221" s="338"/>
      <c r="FJ221" s="338"/>
      <c r="FK221" s="338"/>
      <c r="FL221" s="338"/>
      <c r="FM221" s="337"/>
      <c r="FN221" s="336"/>
      <c r="FO221" s="336"/>
      <c r="FP221" s="336"/>
      <c r="FQ221" s="336"/>
      <c r="FR221" s="336"/>
      <c r="FS221" s="336"/>
      <c r="FT221" s="336"/>
      <c r="FU221" s="336"/>
      <c r="FV221" s="336"/>
      <c r="FW221" s="337"/>
      <c r="FX221" s="532"/>
      <c r="FY221" s="341"/>
      <c r="FZ221" s="341"/>
      <c r="GA221" s="336"/>
      <c r="GB221" s="341"/>
      <c r="GC221" s="341"/>
      <c r="GD221" s="341"/>
      <c r="GE221" s="336"/>
      <c r="GF221" s="336"/>
      <c r="GG221" s="336"/>
      <c r="GH221" s="336"/>
      <c r="GI221" s="336"/>
      <c r="GJ221" s="337"/>
      <c r="GM221" s="338"/>
      <c r="GN221" s="338"/>
      <c r="GO221" s="338"/>
      <c r="GS221" s="338"/>
      <c r="GT221" s="338"/>
      <c r="GU221" s="338"/>
      <c r="GY221" s="338"/>
      <c r="GZ221" s="338"/>
      <c r="HA221" s="338"/>
      <c r="HE221" s="338"/>
      <c r="HF221" s="338"/>
      <c r="HG221" s="338"/>
      <c r="HN221" s="68"/>
      <c r="HO221" s="68"/>
      <c r="HP221" s="68"/>
      <c r="HQ221" s="336"/>
      <c r="HR221" s="68"/>
      <c r="HS221" s="68"/>
      <c r="HT221" s="10"/>
      <c r="HW221" s="338"/>
      <c r="HX221" s="338"/>
      <c r="HY221" s="338"/>
      <c r="IC221" s="338"/>
      <c r="ID221" s="338"/>
      <c r="IE221" s="338"/>
      <c r="II221" s="338"/>
      <c r="IJ221" s="338"/>
      <c r="IK221" s="338"/>
      <c r="IO221" s="338"/>
      <c r="IP221" s="338"/>
      <c r="IQ221" s="338"/>
      <c r="IX221" s="68"/>
      <c r="IY221" s="68"/>
      <c r="IZ221" s="68"/>
      <c r="JA221" s="68"/>
      <c r="JB221" s="68"/>
      <c r="JC221" s="68"/>
      <c r="JD221" s="10"/>
      <c r="JG221" s="338"/>
      <c r="JH221" s="338"/>
      <c r="JI221" s="338"/>
      <c r="JM221" s="338"/>
      <c r="JN221" s="338"/>
      <c r="JQ221" s="338"/>
      <c r="JR221" s="338"/>
      <c r="JS221" s="338"/>
      <c r="JW221" s="358"/>
      <c r="JX221" s="336"/>
      <c r="JY221" s="336"/>
      <c r="JZ221" s="336"/>
      <c r="KA221" s="336"/>
      <c r="KB221" s="336"/>
      <c r="KC221" s="336"/>
      <c r="KD221" s="336"/>
      <c r="KE221" s="336"/>
      <c r="KF221" s="336"/>
      <c r="KG221" s="337"/>
      <c r="KH221" s="338"/>
      <c r="KI221" s="338"/>
      <c r="KJ221" s="338"/>
      <c r="KK221" s="338"/>
      <c r="KL221" s="338"/>
      <c r="KM221" s="338"/>
      <c r="KN221" s="338"/>
      <c r="KO221" s="338"/>
      <c r="KP221" s="338"/>
      <c r="KQ221" s="338"/>
      <c r="KR221" s="338"/>
      <c r="KS221" s="338"/>
      <c r="KT221" s="338"/>
      <c r="KU221" s="338"/>
      <c r="KV221" s="338"/>
      <c r="KW221" s="337"/>
      <c r="KX221" s="336"/>
      <c r="KY221" s="336"/>
      <c r="KZ221" s="336"/>
      <c r="LA221" s="336"/>
      <c r="LB221" s="336"/>
      <c r="LC221" s="336"/>
      <c r="LD221" s="336"/>
      <c r="LE221" s="336"/>
      <c r="LF221" s="336"/>
      <c r="LG221" s="336"/>
      <c r="LH221" s="336"/>
      <c r="LI221" s="336"/>
      <c r="LJ221" s="336"/>
      <c r="LK221" s="336"/>
      <c r="LL221" s="336"/>
      <c r="LM221" s="336"/>
      <c r="LN221" s="336"/>
      <c r="LO221" s="336"/>
      <c r="LP221" s="336"/>
      <c r="LQ221" s="337"/>
      <c r="MN221" s="10"/>
      <c r="OA221" s="10"/>
    </row>
    <row r="222" spans="1:391" s="370" customFormat="1" x14ac:dyDescent="0.25">
      <c r="A222" s="68"/>
      <c r="B222" s="10"/>
      <c r="C222" s="68"/>
      <c r="D222" s="68"/>
      <c r="E222" s="68"/>
      <c r="F222" s="68"/>
      <c r="G222" s="68"/>
      <c r="H222" s="68"/>
      <c r="I222" s="68"/>
      <c r="J222" s="68"/>
      <c r="K222" s="68"/>
      <c r="L222" s="68"/>
      <c r="M222" s="68"/>
      <c r="N222" s="68"/>
      <c r="O222" s="68"/>
      <c r="P222" s="68"/>
      <c r="Q222" s="68"/>
      <c r="R222" s="68"/>
      <c r="S222" s="68"/>
      <c r="T222" s="70"/>
      <c r="AC222" s="68"/>
      <c r="AD222" s="70"/>
      <c r="AM222" s="68"/>
      <c r="AN222" s="70"/>
      <c r="AU222" s="68"/>
      <c r="AV222" s="70"/>
      <c r="BB222" s="68"/>
      <c r="BC222" s="70"/>
      <c r="BD222" s="68"/>
      <c r="BE222" s="68"/>
      <c r="BF222" s="68"/>
      <c r="BG222" s="68"/>
      <c r="BH222" s="68"/>
      <c r="BI222" s="68"/>
      <c r="BJ222" s="70"/>
      <c r="BM222" s="68"/>
      <c r="BN222" s="70"/>
      <c r="BT222" s="68"/>
      <c r="BU222" s="70"/>
      <c r="BZ222" s="10"/>
      <c r="CF222" s="10"/>
      <c r="CI222" s="389"/>
      <c r="CJ222" s="389"/>
      <c r="CK222" s="68"/>
      <c r="CL222" s="70"/>
      <c r="CO222" s="10"/>
      <c r="CU222" s="10"/>
      <c r="DA222" s="10"/>
      <c r="DB222" s="70"/>
      <c r="DC222" s="70"/>
      <c r="DF222" s="68"/>
      <c r="DG222" s="70"/>
      <c r="DH222" s="68"/>
      <c r="DI222" s="386"/>
      <c r="DJ222" s="425"/>
      <c r="DL222" s="68"/>
      <c r="DM222" s="70"/>
      <c r="DQ222" s="68"/>
      <c r="DR222" s="70"/>
      <c r="DS222" s="338"/>
      <c r="DT222" s="338"/>
      <c r="DU222" s="338"/>
      <c r="DW222" s="338"/>
      <c r="DX222" s="338"/>
      <c r="DY222" s="338"/>
      <c r="EA222" s="338"/>
      <c r="EB222" s="338"/>
      <c r="EC222" s="338"/>
      <c r="EE222" s="338"/>
      <c r="EF222" s="338"/>
      <c r="EG222" s="338"/>
      <c r="EI222" s="336"/>
      <c r="EJ222" s="336"/>
      <c r="EK222" s="336"/>
      <c r="EL222" s="336"/>
      <c r="EM222" s="336"/>
      <c r="EN222" s="336"/>
      <c r="EO222" s="337"/>
      <c r="EP222" s="342"/>
      <c r="EQ222" s="336"/>
      <c r="ER222" s="342"/>
      <c r="ES222" s="336"/>
      <c r="ET222" s="342"/>
      <c r="EU222" s="336"/>
      <c r="EV222" s="342"/>
      <c r="EW222" s="336"/>
      <c r="EX222" s="342"/>
      <c r="EY222" s="342"/>
      <c r="EZ222" s="342"/>
      <c r="FA222" s="337"/>
      <c r="FE222" s="338"/>
      <c r="FH222" s="338"/>
      <c r="FI222" s="338"/>
      <c r="FJ222" s="338"/>
      <c r="FK222" s="338"/>
      <c r="FL222" s="338"/>
      <c r="FM222" s="337"/>
      <c r="FN222" s="336"/>
      <c r="FO222" s="336"/>
      <c r="FP222" s="336"/>
      <c r="FQ222" s="336"/>
      <c r="FR222" s="336"/>
      <c r="FS222" s="336"/>
      <c r="FT222" s="336"/>
      <c r="FU222" s="336"/>
      <c r="FV222" s="336"/>
      <c r="FW222" s="337"/>
      <c r="FX222" s="532"/>
      <c r="FY222" s="341"/>
      <c r="FZ222" s="341"/>
      <c r="GA222" s="336"/>
      <c r="GB222" s="341"/>
      <c r="GC222" s="341"/>
      <c r="GD222" s="341"/>
      <c r="GE222" s="336"/>
      <c r="GF222" s="336"/>
      <c r="GG222" s="336"/>
      <c r="GH222" s="336"/>
      <c r="GI222" s="336"/>
      <c r="GJ222" s="337"/>
      <c r="GM222" s="338"/>
      <c r="GN222" s="338"/>
      <c r="GO222" s="338"/>
      <c r="GS222" s="338"/>
      <c r="GT222" s="338"/>
      <c r="GU222" s="338"/>
      <c r="GY222" s="338"/>
      <c r="GZ222" s="338"/>
      <c r="HA222" s="338"/>
      <c r="HE222" s="338"/>
      <c r="HF222" s="338"/>
      <c r="HG222" s="338"/>
      <c r="HN222" s="68"/>
      <c r="HO222" s="68"/>
      <c r="HP222" s="68"/>
      <c r="HQ222" s="336"/>
      <c r="HR222" s="68"/>
      <c r="HS222" s="68"/>
      <c r="HT222" s="10"/>
      <c r="HW222" s="338"/>
      <c r="HX222" s="338"/>
      <c r="HY222" s="338"/>
      <c r="IC222" s="338"/>
      <c r="ID222" s="338"/>
      <c r="IE222" s="338"/>
      <c r="II222" s="338"/>
      <c r="IJ222" s="338"/>
      <c r="IK222" s="338"/>
      <c r="IO222" s="338"/>
      <c r="IP222" s="338"/>
      <c r="IQ222" s="338"/>
      <c r="IX222" s="68"/>
      <c r="IY222" s="68"/>
      <c r="IZ222" s="68"/>
      <c r="JA222" s="68"/>
      <c r="JB222" s="68"/>
      <c r="JC222" s="68"/>
      <c r="JD222" s="10"/>
      <c r="JG222" s="338"/>
      <c r="JH222" s="338"/>
      <c r="JI222" s="338"/>
      <c r="JM222" s="338"/>
      <c r="JN222" s="338"/>
      <c r="JQ222" s="338"/>
      <c r="JR222" s="338"/>
      <c r="JS222" s="338"/>
      <c r="JW222" s="358"/>
      <c r="JX222" s="336"/>
      <c r="JY222" s="336"/>
      <c r="JZ222" s="336"/>
      <c r="KA222" s="336"/>
      <c r="KB222" s="336"/>
      <c r="KC222" s="336"/>
      <c r="KD222" s="336"/>
      <c r="KE222" s="336"/>
      <c r="KF222" s="336"/>
      <c r="KG222" s="337"/>
      <c r="KH222" s="338"/>
      <c r="KI222" s="338"/>
      <c r="KJ222" s="338"/>
      <c r="KK222" s="338"/>
      <c r="KL222" s="338"/>
      <c r="KM222" s="338"/>
      <c r="KN222" s="338"/>
      <c r="KO222" s="338"/>
      <c r="KP222" s="338"/>
      <c r="KQ222" s="338"/>
      <c r="KR222" s="338"/>
      <c r="KS222" s="338"/>
      <c r="KT222" s="338"/>
      <c r="KU222" s="338"/>
      <c r="KV222" s="338"/>
      <c r="KW222" s="337"/>
      <c r="KX222" s="336"/>
      <c r="KY222" s="336"/>
      <c r="KZ222" s="336"/>
      <c r="LA222" s="336"/>
      <c r="LB222" s="336"/>
      <c r="LC222" s="336"/>
      <c r="LD222" s="336"/>
      <c r="LE222" s="336"/>
      <c r="LF222" s="336"/>
      <c r="LG222" s="336"/>
      <c r="LH222" s="336"/>
      <c r="LI222" s="336"/>
      <c r="LJ222" s="336"/>
      <c r="LK222" s="336"/>
      <c r="LL222" s="336"/>
      <c r="LM222" s="336"/>
      <c r="LN222" s="336"/>
      <c r="LO222" s="336"/>
      <c r="LP222" s="336"/>
      <c r="LQ222" s="337"/>
      <c r="MN222" s="10"/>
      <c r="OA222" s="10"/>
    </row>
    <row r="223" spans="1:391" s="370" customFormat="1" x14ac:dyDescent="0.25">
      <c r="A223" s="68"/>
      <c r="B223" s="10"/>
      <c r="C223" s="68"/>
      <c r="D223" s="68"/>
      <c r="E223" s="68"/>
      <c r="F223" s="68"/>
      <c r="G223" s="68"/>
      <c r="H223" s="68"/>
      <c r="I223" s="68"/>
      <c r="J223" s="68"/>
      <c r="K223" s="68"/>
      <c r="L223" s="68"/>
      <c r="M223" s="68"/>
      <c r="N223" s="68"/>
      <c r="O223" s="68"/>
      <c r="P223" s="68"/>
      <c r="Q223" s="68"/>
      <c r="R223" s="68"/>
      <c r="S223" s="68"/>
      <c r="T223" s="70"/>
      <c r="AC223" s="68"/>
      <c r="AD223" s="70"/>
      <c r="AM223" s="68"/>
      <c r="AN223" s="70"/>
      <c r="AU223" s="68"/>
      <c r="AV223" s="70"/>
      <c r="BB223" s="68"/>
      <c r="BC223" s="70"/>
      <c r="BD223" s="68"/>
      <c r="BE223" s="68"/>
      <c r="BF223" s="68"/>
      <c r="BG223" s="68"/>
      <c r="BH223" s="68"/>
      <c r="BI223" s="68"/>
      <c r="BJ223" s="70"/>
      <c r="BM223" s="68"/>
      <c r="BN223" s="70"/>
      <c r="BT223" s="68"/>
      <c r="BU223" s="70"/>
      <c r="BZ223" s="10"/>
      <c r="CF223" s="10"/>
      <c r="CI223" s="389"/>
      <c r="CJ223" s="389"/>
      <c r="CK223" s="68"/>
      <c r="CL223" s="70"/>
      <c r="CO223" s="10"/>
      <c r="CU223" s="10"/>
      <c r="DA223" s="10"/>
      <c r="DB223" s="70"/>
      <c r="DC223" s="70"/>
      <c r="DF223" s="68"/>
      <c r="DG223" s="70"/>
      <c r="DH223" s="68"/>
      <c r="DI223" s="386"/>
      <c r="DJ223" s="425"/>
      <c r="DL223" s="68"/>
      <c r="DM223" s="70"/>
      <c r="DQ223" s="68"/>
      <c r="DR223" s="70"/>
      <c r="DS223" s="338"/>
      <c r="DT223" s="338"/>
      <c r="DU223" s="338"/>
      <c r="DW223" s="338"/>
      <c r="DX223" s="338"/>
      <c r="DY223" s="338"/>
      <c r="EA223" s="338"/>
      <c r="EB223" s="338"/>
      <c r="EC223" s="338"/>
      <c r="EE223" s="338"/>
      <c r="EF223" s="338"/>
      <c r="EG223" s="338"/>
      <c r="EI223" s="336"/>
      <c r="EJ223" s="336"/>
      <c r="EK223" s="336"/>
      <c r="EL223" s="336"/>
      <c r="EM223" s="336"/>
      <c r="EN223" s="336"/>
      <c r="EO223" s="337"/>
      <c r="EP223" s="342"/>
      <c r="EQ223" s="336"/>
      <c r="ER223" s="342"/>
      <c r="ES223" s="336"/>
      <c r="ET223" s="342"/>
      <c r="EU223" s="336"/>
      <c r="EV223" s="342"/>
      <c r="EW223" s="336"/>
      <c r="EX223" s="342"/>
      <c r="EY223" s="342"/>
      <c r="EZ223" s="342"/>
      <c r="FA223" s="337"/>
      <c r="FE223" s="338"/>
      <c r="FH223" s="338"/>
      <c r="FI223" s="338"/>
      <c r="FJ223" s="338"/>
      <c r="FK223" s="338"/>
      <c r="FL223" s="338"/>
      <c r="FM223" s="337"/>
      <c r="FN223" s="336"/>
      <c r="FO223" s="336"/>
      <c r="FP223" s="336"/>
      <c r="FQ223" s="336"/>
      <c r="FR223" s="336"/>
      <c r="FS223" s="336"/>
      <c r="FT223" s="336"/>
      <c r="FU223" s="336"/>
      <c r="FV223" s="336"/>
      <c r="FW223" s="337"/>
      <c r="FX223" s="532"/>
      <c r="FY223" s="341"/>
      <c r="FZ223" s="341"/>
      <c r="GA223" s="336"/>
      <c r="GB223" s="341"/>
      <c r="GC223" s="341"/>
      <c r="GD223" s="341"/>
      <c r="GE223" s="336"/>
      <c r="GF223" s="336"/>
      <c r="GG223" s="336"/>
      <c r="GH223" s="336"/>
      <c r="GI223" s="336"/>
      <c r="GJ223" s="337"/>
      <c r="GM223" s="338"/>
      <c r="GN223" s="338"/>
      <c r="GO223" s="338"/>
      <c r="GS223" s="338"/>
      <c r="GT223" s="338"/>
      <c r="GU223" s="338"/>
      <c r="GY223" s="338"/>
      <c r="GZ223" s="338"/>
      <c r="HA223" s="338"/>
      <c r="HE223" s="338"/>
      <c r="HF223" s="338"/>
      <c r="HG223" s="338"/>
      <c r="HN223" s="68"/>
      <c r="HO223" s="68"/>
      <c r="HP223" s="68"/>
      <c r="HQ223" s="336"/>
      <c r="HR223" s="68"/>
      <c r="HS223" s="68"/>
      <c r="HT223" s="10"/>
      <c r="HW223" s="338"/>
      <c r="HX223" s="338"/>
      <c r="HY223" s="338"/>
      <c r="IC223" s="338"/>
      <c r="ID223" s="338"/>
      <c r="IE223" s="338"/>
      <c r="II223" s="338"/>
      <c r="IJ223" s="338"/>
      <c r="IK223" s="338"/>
      <c r="IO223" s="338"/>
      <c r="IP223" s="338"/>
      <c r="IQ223" s="338"/>
      <c r="IX223" s="68"/>
      <c r="IY223" s="68"/>
      <c r="IZ223" s="68"/>
      <c r="JA223" s="68"/>
      <c r="JB223" s="68"/>
      <c r="JC223" s="68"/>
      <c r="JD223" s="10"/>
      <c r="JG223" s="338"/>
      <c r="JH223" s="338"/>
      <c r="JI223" s="338"/>
      <c r="JM223" s="338"/>
      <c r="JN223" s="338"/>
      <c r="JQ223" s="338"/>
      <c r="JR223" s="338"/>
      <c r="JS223" s="338"/>
      <c r="JW223" s="358"/>
      <c r="JX223" s="336"/>
      <c r="JY223" s="336"/>
      <c r="JZ223" s="336"/>
      <c r="KA223" s="336"/>
      <c r="KB223" s="336"/>
      <c r="KC223" s="336"/>
      <c r="KD223" s="336"/>
      <c r="KE223" s="336"/>
      <c r="KF223" s="336"/>
      <c r="KG223" s="337"/>
      <c r="KH223" s="338"/>
      <c r="KI223" s="338"/>
      <c r="KJ223" s="338"/>
      <c r="KK223" s="338"/>
      <c r="KL223" s="338"/>
      <c r="KM223" s="338"/>
      <c r="KN223" s="338"/>
      <c r="KO223" s="338"/>
      <c r="KP223" s="338"/>
      <c r="KQ223" s="338"/>
      <c r="KR223" s="338"/>
      <c r="KS223" s="338"/>
      <c r="KT223" s="338"/>
      <c r="KU223" s="338"/>
      <c r="KV223" s="338"/>
      <c r="KW223" s="337"/>
      <c r="KX223" s="336"/>
      <c r="KY223" s="336"/>
      <c r="KZ223" s="336"/>
      <c r="LA223" s="336"/>
      <c r="LB223" s="336"/>
      <c r="LC223" s="336"/>
      <c r="LD223" s="336"/>
      <c r="LE223" s="336"/>
      <c r="LF223" s="336"/>
      <c r="LG223" s="336"/>
      <c r="LH223" s="336"/>
      <c r="LI223" s="336"/>
      <c r="LJ223" s="336"/>
      <c r="LK223" s="336"/>
      <c r="LL223" s="336"/>
      <c r="LM223" s="336"/>
      <c r="LN223" s="336"/>
      <c r="LO223" s="336"/>
      <c r="LP223" s="336"/>
      <c r="LQ223" s="337"/>
      <c r="MN223" s="10"/>
      <c r="OA223" s="10"/>
    </row>
    <row r="224" spans="1:391" s="370" customFormat="1" x14ac:dyDescent="0.25">
      <c r="A224" s="68"/>
      <c r="B224" s="10"/>
      <c r="C224" s="68"/>
      <c r="D224" s="68"/>
      <c r="E224" s="68"/>
      <c r="F224" s="68"/>
      <c r="G224" s="68"/>
      <c r="H224" s="68"/>
      <c r="I224" s="68"/>
      <c r="J224" s="68"/>
      <c r="K224" s="68"/>
      <c r="L224" s="68"/>
      <c r="M224" s="68"/>
      <c r="N224" s="68"/>
      <c r="O224" s="68"/>
      <c r="P224" s="68"/>
      <c r="Q224" s="68"/>
      <c r="R224" s="68"/>
      <c r="S224" s="68"/>
      <c r="T224" s="70"/>
      <c r="AC224" s="68"/>
      <c r="AD224" s="70"/>
      <c r="AM224" s="68"/>
      <c r="AN224" s="70"/>
      <c r="AU224" s="68"/>
      <c r="AV224" s="70"/>
      <c r="BB224" s="68"/>
      <c r="BC224" s="70"/>
      <c r="BD224" s="68"/>
      <c r="BE224" s="68"/>
      <c r="BF224" s="68"/>
      <c r="BG224" s="68"/>
      <c r="BH224" s="68"/>
      <c r="BI224" s="68"/>
      <c r="BJ224" s="70"/>
      <c r="BM224" s="68"/>
      <c r="BN224" s="70"/>
      <c r="BT224" s="68"/>
      <c r="BU224" s="70"/>
      <c r="BZ224" s="10"/>
      <c r="CF224" s="10"/>
      <c r="CI224" s="389"/>
      <c r="CJ224" s="389"/>
      <c r="CK224" s="68"/>
      <c r="CL224" s="70"/>
      <c r="CO224" s="10"/>
      <c r="CU224" s="10"/>
      <c r="DA224" s="10"/>
      <c r="DB224" s="70"/>
      <c r="DC224" s="70"/>
      <c r="DF224" s="68"/>
      <c r="DG224" s="70"/>
      <c r="DH224" s="68"/>
      <c r="DI224" s="386"/>
      <c r="DJ224" s="425"/>
      <c r="DL224" s="68"/>
      <c r="DM224" s="70"/>
      <c r="DQ224" s="68"/>
      <c r="DR224" s="70"/>
      <c r="DS224" s="338"/>
      <c r="DT224" s="338"/>
      <c r="DU224" s="338"/>
      <c r="DW224" s="338"/>
      <c r="DX224" s="338"/>
      <c r="DY224" s="338"/>
      <c r="EA224" s="338"/>
      <c r="EB224" s="338"/>
      <c r="EC224" s="338"/>
      <c r="EE224" s="338"/>
      <c r="EF224" s="338"/>
      <c r="EG224" s="338"/>
      <c r="EI224" s="336"/>
      <c r="EJ224" s="336"/>
      <c r="EK224" s="336"/>
      <c r="EL224" s="336"/>
      <c r="EM224" s="336"/>
      <c r="EN224" s="336"/>
      <c r="EO224" s="337"/>
      <c r="EP224" s="342"/>
      <c r="EQ224" s="336"/>
      <c r="ER224" s="342"/>
      <c r="ES224" s="336"/>
      <c r="ET224" s="342"/>
      <c r="EU224" s="336"/>
      <c r="EV224" s="342"/>
      <c r="EW224" s="336"/>
      <c r="EX224" s="342"/>
      <c r="EY224" s="342"/>
      <c r="EZ224" s="342"/>
      <c r="FA224" s="337"/>
      <c r="FE224" s="338"/>
      <c r="FH224" s="338"/>
      <c r="FI224" s="338"/>
      <c r="FJ224" s="338"/>
      <c r="FK224" s="338"/>
      <c r="FL224" s="338"/>
      <c r="FM224" s="337"/>
      <c r="FN224" s="336"/>
      <c r="FO224" s="336"/>
      <c r="FP224" s="336"/>
      <c r="FQ224" s="336"/>
      <c r="FR224" s="336"/>
      <c r="FS224" s="336"/>
      <c r="FT224" s="336"/>
      <c r="FU224" s="336"/>
      <c r="FV224" s="336"/>
      <c r="FW224" s="337"/>
      <c r="FX224" s="532"/>
      <c r="FY224" s="341"/>
      <c r="FZ224" s="341"/>
      <c r="GA224" s="336"/>
      <c r="GB224" s="341"/>
      <c r="GC224" s="341"/>
      <c r="GD224" s="341"/>
      <c r="GE224" s="336"/>
      <c r="GF224" s="336"/>
      <c r="GG224" s="336"/>
      <c r="GH224" s="336"/>
      <c r="GI224" s="336"/>
      <c r="GJ224" s="337"/>
      <c r="GM224" s="338"/>
      <c r="GN224" s="338"/>
      <c r="GO224" s="338"/>
      <c r="GS224" s="338"/>
      <c r="GT224" s="338"/>
      <c r="GU224" s="338"/>
      <c r="GY224" s="338"/>
      <c r="GZ224" s="338"/>
      <c r="HA224" s="338"/>
      <c r="HE224" s="338"/>
      <c r="HF224" s="338"/>
      <c r="HG224" s="338"/>
      <c r="HN224" s="68"/>
      <c r="HO224" s="68"/>
      <c r="HP224" s="68"/>
      <c r="HQ224" s="336"/>
      <c r="HR224" s="68"/>
      <c r="HS224" s="68"/>
      <c r="HT224" s="10"/>
      <c r="HW224" s="338"/>
      <c r="HX224" s="338"/>
      <c r="HY224" s="338"/>
      <c r="IC224" s="338"/>
      <c r="ID224" s="338"/>
      <c r="IE224" s="338"/>
      <c r="II224" s="338"/>
      <c r="IJ224" s="338"/>
      <c r="IK224" s="338"/>
      <c r="IO224" s="338"/>
      <c r="IP224" s="338"/>
      <c r="IQ224" s="338"/>
      <c r="IX224" s="68"/>
      <c r="IY224" s="68"/>
      <c r="IZ224" s="68"/>
      <c r="JA224" s="68"/>
      <c r="JB224" s="68"/>
      <c r="JC224" s="68"/>
      <c r="JD224" s="10"/>
      <c r="JG224" s="338"/>
      <c r="JH224" s="338"/>
      <c r="JI224" s="338"/>
      <c r="JM224" s="338"/>
      <c r="JN224" s="338"/>
      <c r="JQ224" s="338"/>
      <c r="JR224" s="338"/>
      <c r="JS224" s="338"/>
      <c r="JW224" s="358"/>
      <c r="JX224" s="336"/>
      <c r="JY224" s="336"/>
      <c r="JZ224" s="336"/>
      <c r="KA224" s="336"/>
      <c r="KB224" s="336"/>
      <c r="KC224" s="336"/>
      <c r="KD224" s="336"/>
      <c r="KE224" s="336"/>
      <c r="KF224" s="336"/>
      <c r="KG224" s="337"/>
      <c r="KH224" s="338"/>
      <c r="KI224" s="338"/>
      <c r="KJ224" s="338"/>
      <c r="KK224" s="338"/>
      <c r="KL224" s="338"/>
      <c r="KM224" s="338"/>
      <c r="KN224" s="338"/>
      <c r="KO224" s="338"/>
      <c r="KP224" s="338"/>
      <c r="KQ224" s="338"/>
      <c r="KR224" s="338"/>
      <c r="KS224" s="338"/>
      <c r="KT224" s="338"/>
      <c r="KU224" s="338"/>
      <c r="KV224" s="338"/>
      <c r="KW224" s="337"/>
      <c r="KX224" s="336"/>
      <c r="KY224" s="336"/>
      <c r="KZ224" s="336"/>
      <c r="LA224" s="336"/>
      <c r="LB224" s="336"/>
      <c r="LC224" s="336"/>
      <c r="LD224" s="336"/>
      <c r="LE224" s="336"/>
      <c r="LF224" s="336"/>
      <c r="LG224" s="336"/>
      <c r="LH224" s="336"/>
      <c r="LI224" s="336"/>
      <c r="LJ224" s="336"/>
      <c r="LK224" s="336"/>
      <c r="LL224" s="336"/>
      <c r="LM224" s="336"/>
      <c r="LN224" s="336"/>
      <c r="LO224" s="336"/>
      <c r="LP224" s="336"/>
      <c r="LQ224" s="337"/>
      <c r="MN224" s="10"/>
      <c r="OA224" s="10"/>
    </row>
    <row r="225" spans="1:391" s="370" customFormat="1" x14ac:dyDescent="0.25">
      <c r="A225" s="68"/>
      <c r="B225" s="10"/>
      <c r="C225" s="68"/>
      <c r="D225" s="68"/>
      <c r="E225" s="68"/>
      <c r="F225" s="68"/>
      <c r="G225" s="68"/>
      <c r="H225" s="68"/>
      <c r="I225" s="68"/>
      <c r="J225" s="68"/>
      <c r="K225" s="68"/>
      <c r="L225" s="68"/>
      <c r="M225" s="68"/>
      <c r="N225" s="68"/>
      <c r="O225" s="68"/>
      <c r="P225" s="68"/>
      <c r="Q225" s="68"/>
      <c r="R225" s="68"/>
      <c r="S225" s="68"/>
      <c r="T225" s="70"/>
      <c r="AC225" s="68"/>
      <c r="AD225" s="70"/>
      <c r="AM225" s="68"/>
      <c r="AN225" s="70"/>
      <c r="AU225" s="68"/>
      <c r="AV225" s="70"/>
      <c r="BB225" s="68"/>
      <c r="BC225" s="70"/>
      <c r="BD225" s="68"/>
      <c r="BE225" s="68"/>
      <c r="BF225" s="68"/>
      <c r="BG225" s="68"/>
      <c r="BH225" s="68"/>
      <c r="BI225" s="68"/>
      <c r="BJ225" s="70"/>
      <c r="BM225" s="68"/>
      <c r="BN225" s="70"/>
      <c r="BT225" s="68"/>
      <c r="BU225" s="70"/>
      <c r="BZ225" s="10"/>
      <c r="CF225" s="10"/>
      <c r="CI225" s="389"/>
      <c r="CJ225" s="389"/>
      <c r="CK225" s="68"/>
      <c r="CL225" s="70"/>
      <c r="CO225" s="10"/>
      <c r="CU225" s="10"/>
      <c r="DA225" s="10"/>
      <c r="DB225" s="70"/>
      <c r="DC225" s="70"/>
      <c r="DF225" s="68"/>
      <c r="DG225" s="70"/>
      <c r="DH225" s="68"/>
      <c r="DI225" s="386"/>
      <c r="DJ225" s="425"/>
      <c r="DL225" s="68"/>
      <c r="DM225" s="70"/>
      <c r="DQ225" s="68"/>
      <c r="DR225" s="70"/>
      <c r="DS225" s="338"/>
      <c r="DT225" s="338"/>
      <c r="DU225" s="338"/>
      <c r="DW225" s="338"/>
      <c r="DX225" s="338"/>
      <c r="DY225" s="338"/>
      <c r="EA225" s="338"/>
      <c r="EB225" s="338"/>
      <c r="EC225" s="338"/>
      <c r="EE225" s="338"/>
      <c r="EF225" s="338"/>
      <c r="EG225" s="338"/>
      <c r="EI225" s="336"/>
      <c r="EJ225" s="336"/>
      <c r="EK225" s="336"/>
      <c r="EL225" s="336"/>
      <c r="EM225" s="336"/>
      <c r="EN225" s="336"/>
      <c r="EO225" s="337"/>
      <c r="EP225" s="342"/>
      <c r="EQ225" s="336"/>
      <c r="ER225" s="342"/>
      <c r="ES225" s="336"/>
      <c r="ET225" s="342"/>
      <c r="EU225" s="336"/>
      <c r="EV225" s="342"/>
      <c r="EW225" s="336"/>
      <c r="EX225" s="342"/>
      <c r="EY225" s="342"/>
      <c r="EZ225" s="342"/>
      <c r="FA225" s="337"/>
      <c r="FE225" s="338"/>
      <c r="FH225" s="338"/>
      <c r="FI225" s="338"/>
      <c r="FJ225" s="338"/>
      <c r="FK225" s="338"/>
      <c r="FL225" s="338"/>
      <c r="FM225" s="337"/>
      <c r="FN225" s="336"/>
      <c r="FO225" s="336"/>
      <c r="FP225" s="336"/>
      <c r="FQ225" s="336"/>
      <c r="FR225" s="336"/>
      <c r="FS225" s="336"/>
      <c r="FT225" s="336"/>
      <c r="FU225" s="336"/>
      <c r="FV225" s="336"/>
      <c r="FW225" s="337"/>
      <c r="FX225" s="532"/>
      <c r="FY225" s="341"/>
      <c r="FZ225" s="341"/>
      <c r="GA225" s="336"/>
      <c r="GB225" s="341"/>
      <c r="GC225" s="341"/>
      <c r="GD225" s="341"/>
      <c r="GE225" s="336"/>
      <c r="GF225" s="336"/>
      <c r="GG225" s="336"/>
      <c r="GH225" s="336"/>
      <c r="GI225" s="336"/>
      <c r="GJ225" s="337"/>
      <c r="GM225" s="338"/>
      <c r="GN225" s="338"/>
      <c r="GO225" s="338"/>
      <c r="GS225" s="338"/>
      <c r="GT225" s="338"/>
      <c r="GU225" s="338"/>
      <c r="GY225" s="338"/>
      <c r="GZ225" s="338"/>
      <c r="HA225" s="338"/>
      <c r="HE225" s="338"/>
      <c r="HF225" s="338"/>
      <c r="HG225" s="338"/>
      <c r="HN225" s="68"/>
      <c r="HO225" s="68"/>
      <c r="HP225" s="68"/>
      <c r="HQ225" s="336"/>
      <c r="HR225" s="68"/>
      <c r="HS225" s="68"/>
      <c r="HT225" s="10"/>
      <c r="HW225" s="338"/>
      <c r="HX225" s="338"/>
      <c r="HY225" s="338"/>
      <c r="IC225" s="338"/>
      <c r="ID225" s="338"/>
      <c r="IE225" s="338"/>
      <c r="II225" s="338"/>
      <c r="IJ225" s="338"/>
      <c r="IK225" s="338"/>
      <c r="IO225" s="338"/>
      <c r="IP225" s="338"/>
      <c r="IQ225" s="338"/>
      <c r="IX225" s="68"/>
      <c r="IY225" s="68"/>
      <c r="IZ225" s="68"/>
      <c r="JA225" s="68"/>
      <c r="JB225" s="68"/>
      <c r="JC225" s="68"/>
      <c r="JD225" s="10"/>
      <c r="JG225" s="338"/>
      <c r="JH225" s="338"/>
      <c r="JI225" s="338"/>
      <c r="JM225" s="338"/>
      <c r="JN225" s="338"/>
      <c r="JQ225" s="338"/>
      <c r="JR225" s="338"/>
      <c r="JS225" s="338"/>
      <c r="JW225" s="358"/>
      <c r="JX225" s="336"/>
      <c r="JY225" s="336"/>
      <c r="JZ225" s="336"/>
      <c r="KA225" s="336"/>
      <c r="KB225" s="336"/>
      <c r="KC225" s="336"/>
      <c r="KD225" s="336"/>
      <c r="KE225" s="336"/>
      <c r="KF225" s="336"/>
      <c r="KG225" s="337"/>
      <c r="KH225" s="338"/>
      <c r="KI225" s="338"/>
      <c r="KJ225" s="338"/>
      <c r="KK225" s="338"/>
      <c r="KL225" s="338"/>
      <c r="KM225" s="338"/>
      <c r="KN225" s="338"/>
      <c r="KO225" s="338"/>
      <c r="KP225" s="338"/>
      <c r="KQ225" s="338"/>
      <c r="KR225" s="338"/>
      <c r="KS225" s="338"/>
      <c r="KT225" s="338"/>
      <c r="KU225" s="338"/>
      <c r="KV225" s="338"/>
      <c r="KW225" s="337"/>
      <c r="KX225" s="336"/>
      <c r="KY225" s="336"/>
      <c r="KZ225" s="336"/>
      <c r="LA225" s="336"/>
      <c r="LB225" s="336"/>
      <c r="LC225" s="336"/>
      <c r="LD225" s="336"/>
      <c r="LE225" s="336"/>
      <c r="LF225" s="336"/>
      <c r="LG225" s="336"/>
      <c r="LH225" s="336"/>
      <c r="LI225" s="336"/>
      <c r="LJ225" s="336"/>
      <c r="LK225" s="336"/>
      <c r="LL225" s="336"/>
      <c r="LM225" s="336"/>
      <c r="LN225" s="336"/>
      <c r="LO225" s="336"/>
      <c r="LP225" s="336"/>
      <c r="LQ225" s="337"/>
      <c r="MN225" s="10"/>
      <c r="OA225" s="10"/>
    </row>
    <row r="226" spans="1:391" s="370" customFormat="1" x14ac:dyDescent="0.25">
      <c r="A226" s="68"/>
      <c r="B226" s="10"/>
      <c r="C226" s="68"/>
      <c r="D226" s="68"/>
      <c r="E226" s="68"/>
      <c r="F226" s="68"/>
      <c r="G226" s="68"/>
      <c r="H226" s="68"/>
      <c r="I226" s="68"/>
      <c r="J226" s="68"/>
      <c r="K226" s="68"/>
      <c r="L226" s="68"/>
      <c r="M226" s="68"/>
      <c r="N226" s="68"/>
      <c r="O226" s="68"/>
      <c r="P226" s="68"/>
      <c r="Q226" s="68"/>
      <c r="R226" s="68"/>
      <c r="S226" s="68"/>
      <c r="T226" s="70"/>
      <c r="AC226" s="68"/>
      <c r="AD226" s="70"/>
      <c r="AM226" s="68"/>
      <c r="AN226" s="70"/>
      <c r="AU226" s="68"/>
      <c r="AV226" s="70"/>
      <c r="BB226" s="68"/>
      <c r="BC226" s="70"/>
      <c r="BD226" s="68"/>
      <c r="BE226" s="68"/>
      <c r="BF226" s="68"/>
      <c r="BG226" s="68"/>
      <c r="BH226" s="68"/>
      <c r="BI226" s="68"/>
      <c r="BJ226" s="70"/>
      <c r="BM226" s="68"/>
      <c r="BN226" s="70"/>
      <c r="BT226" s="68"/>
      <c r="BU226" s="70"/>
      <c r="BZ226" s="10"/>
      <c r="CF226" s="10"/>
      <c r="CI226" s="389"/>
      <c r="CJ226" s="389"/>
      <c r="CK226" s="68"/>
      <c r="CL226" s="70"/>
      <c r="CO226" s="10"/>
      <c r="CU226" s="10"/>
      <c r="DA226" s="10"/>
      <c r="DB226" s="70"/>
      <c r="DC226" s="70"/>
      <c r="DF226" s="68"/>
      <c r="DG226" s="70"/>
      <c r="DH226" s="68"/>
      <c r="DI226" s="386"/>
      <c r="DJ226" s="425"/>
      <c r="DL226" s="68"/>
      <c r="DM226" s="70"/>
      <c r="DQ226" s="68"/>
      <c r="DR226" s="70"/>
      <c r="DS226" s="338"/>
      <c r="DT226" s="338"/>
      <c r="DU226" s="338"/>
      <c r="DW226" s="338"/>
      <c r="DX226" s="338"/>
      <c r="DY226" s="338"/>
      <c r="EA226" s="338"/>
      <c r="EB226" s="338"/>
      <c r="EC226" s="338"/>
      <c r="EE226" s="338"/>
      <c r="EF226" s="338"/>
      <c r="EG226" s="338"/>
      <c r="EI226" s="336"/>
      <c r="EJ226" s="336"/>
      <c r="EK226" s="336"/>
      <c r="EL226" s="336"/>
      <c r="EM226" s="336"/>
      <c r="EN226" s="336"/>
      <c r="EO226" s="337"/>
      <c r="EP226" s="342"/>
      <c r="EQ226" s="336"/>
      <c r="ER226" s="342"/>
      <c r="ES226" s="336"/>
      <c r="ET226" s="342"/>
      <c r="EU226" s="336"/>
      <c r="EV226" s="342"/>
      <c r="EW226" s="336"/>
      <c r="EX226" s="342"/>
      <c r="EY226" s="342"/>
      <c r="EZ226" s="342"/>
      <c r="FA226" s="337"/>
      <c r="FE226" s="338"/>
      <c r="FH226" s="338"/>
      <c r="FI226" s="338"/>
      <c r="FJ226" s="338"/>
      <c r="FK226" s="338"/>
      <c r="FL226" s="338"/>
      <c r="FM226" s="337"/>
      <c r="FN226" s="336"/>
      <c r="FO226" s="336"/>
      <c r="FP226" s="336"/>
      <c r="FQ226" s="336"/>
      <c r="FR226" s="336"/>
      <c r="FS226" s="336"/>
      <c r="FT226" s="336"/>
      <c r="FU226" s="336"/>
      <c r="FV226" s="336"/>
      <c r="FW226" s="337"/>
      <c r="FX226" s="532"/>
      <c r="FY226" s="341"/>
      <c r="FZ226" s="341"/>
      <c r="GA226" s="336"/>
      <c r="GB226" s="341"/>
      <c r="GC226" s="341"/>
      <c r="GD226" s="341"/>
      <c r="GE226" s="336"/>
      <c r="GF226" s="336"/>
      <c r="GG226" s="336"/>
      <c r="GH226" s="336"/>
      <c r="GI226" s="336"/>
      <c r="GJ226" s="337"/>
      <c r="GM226" s="338"/>
      <c r="GN226" s="338"/>
      <c r="GO226" s="338"/>
      <c r="GS226" s="338"/>
      <c r="GT226" s="338"/>
      <c r="GU226" s="338"/>
      <c r="GY226" s="338"/>
      <c r="GZ226" s="338"/>
      <c r="HA226" s="338"/>
      <c r="HE226" s="338"/>
      <c r="HF226" s="338"/>
      <c r="HG226" s="338"/>
      <c r="HN226" s="68"/>
      <c r="HO226" s="68"/>
      <c r="HP226" s="68"/>
      <c r="HQ226" s="336"/>
      <c r="HR226" s="68"/>
      <c r="HS226" s="68"/>
      <c r="HT226" s="10"/>
      <c r="HW226" s="338"/>
      <c r="HX226" s="338"/>
      <c r="HY226" s="338"/>
      <c r="IC226" s="338"/>
      <c r="ID226" s="338"/>
      <c r="IE226" s="338"/>
      <c r="II226" s="338"/>
      <c r="IJ226" s="338"/>
      <c r="IK226" s="338"/>
      <c r="IO226" s="338"/>
      <c r="IP226" s="338"/>
      <c r="IQ226" s="338"/>
      <c r="IX226" s="68"/>
      <c r="IY226" s="68"/>
      <c r="IZ226" s="68"/>
      <c r="JA226" s="68"/>
      <c r="JB226" s="68"/>
      <c r="JC226" s="68"/>
      <c r="JD226" s="10"/>
      <c r="JG226" s="338"/>
      <c r="JH226" s="338"/>
      <c r="JI226" s="338"/>
      <c r="JM226" s="338"/>
      <c r="JN226" s="338"/>
      <c r="JQ226" s="338"/>
      <c r="JR226" s="338"/>
      <c r="JS226" s="338"/>
      <c r="JW226" s="358"/>
      <c r="JX226" s="336"/>
      <c r="JY226" s="336"/>
      <c r="JZ226" s="336"/>
      <c r="KA226" s="336"/>
      <c r="KB226" s="336"/>
      <c r="KC226" s="336"/>
      <c r="KD226" s="336"/>
      <c r="KE226" s="336"/>
      <c r="KF226" s="336"/>
      <c r="KG226" s="337"/>
      <c r="KH226" s="338"/>
      <c r="KI226" s="338"/>
      <c r="KJ226" s="338"/>
      <c r="KK226" s="338"/>
      <c r="KL226" s="338"/>
      <c r="KM226" s="338"/>
      <c r="KN226" s="338"/>
      <c r="KO226" s="338"/>
      <c r="KP226" s="338"/>
      <c r="KQ226" s="338"/>
      <c r="KR226" s="338"/>
      <c r="KS226" s="338"/>
      <c r="KT226" s="338"/>
      <c r="KU226" s="338"/>
      <c r="KV226" s="338"/>
      <c r="KW226" s="337"/>
      <c r="KX226" s="336"/>
      <c r="KY226" s="336"/>
      <c r="KZ226" s="336"/>
      <c r="LA226" s="336"/>
      <c r="LB226" s="336"/>
      <c r="LC226" s="336"/>
      <c r="LD226" s="336"/>
      <c r="LE226" s="336"/>
      <c r="LF226" s="336"/>
      <c r="LG226" s="336"/>
      <c r="LH226" s="336"/>
      <c r="LI226" s="336"/>
      <c r="LJ226" s="336"/>
      <c r="LK226" s="336"/>
      <c r="LL226" s="336"/>
      <c r="LM226" s="336"/>
      <c r="LN226" s="336"/>
      <c r="LO226" s="336"/>
      <c r="LP226" s="336"/>
      <c r="LQ226" s="337"/>
      <c r="MN226" s="10"/>
      <c r="OA226" s="10"/>
    </row>
    <row r="227" spans="1:391" s="370" customFormat="1" x14ac:dyDescent="0.25">
      <c r="A227" s="68"/>
      <c r="B227" s="10"/>
      <c r="C227" s="68"/>
      <c r="D227" s="68"/>
      <c r="E227" s="68"/>
      <c r="F227" s="68"/>
      <c r="G227" s="68"/>
      <c r="H227" s="68"/>
      <c r="I227" s="68"/>
      <c r="J227" s="68"/>
      <c r="K227" s="68"/>
      <c r="L227" s="68"/>
      <c r="M227" s="68"/>
      <c r="N227" s="68"/>
      <c r="O227" s="68"/>
      <c r="P227" s="68"/>
      <c r="Q227" s="68"/>
      <c r="R227" s="68"/>
      <c r="S227" s="68"/>
      <c r="T227" s="70"/>
      <c r="AC227" s="68"/>
      <c r="AD227" s="70"/>
      <c r="AM227" s="68"/>
      <c r="AN227" s="70"/>
      <c r="AU227" s="68"/>
      <c r="AV227" s="70"/>
      <c r="BB227" s="68"/>
      <c r="BC227" s="70"/>
      <c r="BD227" s="68"/>
      <c r="BE227" s="68"/>
      <c r="BF227" s="68"/>
      <c r="BG227" s="68"/>
      <c r="BH227" s="68"/>
      <c r="BI227" s="68"/>
      <c r="BJ227" s="70"/>
      <c r="BM227" s="68"/>
      <c r="BN227" s="70"/>
      <c r="BT227" s="68"/>
      <c r="BU227" s="70"/>
      <c r="BZ227" s="10"/>
      <c r="CF227" s="10"/>
      <c r="CI227" s="389"/>
      <c r="CJ227" s="389"/>
      <c r="CK227" s="68"/>
      <c r="CL227" s="70"/>
      <c r="CO227" s="10"/>
      <c r="CU227" s="10"/>
      <c r="DA227" s="10"/>
      <c r="DB227" s="70"/>
      <c r="DC227" s="70"/>
      <c r="DF227" s="68"/>
      <c r="DG227" s="70"/>
      <c r="DH227" s="68"/>
      <c r="DI227" s="386"/>
      <c r="DJ227" s="425"/>
      <c r="DL227" s="68"/>
      <c r="DM227" s="70"/>
      <c r="DQ227" s="68"/>
      <c r="DR227" s="70"/>
      <c r="DS227" s="338"/>
      <c r="DT227" s="338"/>
      <c r="DU227" s="338"/>
      <c r="DW227" s="338"/>
      <c r="DX227" s="338"/>
      <c r="DY227" s="338"/>
      <c r="EA227" s="338"/>
      <c r="EB227" s="338"/>
      <c r="EC227" s="338"/>
      <c r="EE227" s="338"/>
      <c r="EF227" s="338"/>
      <c r="EG227" s="338"/>
      <c r="EI227" s="336"/>
      <c r="EJ227" s="336"/>
      <c r="EK227" s="336"/>
      <c r="EL227" s="336"/>
      <c r="EM227" s="336"/>
      <c r="EN227" s="336"/>
      <c r="EO227" s="337"/>
      <c r="EP227" s="342"/>
      <c r="EQ227" s="336"/>
      <c r="ER227" s="342"/>
      <c r="ES227" s="336"/>
      <c r="ET227" s="342"/>
      <c r="EU227" s="336"/>
      <c r="EV227" s="342"/>
      <c r="EW227" s="336"/>
      <c r="EX227" s="342"/>
      <c r="EY227" s="342"/>
      <c r="EZ227" s="342"/>
      <c r="FA227" s="337"/>
      <c r="FE227" s="338"/>
      <c r="FH227" s="338"/>
      <c r="FI227" s="338"/>
      <c r="FJ227" s="338"/>
      <c r="FK227" s="338"/>
      <c r="FL227" s="338"/>
      <c r="FM227" s="337"/>
      <c r="FN227" s="336"/>
      <c r="FO227" s="336"/>
      <c r="FP227" s="336"/>
      <c r="FQ227" s="336"/>
      <c r="FR227" s="336"/>
      <c r="FS227" s="336"/>
      <c r="FT227" s="336"/>
      <c r="FU227" s="336"/>
      <c r="FV227" s="336"/>
      <c r="FW227" s="337"/>
      <c r="FX227" s="532"/>
      <c r="FY227" s="341"/>
      <c r="FZ227" s="341"/>
      <c r="GA227" s="336"/>
      <c r="GB227" s="341"/>
      <c r="GC227" s="341"/>
      <c r="GD227" s="341"/>
      <c r="GE227" s="336"/>
      <c r="GF227" s="336"/>
      <c r="GG227" s="336"/>
      <c r="GH227" s="336"/>
      <c r="GI227" s="336"/>
      <c r="GJ227" s="337"/>
      <c r="GM227" s="338"/>
      <c r="GN227" s="338"/>
      <c r="GO227" s="338"/>
      <c r="GS227" s="338"/>
      <c r="GT227" s="338"/>
      <c r="GU227" s="338"/>
      <c r="GY227" s="338"/>
      <c r="GZ227" s="338"/>
      <c r="HA227" s="338"/>
      <c r="HE227" s="338"/>
      <c r="HF227" s="338"/>
      <c r="HG227" s="338"/>
      <c r="HN227" s="68"/>
      <c r="HO227" s="68"/>
      <c r="HP227" s="68"/>
      <c r="HQ227" s="336"/>
      <c r="HR227" s="68"/>
      <c r="HS227" s="68"/>
      <c r="HT227" s="10"/>
      <c r="HW227" s="338"/>
      <c r="HX227" s="338"/>
      <c r="HY227" s="338"/>
      <c r="IC227" s="338"/>
      <c r="ID227" s="338"/>
      <c r="IE227" s="338"/>
      <c r="II227" s="338"/>
      <c r="IJ227" s="338"/>
      <c r="IK227" s="338"/>
      <c r="IO227" s="338"/>
      <c r="IP227" s="338"/>
      <c r="IQ227" s="338"/>
      <c r="IX227" s="68"/>
      <c r="IY227" s="68"/>
      <c r="IZ227" s="68"/>
      <c r="JA227" s="68"/>
      <c r="JB227" s="68"/>
      <c r="JC227" s="68"/>
      <c r="JD227" s="10"/>
      <c r="JG227" s="338"/>
      <c r="JH227" s="338"/>
      <c r="JI227" s="338"/>
      <c r="JM227" s="338"/>
      <c r="JN227" s="338"/>
      <c r="JQ227" s="338"/>
      <c r="JR227" s="338"/>
      <c r="JS227" s="338"/>
      <c r="JW227" s="358"/>
      <c r="JX227" s="336"/>
      <c r="JY227" s="336"/>
      <c r="JZ227" s="336"/>
      <c r="KA227" s="336"/>
      <c r="KB227" s="336"/>
      <c r="KC227" s="336"/>
      <c r="KD227" s="336"/>
      <c r="KE227" s="336"/>
      <c r="KF227" s="336"/>
      <c r="KG227" s="337"/>
      <c r="KH227" s="338"/>
      <c r="KI227" s="338"/>
      <c r="KJ227" s="338"/>
      <c r="KK227" s="338"/>
      <c r="KL227" s="338"/>
      <c r="KM227" s="338"/>
      <c r="KN227" s="338"/>
      <c r="KO227" s="338"/>
      <c r="KP227" s="338"/>
      <c r="KQ227" s="338"/>
      <c r="KR227" s="338"/>
      <c r="KS227" s="338"/>
      <c r="KT227" s="338"/>
      <c r="KU227" s="338"/>
      <c r="KV227" s="338"/>
      <c r="KW227" s="337"/>
      <c r="KX227" s="336"/>
      <c r="KY227" s="336"/>
      <c r="KZ227" s="336"/>
      <c r="LA227" s="336"/>
      <c r="LB227" s="336"/>
      <c r="LC227" s="336"/>
      <c r="LD227" s="336"/>
      <c r="LE227" s="336"/>
      <c r="LF227" s="336"/>
      <c r="LG227" s="336"/>
      <c r="LH227" s="336"/>
      <c r="LI227" s="336"/>
      <c r="LJ227" s="336"/>
      <c r="LK227" s="336"/>
      <c r="LL227" s="336"/>
      <c r="LM227" s="336"/>
      <c r="LN227" s="336"/>
      <c r="LO227" s="336"/>
      <c r="LP227" s="336"/>
      <c r="LQ227" s="337"/>
      <c r="MN227" s="10"/>
      <c r="OA227" s="10"/>
    </row>
    <row r="228" spans="1:391" s="370" customFormat="1" x14ac:dyDescent="0.25">
      <c r="A228" s="68"/>
      <c r="B228" s="10"/>
      <c r="C228" s="68"/>
      <c r="D228" s="68"/>
      <c r="E228" s="68"/>
      <c r="F228" s="68"/>
      <c r="G228" s="68"/>
      <c r="H228" s="68"/>
      <c r="I228" s="68"/>
      <c r="J228" s="68"/>
      <c r="K228" s="68"/>
      <c r="L228" s="68"/>
      <c r="M228" s="68"/>
      <c r="N228" s="68"/>
      <c r="O228" s="68"/>
      <c r="P228" s="68"/>
      <c r="Q228" s="68"/>
      <c r="R228" s="68"/>
      <c r="S228" s="68"/>
      <c r="T228" s="70"/>
      <c r="AC228" s="68"/>
      <c r="AD228" s="70"/>
      <c r="AM228" s="68"/>
      <c r="AN228" s="70"/>
      <c r="AU228" s="68"/>
      <c r="AV228" s="70"/>
      <c r="BB228" s="68"/>
      <c r="BC228" s="70"/>
      <c r="BD228" s="68"/>
      <c r="BE228" s="68"/>
      <c r="BF228" s="68"/>
      <c r="BG228" s="68"/>
      <c r="BH228" s="68"/>
      <c r="BI228" s="68"/>
      <c r="BJ228" s="70"/>
      <c r="BM228" s="68"/>
      <c r="BN228" s="70"/>
      <c r="BT228" s="68"/>
      <c r="BU228" s="70"/>
      <c r="BZ228" s="10"/>
      <c r="CF228" s="10"/>
      <c r="CI228" s="389"/>
      <c r="CJ228" s="389"/>
      <c r="CK228" s="68"/>
      <c r="CL228" s="70"/>
      <c r="CO228" s="10"/>
      <c r="CU228" s="10"/>
      <c r="DA228" s="10"/>
      <c r="DB228" s="70"/>
      <c r="DC228" s="70"/>
      <c r="DF228" s="68"/>
      <c r="DG228" s="70"/>
      <c r="DH228" s="68"/>
      <c r="DI228" s="386"/>
      <c r="DJ228" s="425"/>
      <c r="DL228" s="68"/>
      <c r="DM228" s="70"/>
      <c r="DQ228" s="68"/>
      <c r="DR228" s="70"/>
      <c r="DS228" s="338"/>
      <c r="DT228" s="338"/>
      <c r="DU228" s="338"/>
      <c r="DW228" s="338"/>
      <c r="DX228" s="338"/>
      <c r="DY228" s="338"/>
      <c r="EA228" s="338"/>
      <c r="EB228" s="338"/>
      <c r="EC228" s="338"/>
      <c r="EE228" s="338"/>
      <c r="EF228" s="338"/>
      <c r="EG228" s="338"/>
      <c r="EI228" s="336"/>
      <c r="EJ228" s="336"/>
      <c r="EK228" s="336"/>
      <c r="EL228" s="336"/>
      <c r="EM228" s="336"/>
      <c r="EN228" s="336"/>
      <c r="EO228" s="337"/>
      <c r="EP228" s="342"/>
      <c r="EQ228" s="336"/>
      <c r="ER228" s="342"/>
      <c r="ES228" s="336"/>
      <c r="ET228" s="342"/>
      <c r="EU228" s="336"/>
      <c r="EV228" s="342"/>
      <c r="EW228" s="336"/>
      <c r="EX228" s="342"/>
      <c r="EY228" s="342"/>
      <c r="EZ228" s="342"/>
      <c r="FA228" s="337"/>
      <c r="FE228" s="338"/>
      <c r="FH228" s="338"/>
      <c r="FI228" s="338"/>
      <c r="FJ228" s="338"/>
      <c r="FK228" s="338"/>
      <c r="FL228" s="338"/>
      <c r="FM228" s="337"/>
      <c r="FN228" s="336"/>
      <c r="FO228" s="336"/>
      <c r="FP228" s="336"/>
      <c r="FQ228" s="336"/>
      <c r="FR228" s="336"/>
      <c r="FS228" s="336"/>
      <c r="FT228" s="336"/>
      <c r="FU228" s="336"/>
      <c r="FV228" s="336"/>
      <c r="FW228" s="337"/>
      <c r="FX228" s="532"/>
      <c r="FY228" s="341"/>
      <c r="FZ228" s="341"/>
      <c r="GA228" s="336"/>
      <c r="GB228" s="341"/>
      <c r="GC228" s="341"/>
      <c r="GD228" s="341"/>
      <c r="GE228" s="336"/>
      <c r="GF228" s="336"/>
      <c r="GG228" s="336"/>
      <c r="GH228" s="336"/>
      <c r="GI228" s="336"/>
      <c r="GJ228" s="337"/>
      <c r="GM228" s="338"/>
      <c r="GN228" s="338"/>
      <c r="GO228" s="338"/>
      <c r="GS228" s="338"/>
      <c r="GT228" s="338"/>
      <c r="GU228" s="338"/>
      <c r="GY228" s="338"/>
      <c r="GZ228" s="338"/>
      <c r="HA228" s="338"/>
      <c r="HE228" s="338"/>
      <c r="HF228" s="338"/>
      <c r="HG228" s="338"/>
      <c r="HN228" s="68"/>
      <c r="HO228" s="68"/>
      <c r="HP228" s="68"/>
      <c r="HQ228" s="336"/>
      <c r="HR228" s="68"/>
      <c r="HS228" s="68"/>
      <c r="HT228" s="10"/>
      <c r="HW228" s="338"/>
      <c r="HX228" s="338"/>
      <c r="HY228" s="338"/>
      <c r="IC228" s="338"/>
      <c r="ID228" s="338"/>
      <c r="IE228" s="338"/>
      <c r="II228" s="338"/>
      <c r="IJ228" s="338"/>
      <c r="IK228" s="338"/>
      <c r="IO228" s="338"/>
      <c r="IP228" s="338"/>
      <c r="IQ228" s="338"/>
      <c r="IX228" s="68"/>
      <c r="IY228" s="68"/>
      <c r="IZ228" s="68"/>
      <c r="JA228" s="68"/>
      <c r="JB228" s="68"/>
      <c r="JC228" s="68"/>
      <c r="JD228" s="10"/>
      <c r="JG228" s="338"/>
      <c r="JH228" s="338"/>
      <c r="JI228" s="338"/>
      <c r="JM228" s="338"/>
      <c r="JN228" s="338"/>
      <c r="JQ228" s="338"/>
      <c r="JR228" s="338"/>
      <c r="JS228" s="338"/>
      <c r="JW228" s="358"/>
      <c r="JX228" s="336"/>
      <c r="JY228" s="336"/>
      <c r="JZ228" s="336"/>
      <c r="KA228" s="336"/>
      <c r="KB228" s="336"/>
      <c r="KC228" s="336"/>
      <c r="KD228" s="336"/>
      <c r="KE228" s="336"/>
      <c r="KF228" s="336"/>
      <c r="KG228" s="337"/>
      <c r="KH228" s="338"/>
      <c r="KI228" s="338"/>
      <c r="KJ228" s="338"/>
      <c r="KK228" s="338"/>
      <c r="KL228" s="338"/>
      <c r="KM228" s="338"/>
      <c r="KN228" s="338"/>
      <c r="KO228" s="338"/>
      <c r="KP228" s="338"/>
      <c r="KQ228" s="338"/>
      <c r="KR228" s="338"/>
      <c r="KS228" s="338"/>
      <c r="KT228" s="338"/>
      <c r="KU228" s="338"/>
      <c r="KV228" s="338"/>
      <c r="KW228" s="337"/>
      <c r="KX228" s="336"/>
      <c r="KY228" s="336"/>
      <c r="KZ228" s="336"/>
      <c r="LA228" s="336"/>
      <c r="LB228" s="336"/>
      <c r="LC228" s="336"/>
      <c r="LD228" s="336"/>
      <c r="LE228" s="336"/>
      <c r="LF228" s="336"/>
      <c r="LG228" s="336"/>
      <c r="LH228" s="336"/>
      <c r="LI228" s="336"/>
      <c r="LJ228" s="336"/>
      <c r="LK228" s="336"/>
      <c r="LL228" s="336"/>
      <c r="LM228" s="336"/>
      <c r="LN228" s="336"/>
      <c r="LO228" s="336"/>
      <c r="LP228" s="336"/>
      <c r="LQ228" s="337"/>
      <c r="MN228" s="10"/>
      <c r="OA228" s="10"/>
    </row>
    <row r="229" spans="1:391" s="370" customFormat="1" x14ac:dyDescent="0.25">
      <c r="A229" s="68"/>
      <c r="B229" s="10"/>
      <c r="C229" s="68"/>
      <c r="D229" s="68"/>
      <c r="E229" s="68"/>
      <c r="F229" s="68"/>
      <c r="G229" s="68"/>
      <c r="H229" s="68"/>
      <c r="I229" s="68"/>
      <c r="J229" s="68"/>
      <c r="K229" s="68"/>
      <c r="L229" s="68"/>
      <c r="M229" s="68"/>
      <c r="N229" s="68"/>
      <c r="O229" s="68"/>
      <c r="P229" s="68"/>
      <c r="Q229" s="68"/>
      <c r="R229" s="68"/>
      <c r="S229" s="68"/>
      <c r="T229" s="70"/>
      <c r="AC229" s="68"/>
      <c r="AD229" s="70"/>
      <c r="AM229" s="68"/>
      <c r="AN229" s="70"/>
      <c r="AU229" s="68"/>
      <c r="AV229" s="70"/>
      <c r="BB229" s="68"/>
      <c r="BC229" s="70"/>
      <c r="BD229" s="68"/>
      <c r="BE229" s="68"/>
      <c r="BF229" s="68"/>
      <c r="BG229" s="68"/>
      <c r="BH229" s="68"/>
      <c r="BI229" s="68"/>
      <c r="BJ229" s="70"/>
      <c r="BM229" s="68"/>
      <c r="BN229" s="70"/>
      <c r="BT229" s="68"/>
      <c r="BU229" s="70"/>
      <c r="BZ229" s="10"/>
      <c r="CF229" s="10"/>
      <c r="CI229" s="389"/>
      <c r="CJ229" s="389"/>
      <c r="CK229" s="68"/>
      <c r="CL229" s="70"/>
      <c r="CO229" s="10"/>
      <c r="CU229" s="10"/>
      <c r="DA229" s="10"/>
      <c r="DB229" s="70"/>
      <c r="DC229" s="70"/>
      <c r="DF229" s="68"/>
      <c r="DG229" s="70"/>
      <c r="DH229" s="68"/>
      <c r="DI229" s="386"/>
      <c r="DJ229" s="425"/>
      <c r="DL229" s="68"/>
      <c r="DM229" s="70"/>
      <c r="DQ229" s="68"/>
      <c r="DR229" s="70"/>
      <c r="DS229" s="338"/>
      <c r="DT229" s="338"/>
      <c r="DU229" s="338"/>
      <c r="DW229" s="338"/>
      <c r="DX229" s="338"/>
      <c r="DY229" s="338"/>
      <c r="EA229" s="338"/>
      <c r="EB229" s="338"/>
      <c r="EC229" s="338"/>
      <c r="EE229" s="338"/>
      <c r="EF229" s="338"/>
      <c r="EG229" s="338"/>
      <c r="EI229" s="336"/>
      <c r="EJ229" s="336"/>
      <c r="EK229" s="336"/>
      <c r="EL229" s="336"/>
      <c r="EM229" s="336"/>
      <c r="EN229" s="336"/>
      <c r="EO229" s="337"/>
      <c r="EP229" s="342"/>
      <c r="EQ229" s="336"/>
      <c r="ER229" s="342"/>
      <c r="ES229" s="336"/>
      <c r="ET229" s="342"/>
      <c r="EU229" s="336"/>
      <c r="EV229" s="342"/>
      <c r="EW229" s="336"/>
      <c r="EX229" s="342"/>
      <c r="EY229" s="342"/>
      <c r="EZ229" s="342"/>
      <c r="FA229" s="337"/>
      <c r="FE229" s="338"/>
      <c r="FH229" s="338"/>
      <c r="FI229" s="338"/>
      <c r="FJ229" s="338"/>
      <c r="FK229" s="338"/>
      <c r="FL229" s="338"/>
      <c r="FM229" s="337"/>
      <c r="FN229" s="336"/>
      <c r="FO229" s="336"/>
      <c r="FP229" s="336"/>
      <c r="FQ229" s="336"/>
      <c r="FR229" s="336"/>
      <c r="FS229" s="336"/>
      <c r="FT229" s="336"/>
      <c r="FU229" s="336"/>
      <c r="FV229" s="336"/>
      <c r="FW229" s="337"/>
      <c r="FX229" s="532"/>
      <c r="FY229" s="341"/>
      <c r="FZ229" s="341"/>
      <c r="GA229" s="336"/>
      <c r="GB229" s="341"/>
      <c r="GC229" s="341"/>
      <c r="GD229" s="341"/>
      <c r="GE229" s="336"/>
      <c r="GF229" s="336"/>
      <c r="GG229" s="336"/>
      <c r="GH229" s="336"/>
      <c r="GI229" s="336"/>
      <c r="GJ229" s="337"/>
      <c r="GM229" s="338"/>
      <c r="GN229" s="338"/>
      <c r="GO229" s="338"/>
      <c r="GS229" s="338"/>
      <c r="GT229" s="338"/>
      <c r="GU229" s="338"/>
      <c r="GY229" s="338"/>
      <c r="GZ229" s="338"/>
      <c r="HA229" s="338"/>
      <c r="HE229" s="338"/>
      <c r="HF229" s="338"/>
      <c r="HG229" s="338"/>
      <c r="HN229" s="68"/>
      <c r="HO229" s="68"/>
      <c r="HP229" s="68"/>
      <c r="HQ229" s="336"/>
      <c r="HR229" s="68"/>
      <c r="HS229" s="68"/>
      <c r="HT229" s="10"/>
      <c r="HW229" s="338"/>
      <c r="HX229" s="338"/>
      <c r="HY229" s="338"/>
      <c r="IC229" s="338"/>
      <c r="ID229" s="338"/>
      <c r="IE229" s="338"/>
      <c r="II229" s="338"/>
      <c r="IJ229" s="338"/>
      <c r="IK229" s="338"/>
      <c r="IO229" s="338"/>
      <c r="IP229" s="338"/>
      <c r="IQ229" s="338"/>
      <c r="IX229" s="68"/>
      <c r="IY229" s="68"/>
      <c r="IZ229" s="68"/>
      <c r="JA229" s="68"/>
      <c r="JB229" s="68"/>
      <c r="JC229" s="68"/>
      <c r="JD229" s="10"/>
      <c r="JG229" s="338"/>
      <c r="JH229" s="338"/>
      <c r="JI229" s="338"/>
      <c r="JM229" s="338"/>
      <c r="JN229" s="338"/>
      <c r="JQ229" s="338"/>
      <c r="JR229" s="338"/>
      <c r="JS229" s="338"/>
      <c r="JW229" s="358"/>
      <c r="JX229" s="336"/>
      <c r="JY229" s="336"/>
      <c r="JZ229" s="336"/>
      <c r="KA229" s="336"/>
      <c r="KB229" s="336"/>
      <c r="KC229" s="336"/>
      <c r="KD229" s="336"/>
      <c r="KE229" s="336"/>
      <c r="KF229" s="336"/>
      <c r="KG229" s="337"/>
      <c r="KH229" s="338"/>
      <c r="KI229" s="338"/>
      <c r="KJ229" s="338"/>
      <c r="KK229" s="338"/>
      <c r="KL229" s="338"/>
      <c r="KM229" s="338"/>
      <c r="KN229" s="338"/>
      <c r="KO229" s="338"/>
      <c r="KP229" s="338"/>
      <c r="KQ229" s="338"/>
      <c r="KR229" s="338"/>
      <c r="KS229" s="338"/>
      <c r="KT229" s="338"/>
      <c r="KU229" s="338"/>
      <c r="KV229" s="338"/>
      <c r="KW229" s="337"/>
      <c r="KX229" s="336"/>
      <c r="KY229" s="336"/>
      <c r="KZ229" s="336"/>
      <c r="LA229" s="336"/>
      <c r="LB229" s="336"/>
      <c r="LC229" s="336"/>
      <c r="LD229" s="336"/>
      <c r="LE229" s="336"/>
      <c r="LF229" s="336"/>
      <c r="LG229" s="336"/>
      <c r="LH229" s="336"/>
      <c r="LI229" s="336"/>
      <c r="LJ229" s="336"/>
      <c r="LK229" s="336"/>
      <c r="LL229" s="336"/>
      <c r="LM229" s="336"/>
      <c r="LN229" s="336"/>
      <c r="LO229" s="336"/>
      <c r="LP229" s="336"/>
      <c r="LQ229" s="337"/>
      <c r="MN229" s="10"/>
      <c r="OA229" s="10"/>
    </row>
    <row r="230" spans="1:391" s="370" customFormat="1" x14ac:dyDescent="0.25">
      <c r="A230" s="68"/>
      <c r="B230" s="10"/>
      <c r="C230" s="68"/>
      <c r="D230" s="68"/>
      <c r="E230" s="68"/>
      <c r="F230" s="68"/>
      <c r="G230" s="68"/>
      <c r="H230" s="68"/>
      <c r="I230" s="68"/>
      <c r="J230" s="68"/>
      <c r="K230" s="68"/>
      <c r="L230" s="68"/>
      <c r="M230" s="68"/>
      <c r="N230" s="68"/>
      <c r="O230" s="68"/>
      <c r="P230" s="68"/>
      <c r="Q230" s="68"/>
      <c r="R230" s="68"/>
      <c r="S230" s="68"/>
      <c r="T230" s="70"/>
      <c r="AC230" s="68"/>
      <c r="AD230" s="70"/>
      <c r="AM230" s="68"/>
      <c r="AN230" s="70"/>
      <c r="AU230" s="68"/>
      <c r="AV230" s="70"/>
      <c r="BB230" s="68"/>
      <c r="BC230" s="70"/>
      <c r="BD230" s="68"/>
      <c r="BE230" s="68"/>
      <c r="BF230" s="68"/>
      <c r="BG230" s="68"/>
      <c r="BH230" s="68"/>
      <c r="BI230" s="68"/>
      <c r="BJ230" s="70"/>
      <c r="BM230" s="68"/>
      <c r="BN230" s="70"/>
      <c r="BT230" s="68"/>
      <c r="BU230" s="70"/>
      <c r="BZ230" s="10"/>
      <c r="CF230" s="10"/>
      <c r="CI230" s="389"/>
      <c r="CJ230" s="389"/>
      <c r="CK230" s="68"/>
      <c r="CL230" s="70"/>
      <c r="CO230" s="10"/>
      <c r="CU230" s="10"/>
      <c r="DA230" s="10"/>
      <c r="DB230" s="70"/>
      <c r="DC230" s="70"/>
      <c r="DF230" s="68"/>
      <c r="DG230" s="70"/>
      <c r="DH230" s="68"/>
      <c r="DI230" s="386"/>
      <c r="DJ230" s="425"/>
      <c r="DL230" s="68"/>
      <c r="DM230" s="70"/>
      <c r="DQ230" s="68"/>
      <c r="DR230" s="70"/>
      <c r="DS230" s="338"/>
      <c r="DT230" s="338"/>
      <c r="DU230" s="338"/>
      <c r="DW230" s="338"/>
      <c r="DX230" s="338"/>
      <c r="DY230" s="338"/>
      <c r="EA230" s="338"/>
      <c r="EB230" s="338"/>
      <c r="EC230" s="338"/>
      <c r="EE230" s="338"/>
      <c r="EF230" s="338"/>
      <c r="EG230" s="338"/>
      <c r="EI230" s="336"/>
      <c r="EJ230" s="336"/>
      <c r="EK230" s="336"/>
      <c r="EL230" s="336"/>
      <c r="EM230" s="336"/>
      <c r="EN230" s="336"/>
      <c r="EO230" s="337"/>
      <c r="EP230" s="342"/>
      <c r="EQ230" s="336"/>
      <c r="ER230" s="342"/>
      <c r="ES230" s="336"/>
      <c r="ET230" s="342"/>
      <c r="EU230" s="336"/>
      <c r="EV230" s="342"/>
      <c r="EW230" s="336"/>
      <c r="EX230" s="342"/>
      <c r="EY230" s="342"/>
      <c r="EZ230" s="342"/>
      <c r="FA230" s="337"/>
      <c r="FE230" s="338"/>
      <c r="FH230" s="338"/>
      <c r="FI230" s="338"/>
      <c r="FJ230" s="338"/>
      <c r="FK230" s="338"/>
      <c r="FL230" s="338"/>
      <c r="FM230" s="337"/>
      <c r="FN230" s="336"/>
      <c r="FO230" s="336"/>
      <c r="FP230" s="336"/>
      <c r="FQ230" s="336"/>
      <c r="FR230" s="336"/>
      <c r="FS230" s="336"/>
      <c r="FT230" s="336"/>
      <c r="FU230" s="336"/>
      <c r="FV230" s="336"/>
      <c r="FW230" s="337"/>
      <c r="FX230" s="532"/>
      <c r="FY230" s="341"/>
      <c r="FZ230" s="341"/>
      <c r="GA230" s="336"/>
      <c r="GB230" s="341"/>
      <c r="GC230" s="341"/>
      <c r="GD230" s="341"/>
      <c r="GE230" s="336"/>
      <c r="GF230" s="336"/>
      <c r="GG230" s="336"/>
      <c r="GH230" s="336"/>
      <c r="GI230" s="336"/>
      <c r="GJ230" s="337"/>
      <c r="GM230" s="338"/>
      <c r="GN230" s="338"/>
      <c r="GO230" s="338"/>
      <c r="GS230" s="338"/>
      <c r="GT230" s="338"/>
      <c r="GU230" s="338"/>
      <c r="GY230" s="338"/>
      <c r="GZ230" s="338"/>
      <c r="HA230" s="338"/>
      <c r="HE230" s="338"/>
      <c r="HF230" s="338"/>
      <c r="HG230" s="338"/>
      <c r="HN230" s="68"/>
      <c r="HO230" s="68"/>
      <c r="HP230" s="68"/>
      <c r="HQ230" s="336"/>
      <c r="HR230" s="68"/>
      <c r="HS230" s="68"/>
      <c r="HT230" s="10"/>
      <c r="HW230" s="338"/>
      <c r="HX230" s="338"/>
      <c r="HY230" s="338"/>
      <c r="IC230" s="338"/>
      <c r="ID230" s="338"/>
      <c r="IE230" s="338"/>
      <c r="II230" s="338"/>
      <c r="IJ230" s="338"/>
      <c r="IK230" s="338"/>
      <c r="IO230" s="338"/>
      <c r="IP230" s="338"/>
      <c r="IQ230" s="338"/>
      <c r="IX230" s="68"/>
      <c r="IY230" s="68"/>
      <c r="IZ230" s="68"/>
      <c r="JA230" s="68"/>
      <c r="JB230" s="68"/>
      <c r="JC230" s="68"/>
      <c r="JD230" s="10"/>
      <c r="JG230" s="338"/>
      <c r="JH230" s="338"/>
      <c r="JI230" s="338"/>
      <c r="JM230" s="338"/>
      <c r="JN230" s="338"/>
      <c r="JQ230" s="338"/>
      <c r="JR230" s="338"/>
      <c r="JS230" s="338"/>
      <c r="JW230" s="358"/>
      <c r="JX230" s="336"/>
      <c r="JY230" s="336"/>
      <c r="JZ230" s="336"/>
      <c r="KA230" s="336"/>
      <c r="KB230" s="336"/>
      <c r="KC230" s="336"/>
      <c r="KD230" s="336"/>
      <c r="KE230" s="336"/>
      <c r="KF230" s="336"/>
      <c r="KG230" s="337"/>
      <c r="KH230" s="338"/>
      <c r="KI230" s="338"/>
      <c r="KJ230" s="338"/>
      <c r="KK230" s="338"/>
      <c r="KL230" s="338"/>
      <c r="KM230" s="338"/>
      <c r="KN230" s="338"/>
      <c r="KO230" s="338"/>
      <c r="KP230" s="338"/>
      <c r="KQ230" s="338"/>
      <c r="KR230" s="338"/>
      <c r="KS230" s="338"/>
      <c r="KT230" s="338"/>
      <c r="KU230" s="338"/>
      <c r="KV230" s="338"/>
      <c r="KW230" s="337"/>
      <c r="KX230" s="336"/>
      <c r="KY230" s="336"/>
      <c r="KZ230" s="336"/>
      <c r="LA230" s="336"/>
      <c r="LB230" s="336"/>
      <c r="LC230" s="336"/>
      <c r="LD230" s="336"/>
      <c r="LE230" s="336"/>
      <c r="LF230" s="336"/>
      <c r="LG230" s="336"/>
      <c r="LH230" s="336"/>
      <c r="LI230" s="336"/>
      <c r="LJ230" s="336"/>
      <c r="LK230" s="336"/>
      <c r="LL230" s="336"/>
      <c r="LM230" s="336"/>
      <c r="LN230" s="336"/>
      <c r="LO230" s="336"/>
      <c r="LP230" s="336"/>
      <c r="LQ230" s="337"/>
      <c r="MN230" s="10"/>
      <c r="OA230" s="10"/>
    </row>
    <row r="231" spans="1:391" s="370" customFormat="1" x14ac:dyDescent="0.25">
      <c r="A231" s="68"/>
      <c r="B231" s="10"/>
      <c r="C231" s="68"/>
      <c r="D231" s="68"/>
      <c r="E231" s="68"/>
      <c r="F231" s="68"/>
      <c r="G231" s="68"/>
      <c r="H231" s="68"/>
      <c r="I231" s="68"/>
      <c r="J231" s="68"/>
      <c r="K231" s="68"/>
      <c r="L231" s="68"/>
      <c r="M231" s="68"/>
      <c r="N231" s="68"/>
      <c r="O231" s="68"/>
      <c r="P231" s="68"/>
      <c r="Q231" s="68"/>
      <c r="R231" s="68"/>
      <c r="S231" s="68"/>
      <c r="T231" s="70"/>
      <c r="AC231" s="68"/>
      <c r="AD231" s="70"/>
      <c r="AM231" s="68"/>
      <c r="AN231" s="70"/>
      <c r="AU231" s="68"/>
      <c r="AV231" s="70"/>
      <c r="BB231" s="68"/>
      <c r="BC231" s="70"/>
      <c r="BD231" s="68"/>
      <c r="BE231" s="68"/>
      <c r="BF231" s="68"/>
      <c r="BG231" s="68"/>
      <c r="BH231" s="68"/>
      <c r="BI231" s="68"/>
      <c r="BJ231" s="70"/>
      <c r="BM231" s="68"/>
      <c r="BN231" s="70"/>
      <c r="BT231" s="68"/>
      <c r="BU231" s="70"/>
      <c r="BZ231" s="10"/>
      <c r="CF231" s="10"/>
      <c r="CI231" s="389"/>
      <c r="CJ231" s="389"/>
      <c r="CK231" s="68"/>
      <c r="CL231" s="70"/>
      <c r="CO231" s="10"/>
      <c r="CU231" s="10"/>
      <c r="DA231" s="10"/>
      <c r="DB231" s="70"/>
      <c r="DC231" s="70"/>
      <c r="DF231" s="68"/>
      <c r="DG231" s="70"/>
      <c r="DH231" s="68"/>
      <c r="DI231" s="386"/>
      <c r="DJ231" s="425"/>
      <c r="DL231" s="68"/>
      <c r="DM231" s="70"/>
      <c r="DQ231" s="68"/>
      <c r="DR231" s="70"/>
      <c r="DS231" s="338"/>
      <c r="DT231" s="338"/>
      <c r="DU231" s="338"/>
      <c r="DW231" s="338"/>
      <c r="DX231" s="338"/>
      <c r="DY231" s="338"/>
      <c r="EA231" s="338"/>
      <c r="EB231" s="338"/>
      <c r="EC231" s="338"/>
      <c r="EE231" s="338"/>
      <c r="EF231" s="338"/>
      <c r="EG231" s="338"/>
      <c r="EI231" s="336"/>
      <c r="EJ231" s="336"/>
      <c r="EK231" s="336"/>
      <c r="EL231" s="336"/>
      <c r="EM231" s="336"/>
      <c r="EN231" s="336"/>
      <c r="EO231" s="337"/>
      <c r="EP231" s="342"/>
      <c r="EQ231" s="336"/>
      <c r="ER231" s="342"/>
      <c r="ES231" s="336"/>
      <c r="ET231" s="342"/>
      <c r="EU231" s="336"/>
      <c r="EV231" s="342"/>
      <c r="EW231" s="336"/>
      <c r="EX231" s="342"/>
      <c r="EY231" s="342"/>
      <c r="EZ231" s="342"/>
      <c r="FA231" s="337"/>
      <c r="FE231" s="338"/>
      <c r="FH231" s="338"/>
      <c r="FI231" s="338"/>
      <c r="FJ231" s="338"/>
      <c r="FK231" s="338"/>
      <c r="FL231" s="338"/>
      <c r="FM231" s="337"/>
      <c r="FN231" s="336"/>
      <c r="FO231" s="336"/>
      <c r="FP231" s="336"/>
      <c r="FQ231" s="336"/>
      <c r="FR231" s="336"/>
      <c r="FS231" s="336"/>
      <c r="FT231" s="336"/>
      <c r="FU231" s="336"/>
      <c r="FV231" s="336"/>
      <c r="FW231" s="337"/>
      <c r="FX231" s="532"/>
      <c r="FY231" s="341"/>
      <c r="FZ231" s="341"/>
      <c r="GA231" s="336"/>
      <c r="GB231" s="341"/>
      <c r="GC231" s="341"/>
      <c r="GD231" s="341"/>
      <c r="GE231" s="336"/>
      <c r="GF231" s="336"/>
      <c r="GG231" s="336"/>
      <c r="GH231" s="336"/>
      <c r="GI231" s="336"/>
      <c r="GJ231" s="337"/>
      <c r="GM231" s="338"/>
      <c r="GN231" s="338"/>
      <c r="GO231" s="338"/>
      <c r="GS231" s="338"/>
      <c r="GT231" s="338"/>
      <c r="GU231" s="338"/>
      <c r="GY231" s="338"/>
      <c r="GZ231" s="338"/>
      <c r="HA231" s="338"/>
      <c r="HE231" s="338"/>
      <c r="HF231" s="338"/>
      <c r="HG231" s="338"/>
      <c r="HN231" s="68"/>
      <c r="HO231" s="68"/>
      <c r="HP231" s="68"/>
      <c r="HQ231" s="336"/>
      <c r="HR231" s="68"/>
      <c r="HS231" s="68"/>
      <c r="HT231" s="10"/>
      <c r="HW231" s="338"/>
      <c r="HX231" s="338"/>
      <c r="HY231" s="338"/>
      <c r="IC231" s="338"/>
      <c r="ID231" s="338"/>
      <c r="IE231" s="338"/>
      <c r="II231" s="338"/>
      <c r="IJ231" s="338"/>
      <c r="IK231" s="338"/>
      <c r="IO231" s="338"/>
      <c r="IP231" s="338"/>
      <c r="IQ231" s="338"/>
      <c r="IX231" s="68"/>
      <c r="IY231" s="68"/>
      <c r="IZ231" s="68"/>
      <c r="JA231" s="68"/>
      <c r="JB231" s="68"/>
      <c r="JC231" s="68"/>
      <c r="JD231" s="10"/>
      <c r="JG231" s="338"/>
      <c r="JH231" s="338"/>
      <c r="JI231" s="338"/>
      <c r="JM231" s="338"/>
      <c r="JN231" s="338"/>
      <c r="JQ231" s="338"/>
      <c r="JR231" s="338"/>
      <c r="JS231" s="338"/>
      <c r="JW231" s="358"/>
      <c r="JX231" s="336"/>
      <c r="JY231" s="336"/>
      <c r="JZ231" s="336"/>
      <c r="KA231" s="336"/>
      <c r="KB231" s="336"/>
      <c r="KC231" s="336"/>
      <c r="KD231" s="336"/>
      <c r="KE231" s="336"/>
      <c r="KF231" s="336"/>
      <c r="KG231" s="337"/>
      <c r="KH231" s="338"/>
      <c r="KI231" s="338"/>
      <c r="KJ231" s="338"/>
      <c r="KK231" s="338"/>
      <c r="KL231" s="338"/>
      <c r="KM231" s="338"/>
      <c r="KN231" s="338"/>
      <c r="KO231" s="338"/>
      <c r="KP231" s="338"/>
      <c r="KQ231" s="338"/>
      <c r="KR231" s="338"/>
      <c r="KS231" s="338"/>
      <c r="KT231" s="338"/>
      <c r="KU231" s="338"/>
      <c r="KV231" s="338"/>
      <c r="KW231" s="337"/>
      <c r="KX231" s="336"/>
      <c r="KY231" s="336"/>
      <c r="KZ231" s="336"/>
      <c r="LA231" s="336"/>
      <c r="LB231" s="336"/>
      <c r="LC231" s="336"/>
      <c r="LD231" s="336"/>
      <c r="LE231" s="336"/>
      <c r="LF231" s="336"/>
      <c r="LG231" s="336"/>
      <c r="LH231" s="336"/>
      <c r="LI231" s="336"/>
      <c r="LJ231" s="336"/>
      <c r="LK231" s="336"/>
      <c r="LL231" s="336"/>
      <c r="LM231" s="336"/>
      <c r="LN231" s="336"/>
      <c r="LO231" s="336"/>
      <c r="LP231" s="336"/>
      <c r="LQ231" s="337"/>
      <c r="MN231" s="10"/>
      <c r="OA231" s="10"/>
    </row>
    <row r="232" spans="1:391" s="370" customFormat="1" x14ac:dyDescent="0.25">
      <c r="A232" s="68"/>
      <c r="B232" s="10"/>
      <c r="C232" s="68"/>
      <c r="D232" s="68"/>
      <c r="E232" s="68"/>
      <c r="F232" s="68"/>
      <c r="G232" s="68"/>
      <c r="H232" s="68"/>
      <c r="I232" s="68"/>
      <c r="J232" s="68"/>
      <c r="K232" s="68"/>
      <c r="L232" s="68"/>
      <c r="M232" s="68"/>
      <c r="N232" s="68"/>
      <c r="O232" s="68"/>
      <c r="P232" s="68"/>
      <c r="Q232" s="68"/>
      <c r="R232" s="68"/>
      <c r="S232" s="68"/>
      <c r="T232" s="70"/>
      <c r="AC232" s="68"/>
      <c r="AD232" s="70"/>
      <c r="AM232" s="68"/>
      <c r="AN232" s="70"/>
      <c r="AU232" s="68"/>
      <c r="AV232" s="70"/>
      <c r="BB232" s="68"/>
      <c r="BC232" s="70"/>
      <c r="BD232" s="68"/>
      <c r="BE232" s="68"/>
      <c r="BF232" s="68"/>
      <c r="BG232" s="68"/>
      <c r="BH232" s="68"/>
      <c r="BI232" s="68"/>
      <c r="BJ232" s="70"/>
      <c r="BM232" s="68"/>
      <c r="BN232" s="70"/>
      <c r="BT232" s="68"/>
      <c r="BU232" s="70"/>
      <c r="BZ232" s="10"/>
      <c r="CF232" s="10"/>
      <c r="CI232" s="389"/>
      <c r="CJ232" s="389"/>
      <c r="CK232" s="68"/>
      <c r="CL232" s="70"/>
      <c r="CO232" s="10"/>
      <c r="CU232" s="10"/>
      <c r="DA232" s="10"/>
      <c r="DB232" s="70"/>
      <c r="DC232" s="70"/>
      <c r="DF232" s="68"/>
      <c r="DG232" s="70"/>
      <c r="DH232" s="68"/>
      <c r="DI232" s="386"/>
      <c r="DJ232" s="425"/>
      <c r="DL232" s="68"/>
      <c r="DM232" s="70"/>
      <c r="DQ232" s="68"/>
      <c r="DR232" s="70"/>
      <c r="DS232" s="338"/>
      <c r="DT232" s="338"/>
      <c r="DU232" s="338"/>
      <c r="DW232" s="338"/>
      <c r="DX232" s="338"/>
      <c r="DY232" s="338"/>
      <c r="EA232" s="338"/>
      <c r="EB232" s="338"/>
      <c r="EC232" s="338"/>
      <c r="EE232" s="338"/>
      <c r="EF232" s="338"/>
      <c r="EG232" s="338"/>
      <c r="EI232" s="336"/>
      <c r="EJ232" s="336"/>
      <c r="EK232" s="336"/>
      <c r="EL232" s="336"/>
      <c r="EM232" s="336"/>
      <c r="EN232" s="336"/>
      <c r="EO232" s="337"/>
      <c r="EP232" s="342"/>
      <c r="EQ232" s="336"/>
      <c r="ER232" s="342"/>
      <c r="ES232" s="336"/>
      <c r="ET232" s="342"/>
      <c r="EU232" s="336"/>
      <c r="EV232" s="342"/>
      <c r="EW232" s="336"/>
      <c r="EX232" s="342"/>
      <c r="EY232" s="342"/>
      <c r="EZ232" s="342"/>
      <c r="FA232" s="337"/>
      <c r="FE232" s="338"/>
      <c r="FH232" s="338"/>
      <c r="FI232" s="338"/>
      <c r="FJ232" s="338"/>
      <c r="FK232" s="338"/>
      <c r="FL232" s="338"/>
      <c r="FM232" s="337"/>
      <c r="FN232" s="336"/>
      <c r="FO232" s="336"/>
      <c r="FP232" s="336"/>
      <c r="FQ232" s="336"/>
      <c r="FR232" s="336"/>
      <c r="FS232" s="336"/>
      <c r="FT232" s="336"/>
      <c r="FU232" s="336"/>
      <c r="FV232" s="336"/>
      <c r="FW232" s="337"/>
      <c r="FX232" s="532"/>
      <c r="FY232" s="341"/>
      <c r="FZ232" s="341"/>
      <c r="GA232" s="336"/>
      <c r="GB232" s="341"/>
      <c r="GC232" s="341"/>
      <c r="GD232" s="341"/>
      <c r="GE232" s="336"/>
      <c r="GF232" s="336"/>
      <c r="GG232" s="336"/>
      <c r="GH232" s="336"/>
      <c r="GI232" s="336"/>
      <c r="GJ232" s="337"/>
      <c r="GM232" s="338"/>
      <c r="GN232" s="338"/>
      <c r="GO232" s="338"/>
      <c r="GS232" s="338"/>
      <c r="GT232" s="338"/>
      <c r="GU232" s="338"/>
      <c r="GY232" s="338"/>
      <c r="GZ232" s="338"/>
      <c r="HA232" s="338"/>
      <c r="HE232" s="338"/>
      <c r="HF232" s="338"/>
      <c r="HG232" s="338"/>
      <c r="HN232" s="68"/>
      <c r="HO232" s="68"/>
      <c r="HP232" s="68"/>
      <c r="HQ232" s="336"/>
      <c r="HR232" s="68"/>
      <c r="HS232" s="68"/>
      <c r="HT232" s="10"/>
      <c r="HW232" s="338"/>
      <c r="HX232" s="338"/>
      <c r="HY232" s="338"/>
      <c r="IC232" s="338"/>
      <c r="ID232" s="338"/>
      <c r="IE232" s="338"/>
      <c r="II232" s="338"/>
      <c r="IJ232" s="338"/>
      <c r="IK232" s="338"/>
      <c r="IO232" s="338"/>
      <c r="IP232" s="338"/>
      <c r="IQ232" s="338"/>
      <c r="IX232" s="68"/>
      <c r="IY232" s="68"/>
      <c r="IZ232" s="68"/>
      <c r="JA232" s="68"/>
      <c r="JB232" s="68"/>
      <c r="JC232" s="68"/>
      <c r="JD232" s="10"/>
      <c r="JG232" s="338"/>
      <c r="JH232" s="338"/>
      <c r="JI232" s="338"/>
      <c r="JM232" s="338"/>
      <c r="JN232" s="338"/>
      <c r="JQ232" s="338"/>
      <c r="JR232" s="338"/>
      <c r="JS232" s="338"/>
      <c r="JW232" s="358"/>
      <c r="JX232" s="336"/>
      <c r="JY232" s="336"/>
      <c r="JZ232" s="336"/>
      <c r="KA232" s="336"/>
      <c r="KB232" s="336"/>
      <c r="KC232" s="336"/>
      <c r="KD232" s="336"/>
      <c r="KE232" s="336"/>
      <c r="KF232" s="336"/>
      <c r="KG232" s="337"/>
      <c r="KH232" s="338"/>
      <c r="KI232" s="338"/>
      <c r="KJ232" s="338"/>
      <c r="KK232" s="338"/>
      <c r="KL232" s="338"/>
      <c r="KM232" s="338"/>
      <c r="KN232" s="338"/>
      <c r="KO232" s="338"/>
      <c r="KP232" s="338"/>
      <c r="KQ232" s="338"/>
      <c r="KR232" s="338"/>
      <c r="KS232" s="338"/>
      <c r="KT232" s="338"/>
      <c r="KU232" s="338"/>
      <c r="KV232" s="338"/>
      <c r="KW232" s="337"/>
      <c r="KX232" s="336"/>
      <c r="KY232" s="336"/>
      <c r="KZ232" s="336"/>
      <c r="LA232" s="336"/>
      <c r="LB232" s="336"/>
      <c r="LC232" s="336"/>
      <c r="LD232" s="336"/>
      <c r="LE232" s="336"/>
      <c r="LF232" s="336"/>
      <c r="LG232" s="336"/>
      <c r="LH232" s="336"/>
      <c r="LI232" s="336"/>
      <c r="LJ232" s="336"/>
      <c r="LK232" s="336"/>
      <c r="LL232" s="336"/>
      <c r="LM232" s="336"/>
      <c r="LN232" s="336"/>
      <c r="LO232" s="336"/>
      <c r="LP232" s="336"/>
      <c r="LQ232" s="337"/>
      <c r="MN232" s="10"/>
      <c r="OA232" s="10"/>
    </row>
    <row r="233" spans="1:391" s="370" customFormat="1" x14ac:dyDescent="0.25">
      <c r="A233" s="68"/>
      <c r="B233" s="10"/>
      <c r="C233" s="68"/>
      <c r="D233" s="68"/>
      <c r="E233" s="68"/>
      <c r="F233" s="68"/>
      <c r="G233" s="68"/>
      <c r="H233" s="68"/>
      <c r="I233" s="68"/>
      <c r="J233" s="68"/>
      <c r="K233" s="68"/>
      <c r="L233" s="68"/>
      <c r="M233" s="68"/>
      <c r="N233" s="68"/>
      <c r="O233" s="68"/>
      <c r="P233" s="68"/>
      <c r="Q233" s="68"/>
      <c r="R233" s="68"/>
      <c r="S233" s="68"/>
      <c r="T233" s="70"/>
      <c r="AC233" s="68"/>
      <c r="AD233" s="70"/>
      <c r="AM233" s="68"/>
      <c r="AN233" s="70"/>
      <c r="AU233" s="68"/>
      <c r="AV233" s="70"/>
      <c r="BB233" s="68"/>
      <c r="BC233" s="70"/>
      <c r="BD233" s="68"/>
      <c r="BE233" s="68"/>
      <c r="BF233" s="68"/>
      <c r="BG233" s="68"/>
      <c r="BH233" s="68"/>
      <c r="BI233" s="68"/>
      <c r="BJ233" s="70"/>
      <c r="BM233" s="68"/>
      <c r="BN233" s="70"/>
      <c r="BT233" s="68"/>
      <c r="BU233" s="70"/>
      <c r="BZ233" s="10"/>
      <c r="CF233" s="10"/>
      <c r="CI233" s="389"/>
      <c r="CJ233" s="389"/>
      <c r="CK233" s="68"/>
      <c r="CL233" s="70"/>
      <c r="CO233" s="10"/>
      <c r="CU233" s="10"/>
      <c r="DA233" s="10"/>
      <c r="DB233" s="70"/>
      <c r="DC233" s="70"/>
      <c r="DF233" s="68"/>
      <c r="DG233" s="70"/>
      <c r="DH233" s="68"/>
      <c r="DI233" s="386"/>
      <c r="DJ233" s="425"/>
      <c r="DL233" s="68"/>
      <c r="DM233" s="70"/>
      <c r="DQ233" s="68"/>
      <c r="DR233" s="70"/>
      <c r="DS233" s="338"/>
      <c r="DT233" s="338"/>
      <c r="DU233" s="338"/>
      <c r="DW233" s="338"/>
      <c r="DX233" s="338"/>
      <c r="DY233" s="338"/>
      <c r="EA233" s="338"/>
      <c r="EB233" s="338"/>
      <c r="EC233" s="338"/>
      <c r="EE233" s="338"/>
      <c r="EF233" s="338"/>
      <c r="EG233" s="338"/>
      <c r="EI233" s="336"/>
      <c r="EJ233" s="336"/>
      <c r="EK233" s="336"/>
      <c r="EL233" s="336"/>
      <c r="EM233" s="336"/>
      <c r="EN233" s="336"/>
      <c r="EO233" s="337"/>
      <c r="EP233" s="342"/>
      <c r="EQ233" s="336"/>
      <c r="ER233" s="342"/>
      <c r="ES233" s="336"/>
      <c r="ET233" s="342"/>
      <c r="EU233" s="336"/>
      <c r="EV233" s="342"/>
      <c r="EW233" s="336"/>
      <c r="EX233" s="342"/>
      <c r="EY233" s="342"/>
      <c r="EZ233" s="342"/>
      <c r="FA233" s="337"/>
      <c r="FE233" s="338"/>
      <c r="FH233" s="338"/>
      <c r="FI233" s="338"/>
      <c r="FJ233" s="338"/>
      <c r="FK233" s="338"/>
      <c r="FL233" s="338"/>
      <c r="FM233" s="337"/>
      <c r="FN233" s="336"/>
      <c r="FO233" s="336"/>
      <c r="FP233" s="336"/>
      <c r="FQ233" s="336"/>
      <c r="FR233" s="336"/>
      <c r="FS233" s="336"/>
      <c r="FT233" s="336"/>
      <c r="FU233" s="336"/>
      <c r="FV233" s="336"/>
      <c r="FW233" s="337"/>
      <c r="FX233" s="532"/>
      <c r="FY233" s="341"/>
      <c r="FZ233" s="341"/>
      <c r="GA233" s="336"/>
      <c r="GB233" s="341"/>
      <c r="GC233" s="341"/>
      <c r="GD233" s="341"/>
      <c r="GE233" s="336"/>
      <c r="GF233" s="336"/>
      <c r="GG233" s="336"/>
      <c r="GH233" s="336"/>
      <c r="GI233" s="336"/>
      <c r="GJ233" s="337"/>
      <c r="GM233" s="338"/>
      <c r="GN233" s="338"/>
      <c r="GO233" s="338"/>
      <c r="GS233" s="338"/>
      <c r="GT233" s="338"/>
      <c r="GU233" s="338"/>
      <c r="GY233" s="338"/>
      <c r="GZ233" s="338"/>
      <c r="HA233" s="338"/>
      <c r="HE233" s="338"/>
      <c r="HF233" s="338"/>
      <c r="HG233" s="338"/>
      <c r="HN233" s="68"/>
      <c r="HO233" s="68"/>
      <c r="HP233" s="68"/>
      <c r="HQ233" s="336"/>
      <c r="HR233" s="68"/>
      <c r="HS233" s="68"/>
      <c r="HT233" s="10"/>
      <c r="HW233" s="338"/>
      <c r="HX233" s="338"/>
      <c r="HY233" s="338"/>
      <c r="IC233" s="338"/>
      <c r="ID233" s="338"/>
      <c r="IE233" s="338"/>
      <c r="II233" s="338"/>
      <c r="IJ233" s="338"/>
      <c r="IK233" s="338"/>
      <c r="IO233" s="338"/>
      <c r="IP233" s="338"/>
      <c r="IQ233" s="338"/>
      <c r="IX233" s="68"/>
      <c r="IY233" s="68"/>
      <c r="IZ233" s="68"/>
      <c r="JA233" s="68"/>
      <c r="JB233" s="68"/>
      <c r="JC233" s="68"/>
      <c r="JD233" s="10"/>
      <c r="JG233" s="338"/>
      <c r="JH233" s="338"/>
      <c r="JI233" s="338"/>
      <c r="JM233" s="338"/>
      <c r="JN233" s="338"/>
      <c r="JQ233" s="338"/>
      <c r="JR233" s="338"/>
      <c r="JS233" s="338"/>
      <c r="JW233" s="358"/>
      <c r="JX233" s="336"/>
      <c r="JY233" s="336"/>
      <c r="JZ233" s="336"/>
      <c r="KA233" s="336"/>
      <c r="KB233" s="336"/>
      <c r="KC233" s="336"/>
      <c r="KD233" s="336"/>
      <c r="KE233" s="336"/>
      <c r="KF233" s="336"/>
      <c r="KG233" s="337"/>
      <c r="KH233" s="338"/>
      <c r="KI233" s="338"/>
      <c r="KJ233" s="338"/>
      <c r="KK233" s="338"/>
      <c r="KL233" s="338"/>
      <c r="KM233" s="338"/>
      <c r="KN233" s="338"/>
      <c r="KO233" s="338"/>
      <c r="KP233" s="338"/>
      <c r="KQ233" s="338"/>
      <c r="KR233" s="338"/>
      <c r="KS233" s="338"/>
      <c r="KT233" s="338"/>
      <c r="KU233" s="338"/>
      <c r="KV233" s="338"/>
      <c r="KW233" s="337"/>
      <c r="KX233" s="336"/>
      <c r="KY233" s="336"/>
      <c r="KZ233" s="336"/>
      <c r="LA233" s="336"/>
      <c r="LB233" s="336"/>
      <c r="LC233" s="336"/>
      <c r="LD233" s="336"/>
      <c r="LE233" s="336"/>
      <c r="LF233" s="336"/>
      <c r="LG233" s="336"/>
      <c r="LH233" s="336"/>
      <c r="LI233" s="336"/>
      <c r="LJ233" s="336"/>
      <c r="LK233" s="336"/>
      <c r="LL233" s="336"/>
      <c r="LM233" s="336"/>
      <c r="LN233" s="336"/>
      <c r="LO233" s="336"/>
      <c r="LP233" s="336"/>
      <c r="LQ233" s="337"/>
      <c r="MN233" s="10"/>
      <c r="OA233" s="10"/>
    </row>
    <row r="234" spans="1:391" s="370" customFormat="1" x14ac:dyDescent="0.25">
      <c r="A234" s="68"/>
      <c r="B234" s="10"/>
      <c r="C234" s="68"/>
      <c r="D234" s="68"/>
      <c r="E234" s="68"/>
      <c r="F234" s="68"/>
      <c r="G234" s="68"/>
      <c r="H234" s="68"/>
      <c r="I234" s="68"/>
      <c r="J234" s="68"/>
      <c r="K234" s="68"/>
      <c r="L234" s="68"/>
      <c r="M234" s="68"/>
      <c r="N234" s="68"/>
      <c r="O234" s="68"/>
      <c r="P234" s="68"/>
      <c r="Q234" s="68"/>
      <c r="R234" s="68"/>
      <c r="S234" s="68"/>
      <c r="T234" s="70"/>
      <c r="AC234" s="68"/>
      <c r="AD234" s="70"/>
      <c r="AM234" s="68"/>
      <c r="AN234" s="70"/>
      <c r="AU234" s="68"/>
      <c r="AV234" s="70"/>
      <c r="BB234" s="68"/>
      <c r="BC234" s="70"/>
      <c r="BD234" s="68"/>
      <c r="BE234" s="68"/>
      <c r="BF234" s="68"/>
      <c r="BG234" s="68"/>
      <c r="BH234" s="68"/>
      <c r="BI234" s="68"/>
      <c r="BJ234" s="70"/>
      <c r="BM234" s="68"/>
      <c r="BN234" s="70"/>
      <c r="BT234" s="68"/>
      <c r="BU234" s="70"/>
      <c r="BZ234" s="10"/>
      <c r="CF234" s="10"/>
      <c r="CI234" s="389"/>
      <c r="CJ234" s="389"/>
      <c r="CK234" s="68"/>
      <c r="CL234" s="70"/>
      <c r="CO234" s="10"/>
      <c r="CU234" s="10"/>
      <c r="DA234" s="10"/>
      <c r="DB234" s="70"/>
      <c r="DC234" s="70"/>
      <c r="DF234" s="68"/>
      <c r="DG234" s="70"/>
      <c r="DH234" s="68"/>
      <c r="DI234" s="386"/>
      <c r="DJ234" s="425"/>
      <c r="DL234" s="68"/>
      <c r="DM234" s="70"/>
      <c r="DQ234" s="68"/>
      <c r="DR234" s="70"/>
      <c r="DS234" s="338"/>
      <c r="DT234" s="338"/>
      <c r="DU234" s="338"/>
      <c r="DW234" s="338"/>
      <c r="DX234" s="338"/>
      <c r="DY234" s="338"/>
      <c r="EA234" s="338"/>
      <c r="EB234" s="338"/>
      <c r="EC234" s="338"/>
      <c r="EE234" s="338"/>
      <c r="EF234" s="338"/>
      <c r="EG234" s="338"/>
      <c r="EI234" s="336"/>
      <c r="EJ234" s="336"/>
      <c r="EK234" s="336"/>
      <c r="EL234" s="336"/>
      <c r="EM234" s="336"/>
      <c r="EN234" s="336"/>
      <c r="EO234" s="337"/>
      <c r="EP234" s="342"/>
      <c r="EQ234" s="336"/>
      <c r="ER234" s="342"/>
      <c r="ES234" s="336"/>
      <c r="ET234" s="342"/>
      <c r="EU234" s="336"/>
      <c r="EV234" s="342"/>
      <c r="EW234" s="336"/>
      <c r="EX234" s="342"/>
      <c r="EY234" s="342"/>
      <c r="EZ234" s="342"/>
      <c r="FA234" s="337"/>
      <c r="FE234" s="338"/>
      <c r="FH234" s="338"/>
      <c r="FI234" s="338"/>
      <c r="FJ234" s="338"/>
      <c r="FK234" s="338"/>
      <c r="FL234" s="338"/>
      <c r="FM234" s="337"/>
      <c r="FN234" s="336"/>
      <c r="FO234" s="336"/>
      <c r="FP234" s="336"/>
      <c r="FQ234" s="336"/>
      <c r="FR234" s="336"/>
      <c r="FS234" s="336"/>
      <c r="FT234" s="336"/>
      <c r="FU234" s="336"/>
      <c r="FV234" s="336"/>
      <c r="FW234" s="337"/>
      <c r="FX234" s="532"/>
      <c r="FY234" s="341"/>
      <c r="FZ234" s="341"/>
      <c r="GA234" s="336"/>
      <c r="GB234" s="341"/>
      <c r="GC234" s="341"/>
      <c r="GD234" s="341"/>
      <c r="GE234" s="336"/>
      <c r="GF234" s="336"/>
      <c r="GG234" s="336"/>
      <c r="GH234" s="336"/>
      <c r="GI234" s="336"/>
      <c r="GJ234" s="337"/>
      <c r="GM234" s="338"/>
      <c r="GN234" s="338"/>
      <c r="GO234" s="338"/>
      <c r="GS234" s="338"/>
      <c r="GT234" s="338"/>
      <c r="GU234" s="338"/>
      <c r="GY234" s="338"/>
      <c r="GZ234" s="338"/>
      <c r="HA234" s="338"/>
      <c r="HE234" s="338"/>
      <c r="HF234" s="338"/>
      <c r="HG234" s="338"/>
      <c r="HN234" s="68"/>
      <c r="HO234" s="68"/>
      <c r="HP234" s="68"/>
      <c r="HQ234" s="336"/>
      <c r="HR234" s="68"/>
      <c r="HS234" s="68"/>
      <c r="HT234" s="10"/>
      <c r="HW234" s="338"/>
      <c r="HX234" s="338"/>
      <c r="HY234" s="338"/>
      <c r="IC234" s="338"/>
      <c r="ID234" s="338"/>
      <c r="IE234" s="338"/>
      <c r="II234" s="338"/>
      <c r="IJ234" s="338"/>
      <c r="IK234" s="338"/>
      <c r="IO234" s="338"/>
      <c r="IP234" s="338"/>
      <c r="IQ234" s="338"/>
      <c r="IX234" s="68"/>
      <c r="IY234" s="68"/>
      <c r="IZ234" s="68"/>
      <c r="JA234" s="68"/>
      <c r="JB234" s="68"/>
      <c r="JC234" s="68"/>
      <c r="JD234" s="10"/>
      <c r="JG234" s="338"/>
      <c r="JH234" s="338"/>
      <c r="JI234" s="338"/>
      <c r="JM234" s="338"/>
      <c r="JN234" s="338"/>
      <c r="JQ234" s="338"/>
      <c r="JR234" s="338"/>
      <c r="JS234" s="338"/>
      <c r="JW234" s="358"/>
      <c r="JX234" s="336"/>
      <c r="JY234" s="336"/>
      <c r="JZ234" s="336"/>
      <c r="KA234" s="336"/>
      <c r="KB234" s="336"/>
      <c r="KC234" s="336"/>
      <c r="KD234" s="336"/>
      <c r="KE234" s="336"/>
      <c r="KF234" s="336"/>
      <c r="KG234" s="337"/>
      <c r="KH234" s="338"/>
      <c r="KI234" s="338"/>
      <c r="KJ234" s="338"/>
      <c r="KK234" s="338"/>
      <c r="KL234" s="338"/>
      <c r="KM234" s="338"/>
      <c r="KN234" s="338"/>
      <c r="KO234" s="338"/>
      <c r="KP234" s="338"/>
      <c r="KQ234" s="338"/>
      <c r="KR234" s="338"/>
      <c r="KS234" s="338"/>
      <c r="KT234" s="338"/>
      <c r="KU234" s="338"/>
      <c r="KV234" s="338"/>
      <c r="KW234" s="337"/>
      <c r="KX234" s="336"/>
      <c r="KY234" s="336"/>
      <c r="KZ234" s="336"/>
      <c r="LA234" s="336"/>
      <c r="LB234" s="336"/>
      <c r="LC234" s="336"/>
      <c r="LD234" s="336"/>
      <c r="LE234" s="336"/>
      <c r="LF234" s="336"/>
      <c r="LG234" s="336"/>
      <c r="LH234" s="336"/>
      <c r="LI234" s="336"/>
      <c r="LJ234" s="336"/>
      <c r="LK234" s="336"/>
      <c r="LL234" s="336"/>
      <c r="LM234" s="336"/>
      <c r="LN234" s="336"/>
      <c r="LO234" s="336"/>
      <c r="LP234" s="336"/>
      <c r="LQ234" s="337"/>
      <c r="MN234" s="10"/>
      <c r="OA234" s="10"/>
    </row>
    <row r="235" spans="1:391" s="370" customFormat="1" x14ac:dyDescent="0.25">
      <c r="A235" s="68"/>
      <c r="B235" s="10"/>
      <c r="C235" s="68"/>
      <c r="D235" s="68"/>
      <c r="E235" s="68"/>
      <c r="F235" s="68"/>
      <c r="G235" s="68"/>
      <c r="H235" s="68"/>
      <c r="I235" s="68"/>
      <c r="J235" s="68"/>
      <c r="K235" s="68"/>
      <c r="L235" s="68"/>
      <c r="M235" s="68"/>
      <c r="N235" s="68"/>
      <c r="O235" s="68"/>
      <c r="P235" s="68"/>
      <c r="Q235" s="68"/>
      <c r="R235" s="68"/>
      <c r="S235" s="68"/>
      <c r="T235" s="70"/>
      <c r="AC235" s="68"/>
      <c r="AD235" s="70"/>
      <c r="AM235" s="68"/>
      <c r="AN235" s="70"/>
      <c r="AU235" s="68"/>
      <c r="AV235" s="70"/>
      <c r="BB235" s="68"/>
      <c r="BC235" s="70"/>
      <c r="BD235" s="68"/>
      <c r="BE235" s="68"/>
      <c r="BF235" s="68"/>
      <c r="BG235" s="68"/>
      <c r="BH235" s="68"/>
      <c r="BI235" s="68"/>
      <c r="BJ235" s="70"/>
      <c r="BM235" s="68"/>
      <c r="BN235" s="70"/>
      <c r="BT235" s="68"/>
      <c r="BU235" s="70"/>
      <c r="BZ235" s="10"/>
      <c r="CF235" s="10"/>
      <c r="CI235" s="389"/>
      <c r="CJ235" s="389"/>
      <c r="CK235" s="68"/>
      <c r="CL235" s="70"/>
      <c r="CO235" s="10"/>
      <c r="CU235" s="10"/>
      <c r="DA235" s="10"/>
      <c r="DB235" s="70"/>
      <c r="DC235" s="70"/>
      <c r="DF235" s="68"/>
      <c r="DG235" s="70"/>
      <c r="DH235" s="68"/>
      <c r="DI235" s="386"/>
      <c r="DJ235" s="425"/>
      <c r="DL235" s="68"/>
      <c r="DM235" s="70"/>
      <c r="DQ235" s="68"/>
      <c r="DR235" s="70"/>
      <c r="DS235" s="338"/>
      <c r="DT235" s="338"/>
      <c r="DU235" s="338"/>
      <c r="DW235" s="338"/>
      <c r="DX235" s="338"/>
      <c r="DY235" s="338"/>
      <c r="EA235" s="338"/>
      <c r="EB235" s="338"/>
      <c r="EC235" s="338"/>
      <c r="EE235" s="338"/>
      <c r="EF235" s="338"/>
      <c r="EG235" s="338"/>
      <c r="EI235" s="336"/>
      <c r="EJ235" s="336"/>
      <c r="EK235" s="336"/>
      <c r="EL235" s="336"/>
      <c r="EM235" s="336"/>
      <c r="EN235" s="336"/>
      <c r="EO235" s="337"/>
      <c r="EP235" s="342"/>
      <c r="EQ235" s="336"/>
      <c r="ER235" s="342"/>
      <c r="ES235" s="336"/>
      <c r="ET235" s="342"/>
      <c r="EU235" s="336"/>
      <c r="EV235" s="342"/>
      <c r="EW235" s="336"/>
      <c r="EX235" s="342"/>
      <c r="EY235" s="342"/>
      <c r="EZ235" s="342"/>
      <c r="FA235" s="337"/>
      <c r="FE235" s="338"/>
      <c r="FH235" s="338"/>
      <c r="FI235" s="338"/>
      <c r="FJ235" s="338"/>
      <c r="FK235" s="338"/>
      <c r="FL235" s="338"/>
      <c r="FM235" s="337"/>
      <c r="FN235" s="336"/>
      <c r="FO235" s="336"/>
      <c r="FP235" s="336"/>
      <c r="FQ235" s="336"/>
      <c r="FR235" s="336"/>
      <c r="FS235" s="336"/>
      <c r="FT235" s="336"/>
      <c r="FU235" s="336"/>
      <c r="FV235" s="336"/>
      <c r="FW235" s="337"/>
      <c r="FX235" s="532"/>
      <c r="FY235" s="341"/>
      <c r="FZ235" s="341"/>
      <c r="GA235" s="336"/>
      <c r="GB235" s="341"/>
      <c r="GC235" s="341"/>
      <c r="GD235" s="341"/>
      <c r="GE235" s="336"/>
      <c r="GF235" s="336"/>
      <c r="GG235" s="336"/>
      <c r="GH235" s="336"/>
      <c r="GI235" s="336"/>
      <c r="GJ235" s="337"/>
      <c r="GM235" s="338"/>
      <c r="GN235" s="338"/>
      <c r="GO235" s="338"/>
      <c r="GS235" s="338"/>
      <c r="GT235" s="338"/>
      <c r="GU235" s="338"/>
      <c r="GY235" s="338"/>
      <c r="GZ235" s="338"/>
      <c r="HA235" s="338"/>
      <c r="HE235" s="338"/>
      <c r="HF235" s="338"/>
      <c r="HG235" s="338"/>
      <c r="HN235" s="68"/>
      <c r="HO235" s="68"/>
      <c r="HP235" s="68"/>
      <c r="HQ235" s="336"/>
      <c r="HR235" s="68"/>
      <c r="HS235" s="68"/>
      <c r="HT235" s="10"/>
      <c r="HW235" s="338"/>
      <c r="HX235" s="338"/>
      <c r="HY235" s="338"/>
      <c r="IC235" s="338"/>
      <c r="ID235" s="338"/>
      <c r="IE235" s="338"/>
      <c r="II235" s="338"/>
      <c r="IJ235" s="338"/>
      <c r="IK235" s="338"/>
      <c r="IO235" s="338"/>
      <c r="IP235" s="338"/>
      <c r="IQ235" s="338"/>
      <c r="IX235" s="68"/>
      <c r="IY235" s="68"/>
      <c r="IZ235" s="68"/>
      <c r="JA235" s="68"/>
      <c r="JB235" s="68"/>
      <c r="JC235" s="68"/>
      <c r="JD235" s="10"/>
      <c r="JG235" s="338"/>
      <c r="JH235" s="338"/>
      <c r="JI235" s="338"/>
      <c r="JM235" s="338"/>
      <c r="JN235" s="338"/>
      <c r="JQ235" s="338"/>
      <c r="JR235" s="338"/>
      <c r="JS235" s="338"/>
      <c r="JW235" s="358"/>
      <c r="JX235" s="336"/>
      <c r="JY235" s="336"/>
      <c r="JZ235" s="336"/>
      <c r="KA235" s="336"/>
      <c r="KB235" s="336"/>
      <c r="KC235" s="336"/>
      <c r="KD235" s="336"/>
      <c r="KE235" s="336"/>
      <c r="KF235" s="336"/>
      <c r="KG235" s="337"/>
      <c r="KH235" s="338"/>
      <c r="KI235" s="338"/>
      <c r="KJ235" s="338"/>
      <c r="KK235" s="338"/>
      <c r="KL235" s="338"/>
      <c r="KM235" s="338"/>
      <c r="KN235" s="338"/>
      <c r="KO235" s="338"/>
      <c r="KP235" s="338"/>
      <c r="KQ235" s="338"/>
      <c r="KR235" s="338"/>
      <c r="KS235" s="338"/>
      <c r="KT235" s="338"/>
      <c r="KU235" s="338"/>
      <c r="KV235" s="338"/>
      <c r="KW235" s="337"/>
      <c r="KX235" s="336"/>
      <c r="KY235" s="336"/>
      <c r="KZ235" s="336"/>
      <c r="LA235" s="336"/>
      <c r="LB235" s="336"/>
      <c r="LC235" s="336"/>
      <c r="LD235" s="336"/>
      <c r="LE235" s="336"/>
      <c r="LF235" s="336"/>
      <c r="LG235" s="336"/>
      <c r="LH235" s="336"/>
      <c r="LI235" s="336"/>
      <c r="LJ235" s="336"/>
      <c r="LK235" s="336"/>
      <c r="LL235" s="336"/>
      <c r="LM235" s="336"/>
      <c r="LN235" s="336"/>
      <c r="LO235" s="336"/>
      <c r="LP235" s="336"/>
      <c r="LQ235" s="337"/>
      <c r="MN235" s="10"/>
      <c r="OA235" s="10"/>
    </row>
    <row r="236" spans="1:391" s="370" customFormat="1" x14ac:dyDescent="0.25">
      <c r="A236" s="68"/>
      <c r="B236" s="10"/>
      <c r="C236" s="68"/>
      <c r="D236" s="68"/>
      <c r="E236" s="68"/>
      <c r="F236" s="68"/>
      <c r="G236" s="68"/>
      <c r="H236" s="68"/>
      <c r="I236" s="68"/>
      <c r="J236" s="68"/>
      <c r="K236" s="68"/>
      <c r="L236" s="68"/>
      <c r="M236" s="68"/>
      <c r="N236" s="68"/>
      <c r="O236" s="68"/>
      <c r="P236" s="68"/>
      <c r="Q236" s="68"/>
      <c r="R236" s="68"/>
      <c r="S236" s="68"/>
      <c r="T236" s="70"/>
      <c r="AC236" s="68"/>
      <c r="AD236" s="70"/>
      <c r="AM236" s="68"/>
      <c r="AN236" s="70"/>
      <c r="AU236" s="68"/>
      <c r="AV236" s="70"/>
      <c r="BB236" s="68"/>
      <c r="BC236" s="70"/>
      <c r="BD236" s="68"/>
      <c r="BE236" s="68"/>
      <c r="BF236" s="68"/>
      <c r="BG236" s="68"/>
      <c r="BH236" s="68"/>
      <c r="BI236" s="68"/>
      <c r="BJ236" s="70"/>
      <c r="BM236" s="68"/>
      <c r="BN236" s="70"/>
      <c r="BT236" s="68"/>
      <c r="BU236" s="70"/>
      <c r="BZ236" s="10"/>
      <c r="CF236" s="10"/>
      <c r="CI236" s="389"/>
      <c r="CJ236" s="389"/>
      <c r="CK236" s="68"/>
      <c r="CL236" s="70"/>
      <c r="CO236" s="10"/>
      <c r="CU236" s="10"/>
      <c r="DA236" s="10"/>
      <c r="DB236" s="70"/>
      <c r="DC236" s="70"/>
      <c r="DF236" s="68"/>
      <c r="DG236" s="70"/>
      <c r="DH236" s="68"/>
      <c r="DI236" s="386"/>
      <c r="DJ236" s="425"/>
      <c r="DL236" s="68"/>
      <c r="DM236" s="70"/>
      <c r="DQ236" s="68"/>
      <c r="DR236" s="70"/>
      <c r="DS236" s="338"/>
      <c r="DT236" s="338"/>
      <c r="DU236" s="338"/>
      <c r="DW236" s="338"/>
      <c r="DX236" s="338"/>
      <c r="DY236" s="338"/>
      <c r="EA236" s="338"/>
      <c r="EB236" s="338"/>
      <c r="EC236" s="338"/>
      <c r="EE236" s="338"/>
      <c r="EF236" s="338"/>
      <c r="EG236" s="338"/>
      <c r="EI236" s="336"/>
      <c r="EJ236" s="336"/>
      <c r="EK236" s="336"/>
      <c r="EL236" s="336"/>
      <c r="EM236" s="336"/>
      <c r="EN236" s="336"/>
      <c r="EO236" s="337"/>
      <c r="EP236" s="342"/>
      <c r="EQ236" s="336"/>
      <c r="ER236" s="342"/>
      <c r="ES236" s="336"/>
      <c r="ET236" s="342"/>
      <c r="EU236" s="336"/>
      <c r="EV236" s="342"/>
      <c r="EW236" s="336"/>
      <c r="EX236" s="342"/>
      <c r="EY236" s="342"/>
      <c r="EZ236" s="342"/>
      <c r="FA236" s="337"/>
      <c r="FE236" s="338"/>
      <c r="FH236" s="338"/>
      <c r="FI236" s="338"/>
      <c r="FJ236" s="338"/>
      <c r="FK236" s="338"/>
      <c r="FL236" s="338"/>
      <c r="FM236" s="337"/>
      <c r="FN236" s="336"/>
      <c r="FO236" s="336"/>
      <c r="FP236" s="336"/>
      <c r="FQ236" s="336"/>
      <c r="FR236" s="336"/>
      <c r="FS236" s="336"/>
      <c r="FT236" s="336"/>
      <c r="FU236" s="336"/>
      <c r="FV236" s="336"/>
      <c r="FW236" s="337"/>
      <c r="FX236" s="532"/>
      <c r="FY236" s="341"/>
      <c r="FZ236" s="341"/>
      <c r="GA236" s="336"/>
      <c r="GB236" s="341"/>
      <c r="GC236" s="341"/>
      <c r="GD236" s="341"/>
      <c r="GE236" s="336"/>
      <c r="GF236" s="336"/>
      <c r="GG236" s="336"/>
      <c r="GH236" s="336"/>
      <c r="GI236" s="336"/>
      <c r="GJ236" s="337"/>
      <c r="GM236" s="338"/>
      <c r="GN236" s="338"/>
      <c r="GO236" s="338"/>
      <c r="GS236" s="338"/>
      <c r="GT236" s="338"/>
      <c r="GU236" s="338"/>
      <c r="GY236" s="338"/>
      <c r="GZ236" s="338"/>
      <c r="HA236" s="338"/>
      <c r="HE236" s="338"/>
      <c r="HF236" s="338"/>
      <c r="HG236" s="338"/>
      <c r="HN236" s="68"/>
      <c r="HO236" s="68"/>
      <c r="HP236" s="68"/>
      <c r="HQ236" s="336"/>
      <c r="HR236" s="68"/>
      <c r="HS236" s="68"/>
      <c r="HT236" s="10"/>
      <c r="HW236" s="338"/>
      <c r="HX236" s="338"/>
      <c r="HY236" s="338"/>
      <c r="IC236" s="338"/>
      <c r="ID236" s="338"/>
      <c r="IE236" s="338"/>
      <c r="II236" s="338"/>
      <c r="IJ236" s="338"/>
      <c r="IK236" s="338"/>
      <c r="IO236" s="338"/>
      <c r="IP236" s="338"/>
      <c r="IQ236" s="338"/>
      <c r="IX236" s="68"/>
      <c r="IY236" s="68"/>
      <c r="IZ236" s="68"/>
      <c r="JA236" s="68"/>
      <c r="JB236" s="68"/>
      <c r="JC236" s="68"/>
      <c r="JD236" s="10"/>
      <c r="JG236" s="338"/>
      <c r="JH236" s="338"/>
      <c r="JI236" s="338"/>
      <c r="JM236" s="338"/>
      <c r="JN236" s="338"/>
      <c r="JQ236" s="338"/>
      <c r="JR236" s="338"/>
      <c r="JS236" s="338"/>
      <c r="JW236" s="358"/>
      <c r="JX236" s="336"/>
      <c r="JY236" s="336"/>
      <c r="JZ236" s="336"/>
      <c r="KA236" s="336"/>
      <c r="KB236" s="336"/>
      <c r="KC236" s="336"/>
      <c r="KD236" s="336"/>
      <c r="KE236" s="336"/>
      <c r="KF236" s="336"/>
      <c r="KG236" s="337"/>
      <c r="KH236" s="338"/>
      <c r="KI236" s="338"/>
      <c r="KJ236" s="338"/>
      <c r="KK236" s="338"/>
      <c r="KL236" s="338"/>
      <c r="KM236" s="338"/>
      <c r="KN236" s="338"/>
      <c r="KO236" s="338"/>
      <c r="KP236" s="338"/>
      <c r="KQ236" s="338"/>
      <c r="KR236" s="338"/>
      <c r="KS236" s="338"/>
      <c r="KT236" s="338"/>
      <c r="KU236" s="338"/>
      <c r="KV236" s="338"/>
      <c r="KW236" s="337"/>
      <c r="KX236" s="336"/>
      <c r="KY236" s="336"/>
      <c r="KZ236" s="336"/>
      <c r="LA236" s="336"/>
      <c r="LB236" s="336"/>
      <c r="LC236" s="336"/>
      <c r="LD236" s="336"/>
      <c r="LE236" s="336"/>
      <c r="LF236" s="336"/>
      <c r="LG236" s="336"/>
      <c r="LH236" s="336"/>
      <c r="LI236" s="336"/>
      <c r="LJ236" s="336"/>
      <c r="LK236" s="336"/>
      <c r="LL236" s="336"/>
      <c r="LM236" s="336"/>
      <c r="LN236" s="336"/>
      <c r="LO236" s="336"/>
      <c r="LP236" s="336"/>
      <c r="LQ236" s="337"/>
      <c r="MN236" s="10"/>
      <c r="OA236" s="10"/>
    </row>
    <row r="237" spans="1:391" s="370" customFormat="1" x14ac:dyDescent="0.25">
      <c r="A237" s="68"/>
      <c r="B237" s="10"/>
      <c r="C237" s="68"/>
      <c r="D237" s="68"/>
      <c r="E237" s="68"/>
      <c r="F237" s="68"/>
      <c r="G237" s="68"/>
      <c r="H237" s="68"/>
      <c r="I237" s="68"/>
      <c r="J237" s="68"/>
      <c r="K237" s="68"/>
      <c r="L237" s="68"/>
      <c r="M237" s="68"/>
      <c r="N237" s="68"/>
      <c r="O237" s="68"/>
      <c r="P237" s="68"/>
      <c r="Q237" s="68"/>
      <c r="R237" s="68"/>
      <c r="S237" s="68"/>
      <c r="T237" s="70"/>
      <c r="AC237" s="68"/>
      <c r="AD237" s="70"/>
      <c r="AM237" s="68"/>
      <c r="AN237" s="70"/>
      <c r="AU237" s="68"/>
      <c r="AV237" s="70"/>
      <c r="BB237" s="68"/>
      <c r="BC237" s="70"/>
      <c r="BD237" s="68"/>
      <c r="BE237" s="68"/>
      <c r="BF237" s="68"/>
      <c r="BG237" s="68"/>
      <c r="BH237" s="68"/>
      <c r="BI237" s="68"/>
      <c r="BJ237" s="70"/>
      <c r="BM237" s="68"/>
      <c r="BN237" s="70"/>
      <c r="BT237" s="68"/>
      <c r="BU237" s="70"/>
      <c r="BZ237" s="10"/>
      <c r="CF237" s="10"/>
      <c r="CI237" s="389"/>
      <c r="CJ237" s="389"/>
      <c r="CK237" s="68"/>
      <c r="CL237" s="70"/>
      <c r="CO237" s="10"/>
      <c r="CU237" s="10"/>
      <c r="DA237" s="10"/>
      <c r="DB237" s="70"/>
      <c r="DC237" s="70"/>
      <c r="DF237" s="68"/>
      <c r="DG237" s="70"/>
      <c r="DH237" s="68"/>
      <c r="DI237" s="386"/>
      <c r="DJ237" s="425"/>
      <c r="DL237" s="68"/>
      <c r="DM237" s="70"/>
      <c r="DQ237" s="68"/>
      <c r="DR237" s="70"/>
      <c r="DS237" s="338"/>
      <c r="DT237" s="338"/>
      <c r="DU237" s="338"/>
      <c r="DW237" s="338"/>
      <c r="DX237" s="338"/>
      <c r="DY237" s="338"/>
      <c r="EA237" s="338"/>
      <c r="EB237" s="338"/>
      <c r="EC237" s="338"/>
      <c r="EE237" s="338"/>
      <c r="EF237" s="338"/>
      <c r="EG237" s="338"/>
      <c r="EI237" s="336"/>
      <c r="EJ237" s="336"/>
      <c r="EK237" s="336"/>
      <c r="EL237" s="336"/>
      <c r="EM237" s="336"/>
      <c r="EN237" s="336"/>
      <c r="EO237" s="337"/>
      <c r="EP237" s="342"/>
      <c r="EQ237" s="336"/>
      <c r="ER237" s="342"/>
      <c r="ES237" s="336"/>
      <c r="ET237" s="342"/>
      <c r="EU237" s="336"/>
      <c r="EV237" s="342"/>
      <c r="EW237" s="336"/>
      <c r="EX237" s="342"/>
      <c r="EY237" s="342"/>
      <c r="EZ237" s="342"/>
      <c r="FA237" s="337"/>
      <c r="FE237" s="338"/>
      <c r="FH237" s="338"/>
      <c r="FI237" s="338"/>
      <c r="FJ237" s="338"/>
      <c r="FK237" s="338"/>
      <c r="FL237" s="338"/>
      <c r="FM237" s="337"/>
      <c r="FN237" s="336"/>
      <c r="FO237" s="336"/>
      <c r="FP237" s="336"/>
      <c r="FQ237" s="336"/>
      <c r="FR237" s="336"/>
      <c r="FS237" s="336"/>
      <c r="FT237" s="336"/>
      <c r="FU237" s="336"/>
      <c r="FV237" s="336"/>
      <c r="FW237" s="337"/>
      <c r="FX237" s="532"/>
      <c r="FY237" s="341"/>
      <c r="FZ237" s="341"/>
      <c r="GA237" s="336"/>
      <c r="GB237" s="341"/>
      <c r="GC237" s="341"/>
      <c r="GD237" s="341"/>
      <c r="GE237" s="336"/>
      <c r="GF237" s="336"/>
      <c r="GG237" s="336"/>
      <c r="GH237" s="336"/>
      <c r="GI237" s="336"/>
      <c r="GJ237" s="337"/>
      <c r="GM237" s="338"/>
      <c r="GN237" s="338"/>
      <c r="GO237" s="338"/>
      <c r="GS237" s="338"/>
      <c r="GT237" s="338"/>
      <c r="GU237" s="338"/>
      <c r="GY237" s="338"/>
      <c r="GZ237" s="338"/>
      <c r="HA237" s="338"/>
      <c r="HE237" s="338"/>
      <c r="HF237" s="338"/>
      <c r="HG237" s="338"/>
      <c r="HN237" s="68"/>
      <c r="HO237" s="68"/>
      <c r="HP237" s="68"/>
      <c r="HQ237" s="336"/>
      <c r="HR237" s="68"/>
      <c r="HS237" s="68"/>
      <c r="HT237" s="10"/>
      <c r="HW237" s="338"/>
      <c r="HX237" s="338"/>
      <c r="HY237" s="338"/>
      <c r="IC237" s="338"/>
      <c r="ID237" s="338"/>
      <c r="IE237" s="338"/>
      <c r="II237" s="338"/>
      <c r="IJ237" s="338"/>
      <c r="IK237" s="338"/>
      <c r="IO237" s="338"/>
      <c r="IP237" s="338"/>
      <c r="IQ237" s="338"/>
      <c r="IX237" s="68"/>
      <c r="IY237" s="68"/>
      <c r="IZ237" s="68"/>
      <c r="JA237" s="68"/>
      <c r="JB237" s="68"/>
      <c r="JC237" s="68"/>
      <c r="JD237" s="10"/>
      <c r="JG237" s="338"/>
      <c r="JH237" s="338"/>
      <c r="JI237" s="338"/>
      <c r="JM237" s="338"/>
      <c r="JN237" s="338"/>
      <c r="JQ237" s="338"/>
      <c r="JR237" s="338"/>
      <c r="JS237" s="338"/>
      <c r="JW237" s="358"/>
      <c r="JX237" s="336"/>
      <c r="JY237" s="336"/>
      <c r="JZ237" s="336"/>
      <c r="KA237" s="336"/>
      <c r="KB237" s="336"/>
      <c r="KC237" s="336"/>
      <c r="KD237" s="336"/>
      <c r="KE237" s="336"/>
      <c r="KF237" s="336"/>
      <c r="KG237" s="337"/>
      <c r="KH237" s="338"/>
      <c r="KI237" s="338"/>
      <c r="KJ237" s="338"/>
      <c r="KK237" s="338"/>
      <c r="KL237" s="338"/>
      <c r="KM237" s="338"/>
      <c r="KN237" s="338"/>
      <c r="KO237" s="338"/>
      <c r="KP237" s="338"/>
      <c r="KQ237" s="338"/>
      <c r="KR237" s="338"/>
      <c r="KS237" s="338"/>
      <c r="KT237" s="338"/>
      <c r="KU237" s="338"/>
      <c r="KV237" s="338"/>
      <c r="KW237" s="337"/>
      <c r="KX237" s="336"/>
      <c r="KY237" s="336"/>
      <c r="KZ237" s="336"/>
      <c r="LA237" s="336"/>
      <c r="LB237" s="336"/>
      <c r="LC237" s="336"/>
      <c r="LD237" s="336"/>
      <c r="LE237" s="336"/>
      <c r="LF237" s="336"/>
      <c r="LG237" s="336"/>
      <c r="LH237" s="336"/>
      <c r="LI237" s="336"/>
      <c r="LJ237" s="336"/>
      <c r="LK237" s="336"/>
      <c r="LL237" s="336"/>
      <c r="LM237" s="336"/>
      <c r="LN237" s="336"/>
      <c r="LO237" s="336"/>
      <c r="LP237" s="336"/>
      <c r="LQ237" s="337"/>
      <c r="MN237" s="10"/>
      <c r="OA237" s="10"/>
    </row>
    <row r="238" spans="1:391" s="370" customFormat="1" x14ac:dyDescent="0.25">
      <c r="A238" s="68"/>
      <c r="B238" s="10"/>
      <c r="C238" s="68"/>
      <c r="D238" s="68"/>
      <c r="E238" s="68"/>
      <c r="F238" s="68"/>
      <c r="G238" s="68"/>
      <c r="H238" s="68"/>
      <c r="I238" s="68"/>
      <c r="J238" s="68"/>
      <c r="K238" s="68"/>
      <c r="L238" s="68"/>
      <c r="M238" s="68"/>
      <c r="N238" s="68"/>
      <c r="O238" s="68"/>
      <c r="P238" s="68"/>
      <c r="Q238" s="68"/>
      <c r="R238" s="68"/>
      <c r="S238" s="68"/>
      <c r="T238" s="70"/>
      <c r="AC238" s="68"/>
      <c r="AD238" s="70"/>
      <c r="AM238" s="68"/>
      <c r="AN238" s="70"/>
      <c r="AU238" s="68"/>
      <c r="AV238" s="70"/>
      <c r="BB238" s="68"/>
      <c r="BC238" s="70"/>
      <c r="BD238" s="68"/>
      <c r="BE238" s="68"/>
      <c r="BF238" s="68"/>
      <c r="BG238" s="68"/>
      <c r="BH238" s="68"/>
      <c r="BI238" s="68"/>
      <c r="BJ238" s="70"/>
      <c r="BM238" s="68"/>
      <c r="BN238" s="70"/>
      <c r="BT238" s="68"/>
      <c r="BU238" s="70"/>
      <c r="BZ238" s="10"/>
      <c r="CF238" s="10"/>
      <c r="CI238" s="389"/>
      <c r="CJ238" s="389"/>
      <c r="CK238" s="68"/>
      <c r="CL238" s="70"/>
      <c r="CO238" s="10"/>
      <c r="CU238" s="10"/>
      <c r="DA238" s="10"/>
      <c r="DB238" s="70"/>
      <c r="DC238" s="70"/>
      <c r="DF238" s="68"/>
      <c r="DG238" s="70"/>
      <c r="DH238" s="68"/>
      <c r="DI238" s="386"/>
      <c r="DJ238" s="425"/>
      <c r="DL238" s="68"/>
      <c r="DM238" s="70"/>
      <c r="DQ238" s="68"/>
      <c r="DR238" s="70"/>
      <c r="DS238" s="338"/>
      <c r="DT238" s="338"/>
      <c r="DU238" s="338"/>
      <c r="DW238" s="338"/>
      <c r="DX238" s="338"/>
      <c r="DY238" s="338"/>
      <c r="EA238" s="338"/>
      <c r="EB238" s="338"/>
      <c r="EC238" s="338"/>
      <c r="EE238" s="338"/>
      <c r="EF238" s="338"/>
      <c r="EG238" s="338"/>
      <c r="EI238" s="336"/>
      <c r="EJ238" s="336"/>
      <c r="EK238" s="336"/>
      <c r="EL238" s="336"/>
      <c r="EM238" s="336"/>
      <c r="EN238" s="336"/>
      <c r="EO238" s="337"/>
      <c r="EP238" s="342"/>
      <c r="EQ238" s="336"/>
      <c r="ER238" s="342"/>
      <c r="ES238" s="336"/>
      <c r="ET238" s="342"/>
      <c r="EU238" s="336"/>
      <c r="EV238" s="342"/>
      <c r="EW238" s="336"/>
      <c r="EX238" s="342"/>
      <c r="EY238" s="342"/>
      <c r="EZ238" s="342"/>
      <c r="FA238" s="337"/>
      <c r="FE238" s="338"/>
      <c r="FH238" s="338"/>
      <c r="FI238" s="338"/>
      <c r="FJ238" s="338"/>
      <c r="FK238" s="338"/>
      <c r="FL238" s="338"/>
      <c r="FM238" s="337"/>
      <c r="FN238" s="336"/>
      <c r="FO238" s="336"/>
      <c r="FP238" s="336"/>
      <c r="FQ238" s="336"/>
      <c r="FR238" s="336"/>
      <c r="FS238" s="336"/>
      <c r="FT238" s="336"/>
      <c r="FU238" s="336"/>
      <c r="FV238" s="336"/>
      <c r="FW238" s="337"/>
      <c r="FX238" s="532"/>
      <c r="FY238" s="341"/>
      <c r="FZ238" s="341"/>
      <c r="GA238" s="336"/>
      <c r="GB238" s="341"/>
      <c r="GC238" s="341"/>
      <c r="GD238" s="341"/>
      <c r="GE238" s="336"/>
      <c r="GF238" s="336"/>
      <c r="GG238" s="336"/>
      <c r="GH238" s="336"/>
      <c r="GI238" s="336"/>
      <c r="GJ238" s="337"/>
      <c r="GM238" s="338"/>
      <c r="GN238" s="338"/>
      <c r="GO238" s="338"/>
      <c r="GS238" s="338"/>
      <c r="GT238" s="338"/>
      <c r="GU238" s="338"/>
      <c r="GY238" s="338"/>
      <c r="GZ238" s="338"/>
      <c r="HA238" s="338"/>
      <c r="HE238" s="338"/>
      <c r="HF238" s="338"/>
      <c r="HG238" s="338"/>
      <c r="HN238" s="68"/>
      <c r="HO238" s="68"/>
      <c r="HP238" s="68"/>
      <c r="HQ238" s="336"/>
      <c r="HR238" s="68"/>
      <c r="HS238" s="68"/>
      <c r="HT238" s="10"/>
      <c r="HW238" s="338"/>
      <c r="HX238" s="338"/>
      <c r="HY238" s="338"/>
      <c r="IC238" s="338"/>
      <c r="ID238" s="338"/>
      <c r="IE238" s="338"/>
      <c r="II238" s="338"/>
      <c r="IJ238" s="338"/>
      <c r="IK238" s="338"/>
      <c r="IO238" s="338"/>
      <c r="IP238" s="338"/>
      <c r="IQ238" s="338"/>
      <c r="IX238" s="68"/>
      <c r="IY238" s="68"/>
      <c r="IZ238" s="68"/>
      <c r="JA238" s="68"/>
      <c r="JB238" s="68"/>
      <c r="JC238" s="68"/>
      <c r="JD238" s="10"/>
      <c r="JG238" s="338"/>
      <c r="JH238" s="338"/>
      <c r="JI238" s="338"/>
      <c r="JM238" s="338"/>
      <c r="JN238" s="338"/>
      <c r="JQ238" s="338"/>
      <c r="JR238" s="338"/>
      <c r="JS238" s="338"/>
      <c r="JW238" s="358"/>
      <c r="JX238" s="336"/>
      <c r="JY238" s="336"/>
      <c r="JZ238" s="336"/>
      <c r="KA238" s="336"/>
      <c r="KB238" s="336"/>
      <c r="KC238" s="336"/>
      <c r="KD238" s="336"/>
      <c r="KE238" s="336"/>
      <c r="KF238" s="336"/>
      <c r="KG238" s="337"/>
      <c r="KH238" s="338"/>
      <c r="KI238" s="338"/>
      <c r="KJ238" s="338"/>
      <c r="KK238" s="338"/>
      <c r="KL238" s="338"/>
      <c r="KM238" s="338"/>
      <c r="KN238" s="338"/>
      <c r="KO238" s="338"/>
      <c r="KP238" s="338"/>
      <c r="KQ238" s="338"/>
      <c r="KR238" s="338"/>
      <c r="KS238" s="338"/>
      <c r="KT238" s="338"/>
      <c r="KU238" s="338"/>
      <c r="KV238" s="338"/>
      <c r="KW238" s="337"/>
      <c r="KX238" s="336"/>
      <c r="KY238" s="336"/>
      <c r="KZ238" s="336"/>
      <c r="LA238" s="336"/>
      <c r="LB238" s="336"/>
      <c r="LC238" s="336"/>
      <c r="LD238" s="336"/>
      <c r="LE238" s="336"/>
      <c r="LF238" s="336"/>
      <c r="LG238" s="336"/>
      <c r="LH238" s="336"/>
      <c r="LI238" s="336"/>
      <c r="LJ238" s="336"/>
      <c r="LK238" s="336"/>
      <c r="LL238" s="336"/>
      <c r="LM238" s="336"/>
      <c r="LN238" s="336"/>
      <c r="LO238" s="336"/>
      <c r="LP238" s="336"/>
      <c r="LQ238" s="337"/>
      <c r="MN238" s="10"/>
      <c r="OA238" s="10"/>
    </row>
    <row r="239" spans="1:391" s="370" customFormat="1" x14ac:dyDescent="0.25">
      <c r="A239" s="68"/>
      <c r="B239" s="10"/>
      <c r="C239" s="68"/>
      <c r="D239" s="68"/>
      <c r="E239" s="68"/>
      <c r="F239" s="68"/>
      <c r="G239" s="68"/>
      <c r="H239" s="68"/>
      <c r="I239" s="68"/>
      <c r="J239" s="68"/>
      <c r="K239" s="68"/>
      <c r="L239" s="68"/>
      <c r="M239" s="68"/>
      <c r="N239" s="68"/>
      <c r="O239" s="68"/>
      <c r="P239" s="68"/>
      <c r="Q239" s="68"/>
      <c r="R239" s="68"/>
      <c r="S239" s="68"/>
      <c r="T239" s="70"/>
      <c r="AC239" s="68"/>
      <c r="AD239" s="70"/>
      <c r="AM239" s="68"/>
      <c r="AN239" s="70"/>
      <c r="AU239" s="68"/>
      <c r="AV239" s="70"/>
      <c r="BB239" s="68"/>
      <c r="BC239" s="70"/>
      <c r="BD239" s="68"/>
      <c r="BE239" s="68"/>
      <c r="BF239" s="68"/>
      <c r="BG239" s="68"/>
      <c r="BH239" s="68"/>
      <c r="BI239" s="68"/>
      <c r="BJ239" s="70"/>
      <c r="BM239" s="68"/>
      <c r="BN239" s="70"/>
      <c r="BT239" s="68"/>
      <c r="BU239" s="70"/>
      <c r="BZ239" s="10"/>
      <c r="CF239" s="10"/>
      <c r="CI239" s="389"/>
      <c r="CJ239" s="389"/>
      <c r="CK239" s="68"/>
      <c r="CL239" s="70"/>
      <c r="CO239" s="10"/>
      <c r="CU239" s="10"/>
      <c r="DA239" s="10"/>
      <c r="DB239" s="70"/>
      <c r="DC239" s="70"/>
      <c r="DF239" s="68"/>
      <c r="DG239" s="70"/>
      <c r="DH239" s="68"/>
      <c r="DI239" s="386"/>
      <c r="DJ239" s="425"/>
      <c r="DL239" s="68"/>
      <c r="DM239" s="70"/>
      <c r="DQ239" s="68"/>
      <c r="DR239" s="70"/>
      <c r="DS239" s="338"/>
      <c r="DT239" s="338"/>
      <c r="DU239" s="338"/>
      <c r="DW239" s="338"/>
      <c r="DX239" s="338"/>
      <c r="DY239" s="338"/>
      <c r="EA239" s="338"/>
      <c r="EB239" s="338"/>
      <c r="EC239" s="338"/>
      <c r="EE239" s="338"/>
      <c r="EF239" s="338"/>
      <c r="EG239" s="338"/>
      <c r="EI239" s="336"/>
      <c r="EJ239" s="336"/>
      <c r="EK239" s="336"/>
      <c r="EL239" s="336"/>
      <c r="EM239" s="336"/>
      <c r="EN239" s="336"/>
      <c r="EO239" s="337"/>
      <c r="EP239" s="342"/>
      <c r="EQ239" s="336"/>
      <c r="ER239" s="342"/>
      <c r="ES239" s="336"/>
      <c r="ET239" s="342"/>
      <c r="EU239" s="336"/>
      <c r="EV239" s="342"/>
      <c r="EW239" s="336"/>
      <c r="EX239" s="342"/>
      <c r="EY239" s="342"/>
      <c r="EZ239" s="342"/>
      <c r="FA239" s="337"/>
      <c r="FE239" s="338"/>
      <c r="FH239" s="338"/>
      <c r="FI239" s="338"/>
      <c r="FJ239" s="338"/>
      <c r="FK239" s="338"/>
      <c r="FL239" s="338"/>
      <c r="FM239" s="337"/>
      <c r="FN239" s="336"/>
      <c r="FO239" s="336"/>
      <c r="FP239" s="336"/>
      <c r="FQ239" s="336"/>
      <c r="FR239" s="336"/>
      <c r="FS239" s="336"/>
      <c r="FT239" s="336"/>
      <c r="FU239" s="336"/>
      <c r="FV239" s="336"/>
      <c r="FW239" s="337"/>
      <c r="FX239" s="532"/>
      <c r="FY239" s="341"/>
      <c r="FZ239" s="341"/>
      <c r="GA239" s="336"/>
      <c r="GB239" s="341"/>
      <c r="GC239" s="341"/>
      <c r="GD239" s="341"/>
      <c r="GE239" s="336"/>
      <c r="GF239" s="336"/>
      <c r="GG239" s="336"/>
      <c r="GH239" s="336"/>
      <c r="GI239" s="336"/>
      <c r="GJ239" s="337"/>
      <c r="GM239" s="338"/>
      <c r="GN239" s="338"/>
      <c r="GO239" s="338"/>
      <c r="GS239" s="338"/>
      <c r="GT239" s="338"/>
      <c r="GU239" s="338"/>
      <c r="GY239" s="338"/>
      <c r="GZ239" s="338"/>
      <c r="HA239" s="338"/>
      <c r="HE239" s="338"/>
      <c r="HF239" s="338"/>
      <c r="HG239" s="338"/>
      <c r="HN239" s="68"/>
      <c r="HO239" s="68"/>
      <c r="HP239" s="68"/>
      <c r="HQ239" s="336"/>
      <c r="HR239" s="68"/>
      <c r="HS239" s="68"/>
      <c r="HT239" s="10"/>
      <c r="HW239" s="338"/>
      <c r="HX239" s="338"/>
      <c r="HY239" s="338"/>
      <c r="IC239" s="338"/>
      <c r="ID239" s="338"/>
      <c r="IE239" s="338"/>
      <c r="II239" s="338"/>
      <c r="IJ239" s="338"/>
      <c r="IK239" s="338"/>
      <c r="IO239" s="338"/>
      <c r="IP239" s="338"/>
      <c r="IQ239" s="338"/>
      <c r="IX239" s="68"/>
      <c r="IY239" s="68"/>
      <c r="IZ239" s="68"/>
      <c r="JA239" s="68"/>
      <c r="JB239" s="68"/>
      <c r="JC239" s="68"/>
      <c r="JD239" s="10"/>
      <c r="JG239" s="338"/>
      <c r="JH239" s="338"/>
      <c r="JI239" s="338"/>
      <c r="JM239" s="338"/>
      <c r="JN239" s="338"/>
      <c r="JQ239" s="338"/>
      <c r="JR239" s="338"/>
      <c r="JS239" s="338"/>
      <c r="JW239" s="358"/>
      <c r="JX239" s="336"/>
      <c r="JY239" s="336"/>
      <c r="JZ239" s="336"/>
      <c r="KA239" s="336"/>
      <c r="KB239" s="336"/>
      <c r="KC239" s="336"/>
      <c r="KD239" s="336"/>
      <c r="KE239" s="336"/>
      <c r="KF239" s="336"/>
      <c r="KG239" s="337"/>
      <c r="KH239" s="338"/>
      <c r="KI239" s="338"/>
      <c r="KJ239" s="338"/>
      <c r="KK239" s="338"/>
      <c r="KL239" s="338"/>
      <c r="KM239" s="338"/>
      <c r="KN239" s="338"/>
      <c r="KO239" s="338"/>
      <c r="KP239" s="338"/>
      <c r="KQ239" s="338"/>
      <c r="KR239" s="338"/>
      <c r="KS239" s="338"/>
      <c r="KT239" s="338"/>
      <c r="KU239" s="338"/>
      <c r="KV239" s="338"/>
      <c r="KW239" s="337"/>
      <c r="KX239" s="336"/>
      <c r="KY239" s="336"/>
      <c r="KZ239" s="336"/>
      <c r="LA239" s="336"/>
      <c r="LB239" s="336"/>
      <c r="LC239" s="336"/>
      <c r="LD239" s="336"/>
      <c r="LE239" s="336"/>
      <c r="LF239" s="336"/>
      <c r="LG239" s="336"/>
      <c r="LH239" s="336"/>
      <c r="LI239" s="336"/>
      <c r="LJ239" s="336"/>
      <c r="LK239" s="336"/>
      <c r="LL239" s="336"/>
      <c r="LM239" s="336"/>
      <c r="LN239" s="336"/>
      <c r="LO239" s="336"/>
      <c r="LP239" s="336"/>
      <c r="LQ239" s="337"/>
      <c r="MN239" s="10"/>
      <c r="OA239" s="10"/>
    </row>
    <row r="240" spans="1:391" s="370" customFormat="1" x14ac:dyDescent="0.25">
      <c r="A240" s="68"/>
      <c r="B240" s="10"/>
      <c r="C240" s="68"/>
      <c r="D240" s="68"/>
      <c r="E240" s="68"/>
      <c r="F240" s="68"/>
      <c r="G240" s="68"/>
      <c r="H240" s="68"/>
      <c r="I240" s="68"/>
      <c r="J240" s="68"/>
      <c r="K240" s="68"/>
      <c r="L240" s="68"/>
      <c r="M240" s="68"/>
      <c r="N240" s="68"/>
      <c r="O240" s="68"/>
      <c r="P240" s="68"/>
      <c r="Q240" s="68"/>
      <c r="R240" s="68"/>
      <c r="S240" s="68"/>
      <c r="T240" s="70"/>
      <c r="AC240" s="68"/>
      <c r="AD240" s="70"/>
      <c r="AM240" s="68"/>
      <c r="AN240" s="70"/>
      <c r="AU240" s="68"/>
      <c r="AV240" s="70"/>
      <c r="BB240" s="68"/>
      <c r="BC240" s="70"/>
      <c r="BD240" s="68"/>
      <c r="BE240" s="68"/>
      <c r="BF240" s="68"/>
      <c r="BG240" s="68"/>
      <c r="BH240" s="68"/>
      <c r="BI240" s="68"/>
      <c r="BJ240" s="70"/>
      <c r="BM240" s="68"/>
      <c r="BN240" s="70"/>
      <c r="BT240" s="68"/>
      <c r="BU240" s="70"/>
      <c r="BZ240" s="10"/>
      <c r="CF240" s="10"/>
      <c r="CI240" s="389"/>
      <c r="CJ240" s="389"/>
      <c r="CK240" s="68"/>
      <c r="CL240" s="70"/>
      <c r="CO240" s="10"/>
      <c r="CU240" s="10"/>
      <c r="DA240" s="10"/>
      <c r="DB240" s="70"/>
      <c r="DC240" s="70"/>
      <c r="DF240" s="68"/>
      <c r="DG240" s="70"/>
      <c r="DH240" s="68"/>
      <c r="DI240" s="386"/>
      <c r="DJ240" s="425"/>
      <c r="DL240" s="68"/>
      <c r="DM240" s="70"/>
      <c r="DQ240" s="68"/>
      <c r="DR240" s="70"/>
      <c r="DS240" s="338"/>
      <c r="DT240" s="338"/>
      <c r="DU240" s="338"/>
      <c r="DW240" s="338"/>
      <c r="DX240" s="338"/>
      <c r="DY240" s="338"/>
      <c r="EA240" s="338"/>
      <c r="EB240" s="338"/>
      <c r="EC240" s="338"/>
      <c r="EE240" s="338"/>
      <c r="EF240" s="338"/>
      <c r="EG240" s="338"/>
      <c r="EI240" s="336"/>
      <c r="EJ240" s="336"/>
      <c r="EK240" s="336"/>
      <c r="EL240" s="336"/>
      <c r="EM240" s="336"/>
      <c r="EN240" s="336"/>
      <c r="EO240" s="337"/>
      <c r="EP240" s="342"/>
      <c r="EQ240" s="336"/>
      <c r="ER240" s="342"/>
      <c r="ES240" s="336"/>
      <c r="ET240" s="342"/>
      <c r="EU240" s="336"/>
      <c r="EV240" s="342"/>
      <c r="EW240" s="336"/>
      <c r="EX240" s="342"/>
      <c r="EY240" s="342"/>
      <c r="EZ240" s="342"/>
      <c r="FA240" s="337"/>
      <c r="FE240" s="338"/>
      <c r="FH240" s="338"/>
      <c r="FI240" s="338"/>
      <c r="FJ240" s="338"/>
      <c r="FK240" s="338"/>
      <c r="FL240" s="338"/>
      <c r="FM240" s="337"/>
      <c r="FN240" s="336"/>
      <c r="FO240" s="336"/>
      <c r="FP240" s="336"/>
      <c r="FQ240" s="336"/>
      <c r="FR240" s="336"/>
      <c r="FS240" s="336"/>
      <c r="FT240" s="336"/>
      <c r="FU240" s="336"/>
      <c r="FV240" s="336"/>
      <c r="FW240" s="337"/>
      <c r="FX240" s="532"/>
      <c r="FY240" s="341"/>
      <c r="FZ240" s="341"/>
      <c r="GA240" s="336"/>
      <c r="GB240" s="341"/>
      <c r="GC240" s="341"/>
      <c r="GD240" s="341"/>
      <c r="GE240" s="336"/>
      <c r="GF240" s="336"/>
      <c r="GG240" s="336"/>
      <c r="GH240" s="336"/>
      <c r="GI240" s="336"/>
      <c r="GJ240" s="337"/>
      <c r="GM240" s="338"/>
      <c r="GN240" s="338"/>
      <c r="GO240" s="338"/>
      <c r="GS240" s="338"/>
      <c r="GT240" s="338"/>
      <c r="GU240" s="338"/>
      <c r="GY240" s="338"/>
      <c r="GZ240" s="338"/>
      <c r="HA240" s="338"/>
      <c r="HE240" s="338"/>
      <c r="HF240" s="338"/>
      <c r="HG240" s="338"/>
      <c r="HN240" s="68"/>
      <c r="HO240" s="68"/>
      <c r="HP240" s="68"/>
      <c r="HQ240" s="336"/>
      <c r="HR240" s="68"/>
      <c r="HS240" s="68"/>
      <c r="HT240" s="10"/>
      <c r="HW240" s="338"/>
      <c r="HX240" s="338"/>
      <c r="HY240" s="338"/>
      <c r="IC240" s="338"/>
      <c r="ID240" s="338"/>
      <c r="IE240" s="338"/>
      <c r="II240" s="338"/>
      <c r="IJ240" s="338"/>
      <c r="IK240" s="338"/>
      <c r="IO240" s="338"/>
      <c r="IP240" s="338"/>
      <c r="IQ240" s="338"/>
      <c r="IX240" s="68"/>
      <c r="IY240" s="68"/>
      <c r="IZ240" s="68"/>
      <c r="JA240" s="68"/>
      <c r="JB240" s="68"/>
      <c r="JC240" s="68"/>
      <c r="JD240" s="10"/>
      <c r="JG240" s="338"/>
      <c r="JH240" s="338"/>
      <c r="JI240" s="338"/>
      <c r="JM240" s="338"/>
      <c r="JN240" s="338"/>
      <c r="JQ240" s="338"/>
      <c r="JR240" s="338"/>
      <c r="JS240" s="338"/>
      <c r="JW240" s="358"/>
      <c r="JX240" s="336"/>
      <c r="JY240" s="336"/>
      <c r="JZ240" s="336"/>
      <c r="KA240" s="336"/>
      <c r="KB240" s="336"/>
      <c r="KC240" s="336"/>
      <c r="KD240" s="336"/>
      <c r="KE240" s="336"/>
      <c r="KF240" s="336"/>
      <c r="KG240" s="337"/>
      <c r="KH240" s="338"/>
      <c r="KI240" s="338"/>
      <c r="KJ240" s="338"/>
      <c r="KK240" s="338"/>
      <c r="KL240" s="338"/>
      <c r="KM240" s="338"/>
      <c r="KN240" s="338"/>
      <c r="KO240" s="338"/>
      <c r="KP240" s="338"/>
      <c r="KQ240" s="338"/>
      <c r="KR240" s="338"/>
      <c r="KS240" s="338"/>
      <c r="KT240" s="338"/>
      <c r="KU240" s="338"/>
      <c r="KV240" s="338"/>
      <c r="KW240" s="337"/>
      <c r="KX240" s="336"/>
      <c r="KY240" s="336"/>
      <c r="KZ240" s="336"/>
      <c r="LA240" s="336"/>
      <c r="LB240" s="336"/>
      <c r="LC240" s="336"/>
      <c r="LD240" s="336"/>
      <c r="LE240" s="336"/>
      <c r="LF240" s="336"/>
      <c r="LG240" s="336"/>
      <c r="LH240" s="336"/>
      <c r="LI240" s="336"/>
      <c r="LJ240" s="336"/>
      <c r="LK240" s="336"/>
      <c r="LL240" s="336"/>
      <c r="LM240" s="336"/>
      <c r="LN240" s="336"/>
      <c r="LO240" s="336"/>
      <c r="LP240" s="336"/>
      <c r="LQ240" s="337"/>
      <c r="MN240" s="10"/>
      <c r="OA240" s="10"/>
    </row>
    <row r="241" spans="1:391" s="370" customFormat="1" x14ac:dyDescent="0.25">
      <c r="A241" s="68"/>
      <c r="B241" s="10"/>
      <c r="C241" s="68"/>
      <c r="D241" s="68"/>
      <c r="E241" s="68"/>
      <c r="F241" s="68"/>
      <c r="G241" s="68"/>
      <c r="H241" s="68"/>
      <c r="I241" s="68"/>
      <c r="J241" s="68"/>
      <c r="K241" s="68"/>
      <c r="L241" s="68"/>
      <c r="M241" s="68"/>
      <c r="N241" s="68"/>
      <c r="O241" s="68"/>
      <c r="P241" s="68"/>
      <c r="Q241" s="68"/>
      <c r="R241" s="68"/>
      <c r="S241" s="68"/>
      <c r="T241" s="70"/>
      <c r="AC241" s="68"/>
      <c r="AD241" s="70"/>
      <c r="AM241" s="68"/>
      <c r="AN241" s="70"/>
      <c r="AU241" s="68"/>
      <c r="AV241" s="70"/>
      <c r="BB241" s="68"/>
      <c r="BC241" s="70"/>
      <c r="BD241" s="68"/>
      <c r="BE241" s="68"/>
      <c r="BF241" s="68"/>
      <c r="BG241" s="68"/>
      <c r="BH241" s="68"/>
      <c r="BI241" s="68"/>
      <c r="BJ241" s="70"/>
      <c r="BM241" s="68"/>
      <c r="BN241" s="70"/>
      <c r="BT241" s="68"/>
      <c r="BU241" s="70"/>
      <c r="BZ241" s="10"/>
      <c r="CF241" s="10"/>
      <c r="CI241" s="389"/>
      <c r="CJ241" s="389"/>
      <c r="CK241" s="68"/>
      <c r="CL241" s="70"/>
      <c r="CO241" s="10"/>
      <c r="CU241" s="10"/>
      <c r="DA241" s="10"/>
      <c r="DB241" s="70"/>
      <c r="DC241" s="70"/>
      <c r="DF241" s="68"/>
      <c r="DG241" s="70"/>
      <c r="DH241" s="68"/>
      <c r="DI241" s="386"/>
      <c r="DJ241" s="425"/>
      <c r="DL241" s="68"/>
      <c r="DM241" s="70"/>
      <c r="DQ241" s="68"/>
      <c r="DR241" s="70"/>
      <c r="DS241" s="338"/>
      <c r="DT241" s="338"/>
      <c r="DU241" s="338"/>
      <c r="DW241" s="338"/>
      <c r="DX241" s="338"/>
      <c r="DY241" s="338"/>
      <c r="EA241" s="338"/>
      <c r="EB241" s="338"/>
      <c r="EC241" s="338"/>
      <c r="EE241" s="338"/>
      <c r="EF241" s="338"/>
      <c r="EG241" s="338"/>
      <c r="EI241" s="336"/>
      <c r="EJ241" s="336"/>
      <c r="EK241" s="336"/>
      <c r="EL241" s="336"/>
      <c r="EM241" s="336"/>
      <c r="EN241" s="336"/>
      <c r="EO241" s="337"/>
      <c r="EP241" s="342"/>
      <c r="EQ241" s="336"/>
      <c r="ER241" s="342"/>
      <c r="ES241" s="336"/>
      <c r="ET241" s="342"/>
      <c r="EU241" s="336"/>
      <c r="EV241" s="342"/>
      <c r="EW241" s="336"/>
      <c r="EX241" s="342"/>
      <c r="EY241" s="342"/>
      <c r="EZ241" s="342"/>
      <c r="FA241" s="337"/>
      <c r="FE241" s="338"/>
      <c r="FH241" s="338"/>
      <c r="FI241" s="338"/>
      <c r="FJ241" s="338"/>
      <c r="FK241" s="338"/>
      <c r="FL241" s="338"/>
      <c r="FM241" s="337"/>
      <c r="FN241" s="336"/>
      <c r="FO241" s="336"/>
      <c r="FP241" s="336"/>
      <c r="FQ241" s="336"/>
      <c r="FR241" s="336"/>
      <c r="FS241" s="336"/>
      <c r="FT241" s="336"/>
      <c r="FU241" s="336"/>
      <c r="FV241" s="336"/>
      <c r="FW241" s="337"/>
      <c r="FX241" s="532"/>
      <c r="FY241" s="341"/>
      <c r="FZ241" s="341"/>
      <c r="GA241" s="336"/>
      <c r="GB241" s="341"/>
      <c r="GC241" s="341"/>
      <c r="GD241" s="341"/>
      <c r="GE241" s="336"/>
      <c r="GF241" s="336"/>
      <c r="GG241" s="336"/>
      <c r="GH241" s="336"/>
      <c r="GI241" s="336"/>
      <c r="GJ241" s="337"/>
      <c r="GM241" s="338"/>
      <c r="GN241" s="338"/>
      <c r="GO241" s="338"/>
      <c r="GS241" s="338"/>
      <c r="GT241" s="338"/>
      <c r="GU241" s="338"/>
      <c r="GY241" s="338"/>
      <c r="GZ241" s="338"/>
      <c r="HA241" s="338"/>
      <c r="HE241" s="338"/>
      <c r="HF241" s="338"/>
      <c r="HG241" s="338"/>
      <c r="HN241" s="68"/>
      <c r="HO241" s="68"/>
      <c r="HP241" s="68"/>
      <c r="HQ241" s="336"/>
      <c r="HR241" s="68"/>
      <c r="HS241" s="68"/>
      <c r="HT241" s="10"/>
      <c r="HW241" s="338"/>
      <c r="HX241" s="338"/>
      <c r="HY241" s="338"/>
      <c r="IC241" s="338"/>
      <c r="ID241" s="338"/>
      <c r="IE241" s="338"/>
      <c r="II241" s="338"/>
      <c r="IJ241" s="338"/>
      <c r="IK241" s="338"/>
      <c r="IO241" s="338"/>
      <c r="IP241" s="338"/>
      <c r="IQ241" s="338"/>
      <c r="IX241" s="68"/>
      <c r="IY241" s="68"/>
      <c r="IZ241" s="68"/>
      <c r="JA241" s="68"/>
      <c r="JB241" s="68"/>
      <c r="JC241" s="68"/>
      <c r="JD241" s="10"/>
      <c r="JG241" s="338"/>
      <c r="JH241" s="338"/>
      <c r="JI241" s="338"/>
      <c r="JM241" s="338"/>
      <c r="JN241" s="338"/>
      <c r="JQ241" s="338"/>
      <c r="JR241" s="338"/>
      <c r="JS241" s="338"/>
      <c r="JW241" s="358"/>
      <c r="JX241" s="336"/>
      <c r="JY241" s="336"/>
      <c r="JZ241" s="336"/>
      <c r="KA241" s="336"/>
      <c r="KB241" s="336"/>
      <c r="KC241" s="336"/>
      <c r="KD241" s="336"/>
      <c r="KE241" s="336"/>
      <c r="KF241" s="336"/>
      <c r="KG241" s="337"/>
      <c r="KH241" s="338"/>
      <c r="KI241" s="338"/>
      <c r="KJ241" s="338"/>
      <c r="KK241" s="338"/>
      <c r="KL241" s="338"/>
      <c r="KM241" s="338"/>
      <c r="KN241" s="338"/>
      <c r="KO241" s="338"/>
      <c r="KP241" s="338"/>
      <c r="KQ241" s="338"/>
      <c r="KR241" s="338"/>
      <c r="KS241" s="338"/>
      <c r="KT241" s="338"/>
      <c r="KU241" s="338"/>
      <c r="KV241" s="338"/>
      <c r="KW241" s="337"/>
      <c r="KX241" s="336"/>
      <c r="KY241" s="336"/>
      <c r="KZ241" s="336"/>
      <c r="LA241" s="336"/>
      <c r="LB241" s="336"/>
      <c r="LC241" s="336"/>
      <c r="LD241" s="336"/>
      <c r="LE241" s="336"/>
      <c r="LF241" s="336"/>
      <c r="LG241" s="336"/>
      <c r="LH241" s="336"/>
      <c r="LI241" s="336"/>
      <c r="LJ241" s="336"/>
      <c r="LK241" s="336"/>
      <c r="LL241" s="336"/>
      <c r="LM241" s="336"/>
      <c r="LN241" s="336"/>
      <c r="LO241" s="336"/>
      <c r="LP241" s="336"/>
      <c r="LQ241" s="337"/>
      <c r="MN241" s="10"/>
      <c r="OA241" s="10"/>
    </row>
    <row r="242" spans="1:391" s="370" customFormat="1" x14ac:dyDescent="0.25">
      <c r="A242" s="68"/>
      <c r="B242" s="10"/>
      <c r="C242" s="68"/>
      <c r="D242" s="68"/>
      <c r="E242" s="68"/>
      <c r="F242" s="68"/>
      <c r="G242" s="68"/>
      <c r="H242" s="68"/>
      <c r="I242" s="68"/>
      <c r="J242" s="68"/>
      <c r="K242" s="68"/>
      <c r="L242" s="68"/>
      <c r="M242" s="68"/>
      <c r="N242" s="68"/>
      <c r="O242" s="68"/>
      <c r="P242" s="68"/>
      <c r="Q242" s="68"/>
      <c r="R242" s="68"/>
      <c r="S242" s="68"/>
      <c r="T242" s="70"/>
      <c r="AC242" s="68"/>
      <c r="AD242" s="70"/>
      <c r="AM242" s="68"/>
      <c r="AN242" s="70"/>
      <c r="AU242" s="68"/>
      <c r="AV242" s="70"/>
      <c r="BB242" s="68"/>
      <c r="BC242" s="70"/>
      <c r="BD242" s="68"/>
      <c r="BE242" s="68"/>
      <c r="BF242" s="68"/>
      <c r="BG242" s="68"/>
      <c r="BH242" s="68"/>
      <c r="BI242" s="68"/>
      <c r="BJ242" s="70"/>
      <c r="BM242" s="68"/>
      <c r="BN242" s="70"/>
      <c r="BT242" s="68"/>
      <c r="BU242" s="70"/>
      <c r="BZ242" s="10"/>
      <c r="CF242" s="10"/>
      <c r="CI242" s="389"/>
      <c r="CJ242" s="389"/>
      <c r="CK242" s="68"/>
      <c r="CL242" s="70"/>
      <c r="CO242" s="10"/>
      <c r="CU242" s="10"/>
      <c r="DA242" s="10"/>
      <c r="DB242" s="70"/>
      <c r="DC242" s="70"/>
      <c r="DF242" s="68"/>
      <c r="DG242" s="70"/>
      <c r="DH242" s="68"/>
      <c r="DI242" s="386"/>
      <c r="DJ242" s="425"/>
      <c r="DL242" s="68"/>
      <c r="DM242" s="70"/>
      <c r="DQ242" s="68"/>
      <c r="DR242" s="70"/>
      <c r="DS242" s="338"/>
      <c r="DT242" s="338"/>
      <c r="DU242" s="338"/>
      <c r="DW242" s="338"/>
      <c r="DX242" s="338"/>
      <c r="DY242" s="338"/>
      <c r="EA242" s="338"/>
      <c r="EB242" s="338"/>
      <c r="EC242" s="338"/>
      <c r="EE242" s="338"/>
      <c r="EF242" s="338"/>
      <c r="EG242" s="338"/>
      <c r="EI242" s="336"/>
      <c r="EJ242" s="336"/>
      <c r="EK242" s="336"/>
      <c r="EL242" s="336"/>
      <c r="EM242" s="336"/>
      <c r="EN242" s="336"/>
      <c r="EO242" s="337"/>
      <c r="EP242" s="342"/>
      <c r="EQ242" s="336"/>
      <c r="ER242" s="342"/>
      <c r="ES242" s="336"/>
      <c r="ET242" s="342"/>
      <c r="EU242" s="336"/>
      <c r="EV242" s="342"/>
      <c r="EW242" s="336"/>
      <c r="EX242" s="342"/>
      <c r="EY242" s="342"/>
      <c r="EZ242" s="342"/>
      <c r="FA242" s="337"/>
      <c r="FE242" s="338"/>
      <c r="FH242" s="338"/>
      <c r="FI242" s="338"/>
      <c r="FJ242" s="338"/>
      <c r="FK242" s="338"/>
      <c r="FL242" s="338"/>
      <c r="FM242" s="337"/>
      <c r="FN242" s="336"/>
      <c r="FO242" s="336"/>
      <c r="FP242" s="336"/>
      <c r="FQ242" s="336"/>
      <c r="FR242" s="336"/>
      <c r="FS242" s="336"/>
      <c r="FT242" s="336"/>
      <c r="FU242" s="336"/>
      <c r="FV242" s="336"/>
      <c r="FW242" s="337"/>
      <c r="FX242" s="532"/>
      <c r="FY242" s="341"/>
      <c r="FZ242" s="341"/>
      <c r="GA242" s="336"/>
      <c r="GB242" s="341"/>
      <c r="GC242" s="341"/>
      <c r="GD242" s="341"/>
      <c r="GE242" s="336"/>
      <c r="GF242" s="336"/>
      <c r="GG242" s="336"/>
      <c r="GH242" s="336"/>
      <c r="GI242" s="336"/>
      <c r="GJ242" s="337"/>
      <c r="GM242" s="338"/>
      <c r="GN242" s="338"/>
      <c r="GO242" s="338"/>
      <c r="GS242" s="338"/>
      <c r="GT242" s="338"/>
      <c r="GU242" s="338"/>
      <c r="GY242" s="338"/>
      <c r="GZ242" s="338"/>
      <c r="HA242" s="338"/>
      <c r="HE242" s="338"/>
      <c r="HF242" s="338"/>
      <c r="HG242" s="338"/>
      <c r="HN242" s="68"/>
      <c r="HO242" s="68"/>
      <c r="HP242" s="68"/>
      <c r="HQ242" s="336"/>
      <c r="HR242" s="68"/>
      <c r="HS242" s="68"/>
      <c r="HT242" s="10"/>
      <c r="HW242" s="338"/>
      <c r="HX242" s="338"/>
      <c r="HY242" s="338"/>
      <c r="IC242" s="338"/>
      <c r="ID242" s="338"/>
      <c r="IE242" s="338"/>
      <c r="II242" s="338"/>
      <c r="IJ242" s="338"/>
      <c r="IK242" s="338"/>
      <c r="IO242" s="338"/>
      <c r="IP242" s="338"/>
      <c r="IQ242" s="338"/>
      <c r="IX242" s="68"/>
      <c r="IY242" s="68"/>
      <c r="IZ242" s="68"/>
      <c r="JA242" s="68"/>
      <c r="JB242" s="68"/>
      <c r="JC242" s="68"/>
      <c r="JD242" s="10"/>
      <c r="JG242" s="338"/>
      <c r="JH242" s="338"/>
      <c r="JI242" s="338"/>
      <c r="JM242" s="338"/>
      <c r="JN242" s="338"/>
      <c r="JQ242" s="338"/>
      <c r="JR242" s="338"/>
      <c r="JS242" s="338"/>
      <c r="JW242" s="358"/>
      <c r="JX242" s="336"/>
      <c r="JY242" s="336"/>
      <c r="JZ242" s="336"/>
      <c r="KA242" s="336"/>
      <c r="KB242" s="336"/>
      <c r="KC242" s="336"/>
      <c r="KD242" s="336"/>
      <c r="KE242" s="336"/>
      <c r="KF242" s="336"/>
      <c r="KG242" s="337"/>
      <c r="KH242" s="338"/>
      <c r="KI242" s="338"/>
      <c r="KJ242" s="338"/>
      <c r="KK242" s="338"/>
      <c r="KL242" s="338"/>
      <c r="KM242" s="338"/>
      <c r="KN242" s="338"/>
      <c r="KO242" s="338"/>
      <c r="KP242" s="338"/>
      <c r="KQ242" s="338"/>
      <c r="KR242" s="338"/>
      <c r="KS242" s="338"/>
      <c r="KT242" s="338"/>
      <c r="KU242" s="338"/>
      <c r="KV242" s="338"/>
      <c r="KW242" s="337"/>
      <c r="KX242" s="336"/>
      <c r="KY242" s="336"/>
      <c r="KZ242" s="336"/>
      <c r="LA242" s="336"/>
      <c r="LB242" s="336"/>
      <c r="LC242" s="336"/>
      <c r="LD242" s="336"/>
      <c r="LE242" s="336"/>
      <c r="LF242" s="336"/>
      <c r="LG242" s="336"/>
      <c r="LH242" s="336"/>
      <c r="LI242" s="336"/>
      <c r="LJ242" s="336"/>
      <c r="LK242" s="336"/>
      <c r="LL242" s="336"/>
      <c r="LM242" s="336"/>
      <c r="LN242" s="336"/>
      <c r="LO242" s="336"/>
      <c r="LP242" s="336"/>
      <c r="LQ242" s="337"/>
      <c r="MN242" s="10"/>
      <c r="OA242" s="10"/>
    </row>
    <row r="243" spans="1:391" s="370" customFormat="1" x14ac:dyDescent="0.25">
      <c r="A243" s="68"/>
      <c r="B243" s="10"/>
      <c r="C243" s="68"/>
      <c r="D243" s="68"/>
      <c r="E243" s="68"/>
      <c r="F243" s="68"/>
      <c r="G243" s="68"/>
      <c r="H243" s="68"/>
      <c r="I243" s="68"/>
      <c r="J243" s="68"/>
      <c r="K243" s="68"/>
      <c r="L243" s="68"/>
      <c r="M243" s="68"/>
      <c r="N243" s="68"/>
      <c r="O243" s="68"/>
      <c r="P243" s="68"/>
      <c r="Q243" s="68"/>
      <c r="R243" s="68"/>
      <c r="S243" s="68"/>
      <c r="T243" s="70"/>
      <c r="AC243" s="68"/>
      <c r="AD243" s="70"/>
      <c r="AM243" s="68"/>
      <c r="AN243" s="70"/>
      <c r="AU243" s="68"/>
      <c r="AV243" s="70"/>
      <c r="BB243" s="68"/>
      <c r="BC243" s="70"/>
      <c r="BD243" s="68"/>
      <c r="BE243" s="68"/>
      <c r="BF243" s="68"/>
      <c r="BG243" s="68"/>
      <c r="BH243" s="68"/>
      <c r="BI243" s="68"/>
      <c r="BJ243" s="70"/>
      <c r="BM243" s="68"/>
      <c r="BN243" s="70"/>
      <c r="BT243" s="68"/>
      <c r="BU243" s="70"/>
      <c r="BZ243" s="10"/>
      <c r="CF243" s="10"/>
      <c r="CI243" s="389"/>
      <c r="CJ243" s="389"/>
      <c r="CK243" s="68"/>
      <c r="CL243" s="70"/>
      <c r="CO243" s="10"/>
      <c r="CU243" s="10"/>
      <c r="DA243" s="10"/>
      <c r="DB243" s="70"/>
      <c r="DC243" s="70"/>
      <c r="DF243" s="68"/>
      <c r="DG243" s="70"/>
      <c r="DH243" s="68"/>
      <c r="DI243" s="386"/>
      <c r="DJ243" s="425"/>
      <c r="DL243" s="68"/>
      <c r="DM243" s="70"/>
      <c r="DQ243" s="68"/>
      <c r="DR243" s="70"/>
      <c r="DS243" s="338"/>
      <c r="DT243" s="338"/>
      <c r="DU243" s="338"/>
      <c r="DW243" s="338"/>
      <c r="DX243" s="338"/>
      <c r="DY243" s="338"/>
      <c r="EA243" s="338"/>
      <c r="EB243" s="338"/>
      <c r="EC243" s="338"/>
      <c r="EE243" s="338"/>
      <c r="EF243" s="338"/>
      <c r="EG243" s="338"/>
      <c r="EI243" s="336"/>
      <c r="EJ243" s="336"/>
      <c r="EK243" s="336"/>
      <c r="EL243" s="336"/>
      <c r="EM243" s="336"/>
      <c r="EN243" s="336"/>
      <c r="EO243" s="337"/>
      <c r="EP243" s="342"/>
      <c r="EQ243" s="336"/>
      <c r="ER243" s="342"/>
      <c r="ES243" s="336"/>
      <c r="ET243" s="342"/>
      <c r="EU243" s="336"/>
      <c r="EV243" s="342"/>
      <c r="EW243" s="336"/>
      <c r="EX243" s="342"/>
      <c r="EY243" s="342"/>
      <c r="EZ243" s="342"/>
      <c r="FA243" s="337"/>
      <c r="FE243" s="338"/>
      <c r="FH243" s="338"/>
      <c r="FI243" s="338"/>
      <c r="FJ243" s="338"/>
      <c r="FK243" s="338"/>
      <c r="FL243" s="338"/>
      <c r="FM243" s="337"/>
      <c r="FN243" s="336"/>
      <c r="FO243" s="336"/>
      <c r="FP243" s="336"/>
      <c r="FQ243" s="336"/>
      <c r="FR243" s="336"/>
      <c r="FS243" s="336"/>
      <c r="FT243" s="336"/>
      <c r="FU243" s="336"/>
      <c r="FV243" s="336"/>
      <c r="FW243" s="337"/>
      <c r="FX243" s="532"/>
      <c r="FY243" s="341"/>
      <c r="FZ243" s="341"/>
      <c r="GA243" s="336"/>
      <c r="GB243" s="341"/>
      <c r="GC243" s="341"/>
      <c r="GD243" s="341"/>
      <c r="GE243" s="336"/>
      <c r="GF243" s="336"/>
      <c r="GG243" s="336"/>
      <c r="GH243" s="336"/>
      <c r="GI243" s="336"/>
      <c r="GJ243" s="337"/>
      <c r="GM243" s="338"/>
      <c r="GN243" s="338"/>
      <c r="GO243" s="338"/>
      <c r="GS243" s="338"/>
      <c r="GT243" s="338"/>
      <c r="GU243" s="338"/>
      <c r="GY243" s="338"/>
      <c r="GZ243" s="338"/>
      <c r="HA243" s="338"/>
      <c r="HE243" s="338"/>
      <c r="HF243" s="338"/>
      <c r="HG243" s="338"/>
      <c r="HN243" s="68"/>
      <c r="HO243" s="68"/>
      <c r="HP243" s="68"/>
      <c r="HQ243" s="336"/>
      <c r="HR243" s="68"/>
      <c r="HS243" s="68"/>
      <c r="HT243" s="10"/>
      <c r="HW243" s="338"/>
      <c r="HX243" s="338"/>
      <c r="HY243" s="338"/>
      <c r="IC243" s="338"/>
      <c r="ID243" s="338"/>
      <c r="IE243" s="338"/>
      <c r="II243" s="338"/>
      <c r="IJ243" s="338"/>
      <c r="IK243" s="338"/>
      <c r="IO243" s="338"/>
      <c r="IP243" s="338"/>
      <c r="IQ243" s="338"/>
      <c r="IX243" s="68"/>
      <c r="IY243" s="68"/>
      <c r="IZ243" s="68"/>
      <c r="JA243" s="68"/>
      <c r="JB243" s="68"/>
      <c r="JC243" s="68"/>
      <c r="JD243" s="10"/>
      <c r="JG243" s="338"/>
      <c r="JH243" s="338"/>
      <c r="JI243" s="338"/>
      <c r="JM243" s="338"/>
      <c r="JN243" s="338"/>
      <c r="JQ243" s="338"/>
      <c r="JR243" s="338"/>
      <c r="JS243" s="338"/>
      <c r="JW243" s="358"/>
      <c r="JX243" s="336"/>
      <c r="JY243" s="336"/>
      <c r="JZ243" s="336"/>
      <c r="KA243" s="336"/>
      <c r="KB243" s="336"/>
      <c r="KC243" s="336"/>
      <c r="KD243" s="336"/>
      <c r="KE243" s="336"/>
      <c r="KF243" s="336"/>
      <c r="KG243" s="337"/>
      <c r="KH243" s="338"/>
      <c r="KI243" s="338"/>
      <c r="KJ243" s="338"/>
      <c r="KK243" s="338"/>
      <c r="KL243" s="338"/>
      <c r="KM243" s="338"/>
      <c r="KN243" s="338"/>
      <c r="KO243" s="338"/>
      <c r="KP243" s="338"/>
      <c r="KQ243" s="338"/>
      <c r="KR243" s="338"/>
      <c r="KS243" s="338"/>
      <c r="KT243" s="338"/>
      <c r="KU243" s="338"/>
      <c r="KV243" s="338"/>
      <c r="KW243" s="337"/>
      <c r="KX243" s="336"/>
      <c r="KY243" s="336"/>
      <c r="KZ243" s="336"/>
      <c r="LA243" s="336"/>
      <c r="LB243" s="336"/>
      <c r="LC243" s="336"/>
      <c r="LD243" s="336"/>
      <c r="LE243" s="336"/>
      <c r="LF243" s="336"/>
      <c r="LG243" s="336"/>
      <c r="LH243" s="336"/>
      <c r="LI243" s="336"/>
      <c r="LJ243" s="336"/>
      <c r="LK243" s="336"/>
      <c r="LL243" s="336"/>
      <c r="LM243" s="336"/>
      <c r="LN243" s="336"/>
      <c r="LO243" s="336"/>
      <c r="LP243" s="336"/>
      <c r="LQ243" s="337"/>
      <c r="MN243" s="10"/>
      <c r="OA243" s="10"/>
    </row>
    <row r="244" spans="1:391" s="370" customFormat="1" x14ac:dyDescent="0.25">
      <c r="A244" s="68"/>
      <c r="B244" s="10"/>
      <c r="C244" s="68"/>
      <c r="D244" s="68"/>
      <c r="E244" s="68"/>
      <c r="F244" s="68"/>
      <c r="G244" s="68"/>
      <c r="H244" s="68"/>
      <c r="I244" s="68"/>
      <c r="J244" s="68"/>
      <c r="K244" s="68"/>
      <c r="L244" s="68"/>
      <c r="M244" s="68"/>
      <c r="N244" s="68"/>
      <c r="O244" s="68"/>
      <c r="P244" s="68"/>
      <c r="Q244" s="68"/>
      <c r="R244" s="68"/>
      <c r="S244" s="68"/>
      <c r="T244" s="70"/>
      <c r="AC244" s="68"/>
      <c r="AD244" s="70"/>
      <c r="AM244" s="68"/>
      <c r="AN244" s="70"/>
      <c r="AU244" s="68"/>
      <c r="AV244" s="70"/>
      <c r="BB244" s="68"/>
      <c r="BC244" s="70"/>
      <c r="BD244" s="68"/>
      <c r="BE244" s="68"/>
      <c r="BF244" s="68"/>
      <c r="BG244" s="68"/>
      <c r="BH244" s="68"/>
      <c r="BI244" s="68"/>
      <c r="BJ244" s="70"/>
      <c r="BM244" s="68"/>
      <c r="BN244" s="70"/>
      <c r="BT244" s="68"/>
      <c r="BU244" s="70"/>
      <c r="BZ244" s="10"/>
      <c r="CF244" s="10"/>
      <c r="CI244" s="389"/>
      <c r="CJ244" s="389"/>
      <c r="CK244" s="68"/>
      <c r="CL244" s="70"/>
      <c r="CO244" s="10"/>
      <c r="CU244" s="10"/>
      <c r="DA244" s="10"/>
      <c r="DB244" s="70"/>
      <c r="DC244" s="70"/>
      <c r="DF244" s="68"/>
      <c r="DG244" s="70"/>
      <c r="DH244" s="68"/>
      <c r="DI244" s="386"/>
      <c r="DJ244" s="425"/>
      <c r="DL244" s="68"/>
      <c r="DM244" s="70"/>
      <c r="DQ244" s="68"/>
      <c r="DR244" s="70"/>
      <c r="DS244" s="338"/>
      <c r="DT244" s="338"/>
      <c r="DU244" s="338"/>
      <c r="DW244" s="338"/>
      <c r="DX244" s="338"/>
      <c r="DY244" s="338"/>
      <c r="EA244" s="338"/>
      <c r="EB244" s="338"/>
      <c r="EC244" s="338"/>
      <c r="EE244" s="338"/>
      <c r="EF244" s="338"/>
      <c r="EG244" s="338"/>
      <c r="EI244" s="336"/>
      <c r="EJ244" s="336"/>
      <c r="EK244" s="336"/>
      <c r="EL244" s="336"/>
      <c r="EM244" s="336"/>
      <c r="EN244" s="336"/>
      <c r="EO244" s="337"/>
      <c r="EP244" s="342"/>
      <c r="EQ244" s="336"/>
      <c r="ER244" s="342"/>
      <c r="ES244" s="336"/>
      <c r="ET244" s="342"/>
      <c r="EU244" s="336"/>
      <c r="EV244" s="342"/>
      <c r="EW244" s="336"/>
      <c r="EX244" s="342"/>
      <c r="EY244" s="342"/>
      <c r="EZ244" s="342"/>
      <c r="FA244" s="337"/>
      <c r="FE244" s="338"/>
      <c r="FH244" s="338"/>
      <c r="FI244" s="338"/>
      <c r="FJ244" s="338"/>
      <c r="FK244" s="338"/>
      <c r="FL244" s="338"/>
      <c r="FM244" s="337"/>
      <c r="FN244" s="336"/>
      <c r="FO244" s="336"/>
      <c r="FP244" s="336"/>
      <c r="FQ244" s="336"/>
      <c r="FR244" s="336"/>
      <c r="FS244" s="336"/>
      <c r="FT244" s="336"/>
      <c r="FU244" s="336"/>
      <c r="FV244" s="336"/>
      <c r="FW244" s="337"/>
      <c r="FX244" s="532"/>
      <c r="FY244" s="341"/>
      <c r="FZ244" s="341"/>
      <c r="GA244" s="336"/>
      <c r="GB244" s="341"/>
      <c r="GC244" s="341"/>
      <c r="GD244" s="341"/>
      <c r="GE244" s="336"/>
      <c r="GF244" s="336"/>
      <c r="GG244" s="336"/>
      <c r="GH244" s="336"/>
      <c r="GI244" s="336"/>
      <c r="GJ244" s="337"/>
      <c r="GM244" s="338"/>
      <c r="GN244" s="338"/>
      <c r="GO244" s="338"/>
      <c r="GS244" s="338"/>
      <c r="GT244" s="338"/>
      <c r="GU244" s="338"/>
      <c r="GY244" s="338"/>
      <c r="GZ244" s="338"/>
      <c r="HA244" s="338"/>
      <c r="HE244" s="338"/>
      <c r="HF244" s="338"/>
      <c r="HG244" s="338"/>
      <c r="HN244" s="68"/>
      <c r="HO244" s="68"/>
      <c r="HP244" s="68"/>
      <c r="HQ244" s="336"/>
      <c r="HR244" s="68"/>
      <c r="HS244" s="68"/>
      <c r="HT244" s="10"/>
      <c r="HW244" s="338"/>
      <c r="HX244" s="338"/>
      <c r="HY244" s="338"/>
      <c r="IC244" s="338"/>
      <c r="ID244" s="338"/>
      <c r="IE244" s="338"/>
      <c r="II244" s="338"/>
      <c r="IJ244" s="338"/>
      <c r="IK244" s="338"/>
      <c r="IO244" s="338"/>
      <c r="IP244" s="338"/>
      <c r="IQ244" s="338"/>
      <c r="IX244" s="68"/>
      <c r="IY244" s="68"/>
      <c r="IZ244" s="68"/>
      <c r="JA244" s="68"/>
      <c r="JB244" s="68"/>
      <c r="JC244" s="68"/>
      <c r="JD244" s="10"/>
      <c r="JG244" s="338"/>
      <c r="JH244" s="338"/>
      <c r="JI244" s="338"/>
      <c r="JM244" s="338"/>
      <c r="JN244" s="338"/>
      <c r="JQ244" s="338"/>
      <c r="JR244" s="338"/>
      <c r="JS244" s="338"/>
      <c r="JW244" s="358"/>
      <c r="JX244" s="336"/>
      <c r="JY244" s="336"/>
      <c r="JZ244" s="336"/>
      <c r="KA244" s="336"/>
      <c r="KB244" s="336"/>
      <c r="KC244" s="336"/>
      <c r="KD244" s="336"/>
      <c r="KE244" s="336"/>
      <c r="KF244" s="336"/>
      <c r="KG244" s="337"/>
      <c r="KH244" s="338"/>
      <c r="KI244" s="338"/>
      <c r="KJ244" s="338"/>
      <c r="KK244" s="338"/>
      <c r="KL244" s="338"/>
      <c r="KM244" s="338"/>
      <c r="KN244" s="338"/>
      <c r="KO244" s="338"/>
      <c r="KP244" s="338"/>
      <c r="KQ244" s="338"/>
      <c r="KR244" s="338"/>
      <c r="KS244" s="338"/>
      <c r="KT244" s="338"/>
      <c r="KU244" s="338"/>
      <c r="KV244" s="338"/>
      <c r="KW244" s="337"/>
      <c r="KX244" s="336"/>
      <c r="KY244" s="336"/>
      <c r="KZ244" s="336"/>
      <c r="LA244" s="336"/>
      <c r="LB244" s="336"/>
      <c r="LC244" s="336"/>
      <c r="LD244" s="336"/>
      <c r="LE244" s="336"/>
      <c r="LF244" s="336"/>
      <c r="LG244" s="336"/>
      <c r="LH244" s="336"/>
      <c r="LI244" s="336"/>
      <c r="LJ244" s="336"/>
      <c r="LK244" s="336"/>
      <c r="LL244" s="336"/>
      <c r="LM244" s="336"/>
      <c r="LN244" s="336"/>
      <c r="LO244" s="336"/>
      <c r="LP244" s="336"/>
      <c r="LQ244" s="337"/>
      <c r="MN244" s="10"/>
      <c r="OA244" s="10"/>
    </row>
    <row r="245" spans="1:391" s="370" customFormat="1" x14ac:dyDescent="0.25">
      <c r="A245" s="68"/>
      <c r="B245" s="10"/>
      <c r="C245" s="68"/>
      <c r="D245" s="68"/>
      <c r="E245" s="68"/>
      <c r="F245" s="68"/>
      <c r="G245" s="68"/>
      <c r="H245" s="68"/>
      <c r="I245" s="68"/>
      <c r="J245" s="68"/>
      <c r="K245" s="68"/>
      <c r="L245" s="68"/>
      <c r="M245" s="68"/>
      <c r="N245" s="68"/>
      <c r="O245" s="68"/>
      <c r="P245" s="68"/>
      <c r="Q245" s="68"/>
      <c r="R245" s="68"/>
      <c r="S245" s="68"/>
      <c r="T245" s="70"/>
      <c r="AC245" s="68"/>
      <c r="AD245" s="70"/>
      <c r="AM245" s="68"/>
      <c r="AN245" s="70"/>
      <c r="AU245" s="68"/>
      <c r="AV245" s="70"/>
      <c r="BB245" s="68"/>
      <c r="BC245" s="70"/>
      <c r="BD245" s="68"/>
      <c r="BE245" s="68"/>
      <c r="BF245" s="68"/>
      <c r="BG245" s="68"/>
      <c r="BH245" s="68"/>
      <c r="BI245" s="68"/>
      <c r="BJ245" s="70"/>
      <c r="BM245" s="68"/>
      <c r="BN245" s="70"/>
      <c r="BT245" s="68"/>
      <c r="BU245" s="70"/>
      <c r="BZ245" s="10"/>
      <c r="CF245" s="10"/>
      <c r="CI245" s="389"/>
      <c r="CJ245" s="389"/>
      <c r="CK245" s="68"/>
      <c r="CL245" s="70"/>
      <c r="CO245" s="10"/>
      <c r="CU245" s="10"/>
      <c r="DA245" s="10"/>
      <c r="DB245" s="70"/>
      <c r="DC245" s="70"/>
      <c r="DF245" s="68"/>
      <c r="DG245" s="70"/>
      <c r="DH245" s="68"/>
      <c r="DI245" s="386"/>
      <c r="DJ245" s="425"/>
      <c r="DL245" s="68"/>
      <c r="DM245" s="70"/>
      <c r="DQ245" s="68"/>
      <c r="DR245" s="70"/>
      <c r="DS245" s="338"/>
      <c r="DT245" s="338"/>
      <c r="DU245" s="338"/>
      <c r="DW245" s="338"/>
      <c r="DX245" s="338"/>
      <c r="DY245" s="338"/>
      <c r="EA245" s="338"/>
      <c r="EB245" s="338"/>
      <c r="EC245" s="338"/>
      <c r="EE245" s="338"/>
      <c r="EF245" s="338"/>
      <c r="EG245" s="338"/>
      <c r="EI245" s="336"/>
      <c r="EJ245" s="336"/>
      <c r="EK245" s="336"/>
      <c r="EL245" s="336"/>
      <c r="EM245" s="336"/>
      <c r="EN245" s="336"/>
      <c r="EO245" s="337"/>
      <c r="EP245" s="342"/>
      <c r="EQ245" s="336"/>
      <c r="ER245" s="342"/>
      <c r="ES245" s="336"/>
      <c r="ET245" s="342"/>
      <c r="EU245" s="336"/>
      <c r="EV245" s="342"/>
      <c r="EW245" s="336"/>
      <c r="EX245" s="342"/>
      <c r="EY245" s="342"/>
      <c r="EZ245" s="342"/>
      <c r="FA245" s="337"/>
      <c r="FE245" s="338"/>
      <c r="FH245" s="338"/>
      <c r="FI245" s="338"/>
      <c r="FJ245" s="338"/>
      <c r="FK245" s="338"/>
      <c r="FL245" s="338"/>
      <c r="FM245" s="337"/>
      <c r="FN245" s="336"/>
      <c r="FO245" s="336"/>
      <c r="FP245" s="336"/>
      <c r="FQ245" s="336"/>
      <c r="FR245" s="336"/>
      <c r="FS245" s="336"/>
      <c r="FT245" s="336"/>
      <c r="FU245" s="336"/>
      <c r="FV245" s="336"/>
      <c r="FW245" s="337"/>
      <c r="FX245" s="532"/>
      <c r="FY245" s="341"/>
      <c r="FZ245" s="341"/>
      <c r="GA245" s="336"/>
      <c r="GB245" s="341"/>
      <c r="GC245" s="341"/>
      <c r="GD245" s="341"/>
      <c r="GE245" s="336"/>
      <c r="GF245" s="336"/>
      <c r="GG245" s="336"/>
      <c r="GH245" s="336"/>
      <c r="GI245" s="336"/>
      <c r="GJ245" s="337"/>
      <c r="GM245" s="338"/>
      <c r="GN245" s="338"/>
      <c r="GO245" s="338"/>
      <c r="GS245" s="338"/>
      <c r="GT245" s="338"/>
      <c r="GU245" s="338"/>
      <c r="GY245" s="338"/>
      <c r="GZ245" s="338"/>
      <c r="HA245" s="338"/>
      <c r="HE245" s="338"/>
      <c r="HF245" s="338"/>
      <c r="HG245" s="338"/>
      <c r="HN245" s="68"/>
      <c r="HO245" s="68"/>
      <c r="HP245" s="68"/>
      <c r="HQ245" s="336"/>
      <c r="HR245" s="68"/>
      <c r="HS245" s="68"/>
      <c r="HT245" s="10"/>
      <c r="HW245" s="338"/>
      <c r="HX245" s="338"/>
      <c r="HY245" s="338"/>
      <c r="IC245" s="338"/>
      <c r="ID245" s="338"/>
      <c r="IE245" s="338"/>
      <c r="II245" s="338"/>
      <c r="IJ245" s="338"/>
      <c r="IK245" s="338"/>
      <c r="IO245" s="338"/>
      <c r="IP245" s="338"/>
      <c r="IQ245" s="338"/>
      <c r="IX245" s="68"/>
      <c r="IY245" s="68"/>
      <c r="IZ245" s="68"/>
      <c r="JA245" s="68"/>
      <c r="JB245" s="68"/>
      <c r="JC245" s="68"/>
      <c r="JD245" s="10"/>
      <c r="JG245" s="338"/>
      <c r="JH245" s="338"/>
      <c r="JI245" s="338"/>
      <c r="JM245" s="338"/>
      <c r="JN245" s="338"/>
      <c r="JQ245" s="338"/>
      <c r="JR245" s="338"/>
      <c r="JS245" s="338"/>
      <c r="JW245" s="358"/>
      <c r="JX245" s="336"/>
      <c r="JY245" s="336"/>
      <c r="JZ245" s="336"/>
      <c r="KA245" s="336"/>
      <c r="KB245" s="336"/>
      <c r="KC245" s="336"/>
      <c r="KD245" s="336"/>
      <c r="KE245" s="336"/>
      <c r="KF245" s="336"/>
      <c r="KG245" s="337"/>
      <c r="KH245" s="338"/>
      <c r="KI245" s="338"/>
      <c r="KJ245" s="338"/>
      <c r="KK245" s="338"/>
      <c r="KL245" s="338"/>
      <c r="KM245" s="338"/>
      <c r="KN245" s="338"/>
      <c r="KO245" s="338"/>
      <c r="KP245" s="338"/>
      <c r="KQ245" s="338"/>
      <c r="KR245" s="338"/>
      <c r="KS245" s="338"/>
      <c r="KT245" s="338"/>
      <c r="KU245" s="338"/>
      <c r="KV245" s="338"/>
      <c r="KW245" s="337"/>
      <c r="KX245" s="336"/>
      <c r="KY245" s="336"/>
      <c r="KZ245" s="336"/>
      <c r="LA245" s="336"/>
      <c r="LB245" s="336"/>
      <c r="LC245" s="336"/>
      <c r="LD245" s="336"/>
      <c r="LE245" s="336"/>
      <c r="LF245" s="336"/>
      <c r="LG245" s="336"/>
      <c r="LH245" s="336"/>
      <c r="LI245" s="336"/>
      <c r="LJ245" s="336"/>
      <c r="LK245" s="336"/>
      <c r="LL245" s="336"/>
      <c r="LM245" s="336"/>
      <c r="LN245" s="336"/>
      <c r="LO245" s="336"/>
      <c r="LP245" s="336"/>
      <c r="LQ245" s="337"/>
      <c r="MN245" s="10"/>
      <c r="OA245" s="10"/>
    </row>
    <row r="246" spans="1:391" s="370" customFormat="1" x14ac:dyDescent="0.25">
      <c r="A246" s="68"/>
      <c r="B246" s="10"/>
      <c r="C246" s="68"/>
      <c r="D246" s="68"/>
      <c r="E246" s="68"/>
      <c r="F246" s="68"/>
      <c r="G246" s="68"/>
      <c r="H246" s="68"/>
      <c r="I246" s="68"/>
      <c r="J246" s="68"/>
      <c r="K246" s="68"/>
      <c r="L246" s="68"/>
      <c r="M246" s="68"/>
      <c r="N246" s="68"/>
      <c r="O246" s="68"/>
      <c r="P246" s="68"/>
      <c r="Q246" s="68"/>
      <c r="R246" s="68"/>
      <c r="S246" s="68"/>
      <c r="T246" s="70"/>
      <c r="AC246" s="68"/>
      <c r="AD246" s="70"/>
      <c r="AM246" s="68"/>
      <c r="AN246" s="70"/>
      <c r="AU246" s="68"/>
      <c r="AV246" s="70"/>
      <c r="BB246" s="68"/>
      <c r="BC246" s="70"/>
      <c r="BD246" s="68"/>
      <c r="BE246" s="68"/>
      <c r="BF246" s="68"/>
      <c r="BG246" s="68"/>
      <c r="BH246" s="68"/>
      <c r="BI246" s="68"/>
      <c r="BJ246" s="70"/>
      <c r="BM246" s="68"/>
      <c r="BN246" s="70"/>
      <c r="BT246" s="68"/>
      <c r="BU246" s="70"/>
      <c r="BZ246" s="10"/>
      <c r="CF246" s="10"/>
      <c r="CI246" s="389"/>
      <c r="CJ246" s="389"/>
      <c r="CK246" s="68"/>
      <c r="CL246" s="70"/>
      <c r="CO246" s="10"/>
      <c r="CU246" s="10"/>
      <c r="DA246" s="10"/>
      <c r="DB246" s="70"/>
      <c r="DC246" s="70"/>
      <c r="DF246" s="68"/>
      <c r="DG246" s="70"/>
      <c r="DH246" s="68"/>
      <c r="DI246" s="386"/>
      <c r="DJ246" s="425"/>
      <c r="DL246" s="68"/>
      <c r="DM246" s="70"/>
      <c r="DQ246" s="68"/>
      <c r="DR246" s="70"/>
      <c r="DS246" s="338"/>
      <c r="DT246" s="338"/>
      <c r="DU246" s="338"/>
      <c r="DW246" s="338"/>
      <c r="DX246" s="338"/>
      <c r="DY246" s="338"/>
      <c r="EA246" s="338"/>
      <c r="EB246" s="338"/>
      <c r="EC246" s="338"/>
      <c r="EE246" s="338"/>
      <c r="EF246" s="338"/>
      <c r="EG246" s="338"/>
      <c r="EI246" s="336"/>
      <c r="EJ246" s="336"/>
      <c r="EK246" s="336"/>
      <c r="EL246" s="336"/>
      <c r="EM246" s="336"/>
      <c r="EN246" s="336"/>
      <c r="EO246" s="337"/>
      <c r="EP246" s="342"/>
      <c r="EQ246" s="336"/>
      <c r="ER246" s="342"/>
      <c r="ES246" s="336"/>
      <c r="ET246" s="342"/>
      <c r="EU246" s="336"/>
      <c r="EV246" s="342"/>
      <c r="EW246" s="336"/>
      <c r="EX246" s="342"/>
      <c r="EY246" s="342"/>
      <c r="EZ246" s="342"/>
      <c r="FA246" s="337"/>
      <c r="FE246" s="338"/>
      <c r="FH246" s="338"/>
      <c r="FI246" s="338"/>
      <c r="FJ246" s="338"/>
      <c r="FK246" s="338"/>
      <c r="FL246" s="338"/>
      <c r="FM246" s="337"/>
      <c r="FN246" s="336"/>
      <c r="FO246" s="336"/>
      <c r="FP246" s="336"/>
      <c r="FQ246" s="336"/>
      <c r="FR246" s="336"/>
      <c r="FS246" s="336"/>
      <c r="FT246" s="336"/>
      <c r="FU246" s="336"/>
      <c r="FV246" s="336"/>
      <c r="FW246" s="337"/>
      <c r="FX246" s="532"/>
      <c r="FY246" s="341"/>
      <c r="FZ246" s="341"/>
      <c r="GA246" s="336"/>
      <c r="GB246" s="341"/>
      <c r="GC246" s="341"/>
      <c r="GD246" s="341"/>
      <c r="GE246" s="336"/>
      <c r="GF246" s="336"/>
      <c r="GG246" s="336"/>
      <c r="GH246" s="336"/>
      <c r="GI246" s="336"/>
      <c r="GJ246" s="337"/>
      <c r="GM246" s="338"/>
      <c r="GN246" s="338"/>
      <c r="GO246" s="338"/>
      <c r="GS246" s="338"/>
      <c r="GT246" s="338"/>
      <c r="GU246" s="338"/>
      <c r="GY246" s="338"/>
      <c r="GZ246" s="338"/>
      <c r="HA246" s="338"/>
      <c r="HE246" s="338"/>
      <c r="HF246" s="338"/>
      <c r="HG246" s="338"/>
      <c r="HN246" s="68"/>
      <c r="HO246" s="68"/>
      <c r="HP246" s="68"/>
      <c r="HQ246" s="336"/>
      <c r="HR246" s="68"/>
      <c r="HS246" s="68"/>
      <c r="HT246" s="10"/>
      <c r="HW246" s="338"/>
      <c r="HX246" s="338"/>
      <c r="HY246" s="338"/>
      <c r="IC246" s="338"/>
      <c r="ID246" s="338"/>
      <c r="IE246" s="338"/>
      <c r="II246" s="338"/>
      <c r="IJ246" s="338"/>
      <c r="IK246" s="338"/>
      <c r="IO246" s="338"/>
      <c r="IP246" s="338"/>
      <c r="IQ246" s="338"/>
      <c r="IX246" s="68"/>
      <c r="IY246" s="68"/>
      <c r="IZ246" s="68"/>
      <c r="JA246" s="68"/>
      <c r="JB246" s="68"/>
      <c r="JC246" s="68"/>
      <c r="JD246" s="10"/>
      <c r="JG246" s="338"/>
      <c r="JH246" s="338"/>
      <c r="JI246" s="338"/>
      <c r="JM246" s="338"/>
      <c r="JN246" s="338"/>
      <c r="JQ246" s="338"/>
      <c r="JR246" s="338"/>
      <c r="JS246" s="338"/>
      <c r="JW246" s="358"/>
      <c r="JX246" s="336"/>
      <c r="JY246" s="336"/>
      <c r="JZ246" s="336"/>
      <c r="KA246" s="336"/>
      <c r="KB246" s="336"/>
      <c r="KC246" s="336"/>
      <c r="KD246" s="336"/>
      <c r="KE246" s="336"/>
      <c r="KF246" s="336"/>
      <c r="KG246" s="337"/>
      <c r="KH246" s="338"/>
      <c r="KI246" s="338"/>
      <c r="KJ246" s="338"/>
      <c r="KK246" s="338"/>
      <c r="KL246" s="338"/>
      <c r="KM246" s="338"/>
      <c r="KN246" s="338"/>
      <c r="KO246" s="338"/>
      <c r="KP246" s="338"/>
      <c r="KQ246" s="338"/>
      <c r="KR246" s="338"/>
      <c r="KS246" s="338"/>
      <c r="KT246" s="338"/>
      <c r="KU246" s="338"/>
      <c r="KV246" s="338"/>
      <c r="KW246" s="337"/>
      <c r="KX246" s="336"/>
      <c r="KY246" s="336"/>
      <c r="KZ246" s="336"/>
      <c r="LA246" s="336"/>
      <c r="LB246" s="336"/>
      <c r="LC246" s="336"/>
      <c r="LD246" s="336"/>
      <c r="LE246" s="336"/>
      <c r="LF246" s="336"/>
      <c r="LG246" s="336"/>
      <c r="LH246" s="336"/>
      <c r="LI246" s="336"/>
      <c r="LJ246" s="336"/>
      <c r="LK246" s="336"/>
      <c r="LL246" s="336"/>
      <c r="LM246" s="336"/>
      <c r="LN246" s="336"/>
      <c r="LO246" s="336"/>
      <c r="LP246" s="336"/>
      <c r="LQ246" s="337"/>
      <c r="MN246" s="10"/>
      <c r="OA246" s="10"/>
    </row>
    <row r="247" spans="1:391" s="370" customFormat="1" x14ac:dyDescent="0.25">
      <c r="A247" s="68"/>
      <c r="B247" s="10"/>
      <c r="C247" s="68"/>
      <c r="D247" s="68"/>
      <c r="E247" s="68"/>
      <c r="F247" s="68"/>
      <c r="G247" s="68"/>
      <c r="H247" s="68"/>
      <c r="I247" s="68"/>
      <c r="J247" s="68"/>
      <c r="K247" s="68"/>
      <c r="L247" s="68"/>
      <c r="M247" s="68"/>
      <c r="N247" s="68"/>
      <c r="O247" s="68"/>
      <c r="P247" s="68"/>
      <c r="Q247" s="68"/>
      <c r="R247" s="68"/>
      <c r="S247" s="68"/>
      <c r="T247" s="70"/>
      <c r="AC247" s="68"/>
      <c r="AD247" s="70"/>
      <c r="AM247" s="68"/>
      <c r="AN247" s="70"/>
      <c r="AU247" s="68"/>
      <c r="AV247" s="70"/>
      <c r="BB247" s="68"/>
      <c r="BC247" s="70"/>
      <c r="BD247" s="68"/>
      <c r="BE247" s="68"/>
      <c r="BF247" s="68"/>
      <c r="BG247" s="68"/>
      <c r="BH247" s="68"/>
      <c r="BI247" s="68"/>
      <c r="BJ247" s="70"/>
      <c r="BM247" s="68"/>
      <c r="BN247" s="70"/>
      <c r="BT247" s="68"/>
      <c r="BU247" s="70"/>
      <c r="BZ247" s="10"/>
      <c r="CF247" s="10"/>
      <c r="CI247" s="389"/>
      <c r="CJ247" s="389"/>
      <c r="CK247" s="68"/>
      <c r="CL247" s="70"/>
      <c r="CO247" s="10"/>
      <c r="CU247" s="10"/>
      <c r="DA247" s="10"/>
      <c r="DB247" s="70"/>
      <c r="DC247" s="70"/>
      <c r="DF247" s="68"/>
      <c r="DG247" s="70"/>
      <c r="DH247" s="68"/>
      <c r="DI247" s="386"/>
      <c r="DJ247" s="425"/>
      <c r="DL247" s="68"/>
      <c r="DM247" s="70"/>
      <c r="DQ247" s="68"/>
      <c r="DR247" s="70"/>
      <c r="DS247" s="338"/>
      <c r="DT247" s="338"/>
      <c r="DU247" s="338"/>
      <c r="DW247" s="338"/>
      <c r="DX247" s="338"/>
      <c r="DY247" s="338"/>
      <c r="EA247" s="338"/>
      <c r="EB247" s="338"/>
      <c r="EC247" s="338"/>
      <c r="EE247" s="338"/>
      <c r="EF247" s="338"/>
      <c r="EG247" s="338"/>
      <c r="EI247" s="336"/>
      <c r="EJ247" s="336"/>
      <c r="EK247" s="336"/>
      <c r="EL247" s="336"/>
      <c r="EM247" s="336"/>
      <c r="EN247" s="336"/>
      <c r="EO247" s="337"/>
      <c r="EP247" s="342"/>
      <c r="EQ247" s="336"/>
      <c r="ER247" s="342"/>
      <c r="ES247" s="336"/>
      <c r="ET247" s="342"/>
      <c r="EU247" s="336"/>
      <c r="EV247" s="342"/>
      <c r="EW247" s="336"/>
      <c r="EX247" s="342"/>
      <c r="EY247" s="342"/>
      <c r="EZ247" s="342"/>
      <c r="FA247" s="337"/>
      <c r="FE247" s="338"/>
      <c r="FH247" s="338"/>
      <c r="FI247" s="338"/>
      <c r="FJ247" s="338"/>
      <c r="FK247" s="338"/>
      <c r="FL247" s="338"/>
      <c r="FM247" s="337"/>
      <c r="FN247" s="336"/>
      <c r="FO247" s="336"/>
      <c r="FP247" s="336"/>
      <c r="FQ247" s="336"/>
      <c r="FR247" s="336"/>
      <c r="FS247" s="336"/>
      <c r="FT247" s="336"/>
      <c r="FU247" s="336"/>
      <c r="FV247" s="336"/>
      <c r="FW247" s="337"/>
      <c r="FX247" s="532"/>
      <c r="FY247" s="341"/>
      <c r="FZ247" s="341"/>
      <c r="GA247" s="336"/>
      <c r="GB247" s="341"/>
      <c r="GC247" s="341"/>
      <c r="GD247" s="341"/>
      <c r="GE247" s="336"/>
      <c r="GF247" s="336"/>
      <c r="GG247" s="336"/>
      <c r="GH247" s="336"/>
      <c r="GI247" s="336"/>
      <c r="GJ247" s="337"/>
      <c r="GM247" s="338"/>
      <c r="GN247" s="338"/>
      <c r="GO247" s="338"/>
      <c r="GS247" s="338"/>
      <c r="GT247" s="338"/>
      <c r="GU247" s="338"/>
      <c r="GY247" s="338"/>
      <c r="GZ247" s="338"/>
      <c r="HA247" s="338"/>
      <c r="HE247" s="338"/>
      <c r="HF247" s="338"/>
      <c r="HG247" s="338"/>
      <c r="HN247" s="68"/>
      <c r="HO247" s="68"/>
      <c r="HP247" s="68"/>
      <c r="HQ247" s="336"/>
      <c r="HR247" s="68"/>
      <c r="HS247" s="68"/>
      <c r="HT247" s="10"/>
      <c r="HW247" s="338"/>
      <c r="HX247" s="338"/>
      <c r="HY247" s="338"/>
      <c r="IC247" s="338"/>
      <c r="ID247" s="338"/>
      <c r="IE247" s="338"/>
      <c r="II247" s="338"/>
      <c r="IJ247" s="338"/>
      <c r="IK247" s="338"/>
      <c r="IO247" s="338"/>
      <c r="IP247" s="338"/>
      <c r="IQ247" s="338"/>
      <c r="IX247" s="68"/>
      <c r="IY247" s="68"/>
      <c r="IZ247" s="68"/>
      <c r="JA247" s="68"/>
      <c r="JB247" s="68"/>
      <c r="JC247" s="68"/>
      <c r="JD247" s="10"/>
      <c r="JG247" s="338"/>
      <c r="JH247" s="338"/>
      <c r="JI247" s="338"/>
      <c r="JM247" s="338"/>
      <c r="JN247" s="338"/>
      <c r="JQ247" s="338"/>
      <c r="JR247" s="338"/>
      <c r="JS247" s="338"/>
      <c r="JW247" s="358"/>
      <c r="JX247" s="336"/>
      <c r="JY247" s="336"/>
      <c r="JZ247" s="336"/>
      <c r="KA247" s="336"/>
      <c r="KB247" s="336"/>
      <c r="KC247" s="336"/>
      <c r="KD247" s="336"/>
      <c r="KE247" s="336"/>
      <c r="KF247" s="336"/>
      <c r="KG247" s="337"/>
      <c r="KH247" s="338"/>
      <c r="KI247" s="338"/>
      <c r="KJ247" s="338"/>
      <c r="KK247" s="338"/>
      <c r="KL247" s="338"/>
      <c r="KM247" s="338"/>
      <c r="KN247" s="338"/>
      <c r="KO247" s="338"/>
      <c r="KP247" s="338"/>
      <c r="KQ247" s="338"/>
      <c r="KR247" s="338"/>
      <c r="KS247" s="338"/>
      <c r="KT247" s="338"/>
      <c r="KU247" s="338"/>
      <c r="KV247" s="338"/>
      <c r="KW247" s="337"/>
      <c r="KX247" s="336"/>
      <c r="KY247" s="336"/>
      <c r="KZ247" s="336"/>
      <c r="LA247" s="336"/>
      <c r="LB247" s="336"/>
      <c r="LC247" s="336"/>
      <c r="LD247" s="336"/>
      <c r="LE247" s="336"/>
      <c r="LF247" s="336"/>
      <c r="LG247" s="336"/>
      <c r="LH247" s="336"/>
      <c r="LI247" s="336"/>
      <c r="LJ247" s="336"/>
      <c r="LK247" s="336"/>
      <c r="LL247" s="336"/>
      <c r="LM247" s="336"/>
      <c r="LN247" s="336"/>
      <c r="LO247" s="336"/>
      <c r="LP247" s="336"/>
      <c r="LQ247" s="337"/>
      <c r="MN247" s="10"/>
      <c r="OA247" s="10"/>
    </row>
    <row r="248" spans="1:391" s="370" customFormat="1" x14ac:dyDescent="0.25">
      <c r="A248" s="68"/>
      <c r="B248" s="10"/>
      <c r="C248" s="68"/>
      <c r="D248" s="68"/>
      <c r="E248" s="68"/>
      <c r="F248" s="68"/>
      <c r="G248" s="68"/>
      <c r="H248" s="68"/>
      <c r="I248" s="68"/>
      <c r="J248" s="68"/>
      <c r="K248" s="68"/>
      <c r="L248" s="68"/>
      <c r="M248" s="68"/>
      <c r="N248" s="68"/>
      <c r="O248" s="68"/>
      <c r="P248" s="68"/>
      <c r="Q248" s="68"/>
      <c r="R248" s="68"/>
      <c r="S248" s="68"/>
      <c r="T248" s="70"/>
      <c r="AC248" s="68"/>
      <c r="AD248" s="70"/>
      <c r="AM248" s="68"/>
      <c r="AN248" s="70"/>
      <c r="AU248" s="68"/>
      <c r="AV248" s="70"/>
      <c r="BB248" s="68"/>
      <c r="BC248" s="70"/>
      <c r="BD248" s="68"/>
      <c r="BE248" s="68"/>
      <c r="BF248" s="68"/>
      <c r="BG248" s="68"/>
      <c r="BH248" s="68"/>
      <c r="BI248" s="68"/>
      <c r="BJ248" s="70"/>
      <c r="BM248" s="68"/>
      <c r="BN248" s="70"/>
      <c r="BT248" s="68"/>
      <c r="BU248" s="70"/>
      <c r="BZ248" s="10"/>
      <c r="CF248" s="10"/>
      <c r="CI248" s="389"/>
      <c r="CJ248" s="389"/>
      <c r="CK248" s="68"/>
      <c r="CL248" s="70"/>
      <c r="CO248" s="10"/>
      <c r="CU248" s="10"/>
      <c r="DA248" s="10"/>
      <c r="DB248" s="70"/>
      <c r="DC248" s="70"/>
      <c r="DF248" s="68"/>
      <c r="DG248" s="70"/>
      <c r="DH248" s="68"/>
      <c r="DI248" s="386"/>
      <c r="DJ248" s="425"/>
      <c r="DL248" s="68"/>
      <c r="DM248" s="70"/>
      <c r="DQ248" s="68"/>
      <c r="DR248" s="70"/>
      <c r="DS248" s="338"/>
      <c r="DT248" s="338"/>
      <c r="DU248" s="338"/>
      <c r="DW248" s="338"/>
      <c r="DX248" s="338"/>
      <c r="DY248" s="338"/>
      <c r="EA248" s="338"/>
      <c r="EB248" s="338"/>
      <c r="EC248" s="338"/>
      <c r="EE248" s="338"/>
      <c r="EF248" s="338"/>
      <c r="EG248" s="338"/>
      <c r="EI248" s="336"/>
      <c r="EJ248" s="336"/>
      <c r="EK248" s="336"/>
      <c r="EL248" s="336"/>
      <c r="EM248" s="336"/>
      <c r="EN248" s="336"/>
      <c r="EO248" s="337"/>
      <c r="EP248" s="342"/>
      <c r="EQ248" s="336"/>
      <c r="ER248" s="342"/>
      <c r="ES248" s="336"/>
      <c r="ET248" s="342"/>
      <c r="EU248" s="336"/>
      <c r="EV248" s="342"/>
      <c r="EW248" s="336"/>
      <c r="EX248" s="342"/>
      <c r="EY248" s="342"/>
      <c r="EZ248" s="342"/>
      <c r="FA248" s="337"/>
      <c r="FE248" s="338"/>
      <c r="FH248" s="338"/>
      <c r="FI248" s="338"/>
      <c r="FJ248" s="338"/>
      <c r="FK248" s="338"/>
      <c r="FL248" s="338"/>
      <c r="FM248" s="337"/>
      <c r="FN248" s="336"/>
      <c r="FO248" s="336"/>
      <c r="FP248" s="336"/>
      <c r="FQ248" s="336"/>
      <c r="FR248" s="336"/>
      <c r="FS248" s="336"/>
      <c r="FT248" s="336"/>
      <c r="FU248" s="336"/>
      <c r="FV248" s="336"/>
      <c r="FW248" s="337"/>
      <c r="FX248" s="532"/>
      <c r="FY248" s="341"/>
      <c r="FZ248" s="341"/>
      <c r="GA248" s="336"/>
      <c r="GB248" s="341"/>
      <c r="GC248" s="341"/>
      <c r="GD248" s="341"/>
      <c r="GE248" s="336"/>
      <c r="GF248" s="336"/>
      <c r="GG248" s="336"/>
      <c r="GH248" s="336"/>
      <c r="GI248" s="336"/>
      <c r="GJ248" s="337"/>
      <c r="GM248" s="338"/>
      <c r="GN248" s="338"/>
      <c r="GO248" s="338"/>
      <c r="GS248" s="338"/>
      <c r="GT248" s="338"/>
      <c r="GU248" s="338"/>
      <c r="GY248" s="338"/>
      <c r="GZ248" s="338"/>
      <c r="HA248" s="338"/>
      <c r="HE248" s="338"/>
      <c r="HF248" s="338"/>
      <c r="HG248" s="338"/>
      <c r="HN248" s="68"/>
      <c r="HO248" s="68"/>
      <c r="HP248" s="68"/>
      <c r="HQ248" s="336"/>
      <c r="HR248" s="68"/>
      <c r="HS248" s="68"/>
      <c r="HT248" s="10"/>
      <c r="HW248" s="338"/>
      <c r="HX248" s="338"/>
      <c r="HY248" s="338"/>
      <c r="IC248" s="338"/>
      <c r="ID248" s="338"/>
      <c r="IE248" s="338"/>
      <c r="II248" s="338"/>
      <c r="IJ248" s="338"/>
      <c r="IK248" s="338"/>
      <c r="IO248" s="338"/>
      <c r="IP248" s="338"/>
      <c r="IQ248" s="338"/>
      <c r="IX248" s="68"/>
      <c r="IY248" s="68"/>
      <c r="IZ248" s="68"/>
      <c r="JA248" s="68"/>
      <c r="JB248" s="68"/>
      <c r="JC248" s="68"/>
      <c r="JD248" s="10"/>
      <c r="JG248" s="338"/>
      <c r="JH248" s="338"/>
      <c r="JI248" s="338"/>
      <c r="JM248" s="338"/>
      <c r="JN248" s="338"/>
      <c r="JQ248" s="338"/>
      <c r="JR248" s="338"/>
      <c r="JS248" s="338"/>
      <c r="JW248" s="358"/>
      <c r="JX248" s="336"/>
      <c r="JY248" s="336"/>
      <c r="JZ248" s="336"/>
      <c r="KA248" s="336"/>
      <c r="KB248" s="336"/>
      <c r="KC248" s="336"/>
      <c r="KD248" s="336"/>
      <c r="KE248" s="336"/>
      <c r="KF248" s="336"/>
      <c r="KG248" s="337"/>
      <c r="KH248" s="338"/>
      <c r="KI248" s="338"/>
      <c r="KJ248" s="338"/>
      <c r="KK248" s="338"/>
      <c r="KL248" s="338"/>
      <c r="KM248" s="338"/>
      <c r="KN248" s="338"/>
      <c r="KO248" s="338"/>
      <c r="KP248" s="338"/>
      <c r="KQ248" s="338"/>
      <c r="KR248" s="338"/>
      <c r="KS248" s="338"/>
      <c r="KT248" s="338"/>
      <c r="KU248" s="338"/>
      <c r="KV248" s="338"/>
      <c r="KW248" s="337"/>
      <c r="KX248" s="336"/>
      <c r="KY248" s="336"/>
      <c r="KZ248" s="336"/>
      <c r="LA248" s="336"/>
      <c r="LB248" s="336"/>
      <c r="LC248" s="336"/>
      <c r="LD248" s="336"/>
      <c r="LE248" s="336"/>
      <c r="LF248" s="336"/>
      <c r="LG248" s="336"/>
      <c r="LH248" s="336"/>
      <c r="LI248" s="336"/>
      <c r="LJ248" s="336"/>
      <c r="LK248" s="336"/>
      <c r="LL248" s="336"/>
      <c r="LM248" s="336"/>
      <c r="LN248" s="336"/>
      <c r="LO248" s="336"/>
      <c r="LP248" s="336"/>
      <c r="LQ248" s="337"/>
      <c r="MN248" s="10"/>
      <c r="OA248" s="10"/>
    </row>
    <row r="249" spans="1:391" s="370" customFormat="1" x14ac:dyDescent="0.25">
      <c r="A249" s="68"/>
      <c r="B249" s="10"/>
      <c r="C249" s="68"/>
      <c r="D249" s="68"/>
      <c r="E249" s="68"/>
      <c r="F249" s="68"/>
      <c r="G249" s="68"/>
      <c r="H249" s="68"/>
      <c r="I249" s="68"/>
      <c r="J249" s="68"/>
      <c r="K249" s="68"/>
      <c r="L249" s="68"/>
      <c r="M249" s="68"/>
      <c r="N249" s="68"/>
      <c r="O249" s="68"/>
      <c r="P249" s="68"/>
      <c r="Q249" s="68"/>
      <c r="R249" s="68"/>
      <c r="S249" s="68"/>
      <c r="T249" s="70"/>
      <c r="AC249" s="68"/>
      <c r="AD249" s="70"/>
      <c r="AM249" s="68"/>
      <c r="AN249" s="70"/>
      <c r="AU249" s="68"/>
      <c r="AV249" s="70"/>
      <c r="BB249" s="68"/>
      <c r="BC249" s="70"/>
      <c r="BD249" s="68"/>
      <c r="BE249" s="68"/>
      <c r="BF249" s="68"/>
      <c r="BG249" s="68"/>
      <c r="BH249" s="68"/>
      <c r="BI249" s="68"/>
      <c r="BJ249" s="70"/>
      <c r="BM249" s="68"/>
      <c r="BN249" s="70"/>
      <c r="BT249" s="68"/>
      <c r="BU249" s="70"/>
      <c r="BZ249" s="10"/>
      <c r="CF249" s="10"/>
      <c r="CI249" s="389"/>
      <c r="CJ249" s="389"/>
      <c r="CK249" s="68"/>
      <c r="CL249" s="70"/>
      <c r="CO249" s="10"/>
      <c r="CU249" s="10"/>
      <c r="DA249" s="10"/>
      <c r="DB249" s="70"/>
      <c r="DC249" s="70"/>
      <c r="DF249" s="68"/>
      <c r="DG249" s="70"/>
      <c r="DH249" s="68"/>
      <c r="DI249" s="386"/>
      <c r="DJ249" s="425"/>
      <c r="DL249" s="68"/>
      <c r="DM249" s="70"/>
      <c r="DQ249" s="68"/>
      <c r="DR249" s="70"/>
      <c r="DS249" s="338"/>
      <c r="DT249" s="338"/>
      <c r="DU249" s="338"/>
      <c r="DW249" s="338"/>
      <c r="DX249" s="338"/>
      <c r="DY249" s="338"/>
      <c r="EA249" s="338"/>
      <c r="EB249" s="338"/>
      <c r="EC249" s="338"/>
      <c r="EE249" s="338"/>
      <c r="EF249" s="338"/>
      <c r="EG249" s="338"/>
      <c r="EI249" s="336"/>
      <c r="EJ249" s="336"/>
      <c r="EK249" s="336"/>
      <c r="EL249" s="336"/>
      <c r="EM249" s="336"/>
      <c r="EN249" s="336"/>
      <c r="EO249" s="337"/>
      <c r="EP249" s="342"/>
      <c r="EQ249" s="336"/>
      <c r="ER249" s="342"/>
      <c r="ES249" s="336"/>
      <c r="ET249" s="342"/>
      <c r="EU249" s="336"/>
      <c r="EV249" s="342"/>
      <c r="EW249" s="336"/>
      <c r="EX249" s="342"/>
      <c r="EY249" s="342"/>
      <c r="EZ249" s="342"/>
      <c r="FA249" s="337"/>
      <c r="FE249" s="338"/>
      <c r="FH249" s="338"/>
      <c r="FI249" s="338"/>
      <c r="FJ249" s="338"/>
      <c r="FK249" s="338"/>
      <c r="FL249" s="338"/>
      <c r="FM249" s="337"/>
      <c r="FN249" s="336"/>
      <c r="FO249" s="336"/>
      <c r="FP249" s="336"/>
      <c r="FQ249" s="336"/>
      <c r="FR249" s="336"/>
      <c r="FS249" s="336"/>
      <c r="FT249" s="336"/>
      <c r="FU249" s="336"/>
      <c r="FV249" s="336"/>
      <c r="FW249" s="337"/>
      <c r="FX249" s="532"/>
      <c r="FY249" s="341"/>
      <c r="FZ249" s="341"/>
      <c r="GA249" s="336"/>
      <c r="GB249" s="341"/>
      <c r="GC249" s="341"/>
      <c r="GD249" s="341"/>
      <c r="GE249" s="336"/>
      <c r="GF249" s="336"/>
      <c r="GG249" s="336"/>
      <c r="GH249" s="336"/>
      <c r="GI249" s="336"/>
      <c r="GJ249" s="337"/>
      <c r="GM249" s="338"/>
      <c r="GN249" s="338"/>
      <c r="GO249" s="338"/>
      <c r="GS249" s="338"/>
      <c r="GT249" s="338"/>
      <c r="GU249" s="338"/>
      <c r="GY249" s="338"/>
      <c r="GZ249" s="338"/>
      <c r="HA249" s="338"/>
      <c r="HE249" s="338"/>
      <c r="HF249" s="338"/>
      <c r="HG249" s="338"/>
      <c r="HN249" s="68"/>
      <c r="HO249" s="68"/>
      <c r="HP249" s="68"/>
      <c r="HQ249" s="336"/>
      <c r="HR249" s="68"/>
      <c r="HS249" s="68"/>
      <c r="HT249" s="10"/>
      <c r="HW249" s="338"/>
      <c r="HX249" s="338"/>
      <c r="HY249" s="338"/>
      <c r="IC249" s="338"/>
      <c r="ID249" s="338"/>
      <c r="IE249" s="338"/>
      <c r="II249" s="338"/>
      <c r="IJ249" s="338"/>
      <c r="IK249" s="338"/>
      <c r="IO249" s="338"/>
      <c r="IP249" s="338"/>
      <c r="IQ249" s="338"/>
      <c r="IX249" s="68"/>
      <c r="IY249" s="68"/>
      <c r="IZ249" s="68"/>
      <c r="JA249" s="68"/>
      <c r="JB249" s="68"/>
      <c r="JC249" s="68"/>
      <c r="JD249" s="10"/>
      <c r="JG249" s="338"/>
      <c r="JH249" s="338"/>
      <c r="JI249" s="338"/>
      <c r="JM249" s="338"/>
      <c r="JN249" s="338"/>
      <c r="JQ249" s="338"/>
      <c r="JR249" s="338"/>
      <c r="JS249" s="338"/>
      <c r="JW249" s="358"/>
      <c r="JX249" s="336"/>
      <c r="JY249" s="336"/>
      <c r="JZ249" s="336"/>
      <c r="KA249" s="336"/>
      <c r="KB249" s="336"/>
      <c r="KC249" s="336"/>
      <c r="KD249" s="336"/>
      <c r="KE249" s="336"/>
      <c r="KF249" s="336"/>
      <c r="KG249" s="337"/>
      <c r="KH249" s="338"/>
      <c r="KI249" s="338"/>
      <c r="KJ249" s="338"/>
      <c r="KK249" s="338"/>
      <c r="KL249" s="338"/>
      <c r="KM249" s="338"/>
      <c r="KN249" s="338"/>
      <c r="KO249" s="338"/>
      <c r="KP249" s="338"/>
      <c r="KQ249" s="338"/>
      <c r="KR249" s="338"/>
      <c r="KS249" s="338"/>
      <c r="KT249" s="338"/>
      <c r="KU249" s="338"/>
      <c r="KV249" s="338"/>
      <c r="KW249" s="337"/>
      <c r="KX249" s="336"/>
      <c r="KY249" s="336"/>
      <c r="KZ249" s="336"/>
      <c r="LA249" s="336"/>
      <c r="LB249" s="336"/>
      <c r="LC249" s="336"/>
      <c r="LD249" s="336"/>
      <c r="LE249" s="336"/>
      <c r="LF249" s="336"/>
      <c r="LG249" s="336"/>
      <c r="LH249" s="336"/>
      <c r="LI249" s="336"/>
      <c r="LJ249" s="336"/>
      <c r="LK249" s="336"/>
      <c r="LL249" s="336"/>
      <c r="LM249" s="336"/>
      <c r="LN249" s="336"/>
      <c r="LO249" s="336"/>
      <c r="LP249" s="336"/>
      <c r="LQ249" s="337"/>
      <c r="MN249" s="10"/>
      <c r="OA249" s="10"/>
    </row>
    <row r="250" spans="1:391" s="370" customFormat="1" x14ac:dyDescent="0.25">
      <c r="A250" s="68"/>
      <c r="B250" s="10"/>
      <c r="C250" s="68"/>
      <c r="D250" s="68"/>
      <c r="E250" s="68"/>
      <c r="F250" s="68"/>
      <c r="G250" s="68"/>
      <c r="H250" s="68"/>
      <c r="I250" s="68"/>
      <c r="J250" s="68"/>
      <c r="K250" s="68"/>
      <c r="L250" s="68"/>
      <c r="M250" s="68"/>
      <c r="N250" s="68"/>
      <c r="O250" s="68"/>
      <c r="P250" s="68"/>
      <c r="Q250" s="68"/>
      <c r="R250" s="68"/>
      <c r="S250" s="68"/>
      <c r="T250" s="70"/>
      <c r="AC250" s="68"/>
      <c r="AD250" s="70"/>
      <c r="AM250" s="68"/>
      <c r="AN250" s="70"/>
      <c r="AU250" s="68"/>
      <c r="AV250" s="70"/>
      <c r="BB250" s="68"/>
      <c r="BC250" s="70"/>
      <c r="BD250" s="68"/>
      <c r="BE250" s="68"/>
      <c r="BF250" s="68"/>
      <c r="BG250" s="68"/>
      <c r="BH250" s="68"/>
      <c r="BI250" s="68"/>
      <c r="BJ250" s="70"/>
      <c r="BM250" s="68"/>
      <c r="BN250" s="70"/>
      <c r="BT250" s="68"/>
      <c r="BU250" s="70"/>
      <c r="BZ250" s="10"/>
      <c r="CF250" s="10"/>
      <c r="CI250" s="389"/>
      <c r="CJ250" s="389"/>
      <c r="CK250" s="68"/>
      <c r="CL250" s="70"/>
      <c r="CO250" s="10"/>
      <c r="CU250" s="10"/>
      <c r="DA250" s="10"/>
      <c r="DB250" s="70"/>
      <c r="DC250" s="70"/>
      <c r="DF250" s="68"/>
      <c r="DG250" s="70"/>
      <c r="DH250" s="68"/>
      <c r="DI250" s="386"/>
      <c r="DJ250" s="425"/>
      <c r="DL250" s="68"/>
      <c r="DM250" s="70"/>
      <c r="DQ250" s="68"/>
      <c r="DR250" s="70"/>
      <c r="DS250" s="338"/>
      <c r="DT250" s="338"/>
      <c r="DU250" s="338"/>
      <c r="DW250" s="338"/>
      <c r="DX250" s="338"/>
      <c r="DY250" s="338"/>
      <c r="EA250" s="338"/>
      <c r="EB250" s="338"/>
      <c r="EC250" s="338"/>
      <c r="EE250" s="338"/>
      <c r="EF250" s="338"/>
      <c r="EG250" s="338"/>
      <c r="EI250" s="336"/>
      <c r="EJ250" s="336"/>
      <c r="EK250" s="336"/>
      <c r="EL250" s="336"/>
      <c r="EM250" s="336"/>
      <c r="EN250" s="336"/>
      <c r="EO250" s="337"/>
      <c r="EP250" s="342"/>
      <c r="EQ250" s="336"/>
      <c r="ER250" s="342"/>
      <c r="ES250" s="336"/>
      <c r="ET250" s="342"/>
      <c r="EU250" s="336"/>
      <c r="EV250" s="342"/>
      <c r="EW250" s="336"/>
      <c r="EX250" s="342"/>
      <c r="EY250" s="342"/>
      <c r="EZ250" s="342"/>
      <c r="FA250" s="337"/>
      <c r="FE250" s="338"/>
      <c r="FH250" s="338"/>
      <c r="FI250" s="338"/>
      <c r="FJ250" s="338"/>
      <c r="FK250" s="338"/>
      <c r="FL250" s="338"/>
      <c r="FM250" s="337"/>
      <c r="FN250" s="336"/>
      <c r="FO250" s="336"/>
      <c r="FP250" s="336"/>
      <c r="FQ250" s="336"/>
      <c r="FR250" s="336"/>
      <c r="FS250" s="336"/>
      <c r="FT250" s="336"/>
      <c r="FU250" s="336"/>
      <c r="FV250" s="336"/>
      <c r="FW250" s="337"/>
      <c r="FX250" s="532"/>
      <c r="FY250" s="341"/>
      <c r="FZ250" s="341"/>
      <c r="GA250" s="336"/>
      <c r="GB250" s="341"/>
      <c r="GC250" s="341"/>
      <c r="GD250" s="341"/>
      <c r="GE250" s="336"/>
      <c r="GF250" s="336"/>
      <c r="GG250" s="336"/>
      <c r="GH250" s="336"/>
      <c r="GI250" s="336"/>
      <c r="GJ250" s="337"/>
      <c r="GM250" s="338"/>
      <c r="GN250" s="338"/>
      <c r="GO250" s="338"/>
      <c r="GS250" s="338"/>
      <c r="GT250" s="338"/>
      <c r="GU250" s="338"/>
      <c r="GY250" s="338"/>
      <c r="GZ250" s="338"/>
      <c r="HA250" s="338"/>
      <c r="HE250" s="338"/>
      <c r="HF250" s="338"/>
      <c r="HG250" s="338"/>
      <c r="HN250" s="68"/>
      <c r="HO250" s="68"/>
      <c r="HP250" s="68"/>
      <c r="HQ250" s="336"/>
      <c r="HR250" s="68"/>
      <c r="HS250" s="68"/>
      <c r="HT250" s="10"/>
      <c r="HW250" s="338"/>
      <c r="HX250" s="338"/>
      <c r="HY250" s="338"/>
      <c r="IC250" s="338"/>
      <c r="ID250" s="338"/>
      <c r="IE250" s="338"/>
      <c r="II250" s="338"/>
      <c r="IJ250" s="338"/>
      <c r="IK250" s="338"/>
      <c r="IO250" s="338"/>
      <c r="IP250" s="338"/>
      <c r="IQ250" s="338"/>
      <c r="IX250" s="68"/>
      <c r="IY250" s="68"/>
      <c r="IZ250" s="68"/>
      <c r="JA250" s="68"/>
      <c r="JB250" s="68"/>
      <c r="JC250" s="68"/>
      <c r="JD250" s="10"/>
      <c r="JG250" s="338"/>
      <c r="JH250" s="338"/>
      <c r="JI250" s="338"/>
      <c r="JM250" s="338"/>
      <c r="JN250" s="338"/>
      <c r="JQ250" s="338"/>
      <c r="JR250" s="338"/>
      <c r="JS250" s="338"/>
      <c r="JW250" s="358"/>
      <c r="JX250" s="336"/>
      <c r="JY250" s="336"/>
      <c r="JZ250" s="336"/>
      <c r="KA250" s="336"/>
      <c r="KB250" s="336"/>
      <c r="KC250" s="336"/>
      <c r="KD250" s="336"/>
      <c r="KE250" s="336"/>
      <c r="KF250" s="336"/>
      <c r="KG250" s="337"/>
      <c r="KH250" s="338"/>
      <c r="KI250" s="338"/>
      <c r="KJ250" s="338"/>
      <c r="KK250" s="338"/>
      <c r="KL250" s="338"/>
      <c r="KM250" s="338"/>
      <c r="KN250" s="338"/>
      <c r="KO250" s="338"/>
      <c r="KP250" s="338"/>
      <c r="KQ250" s="338"/>
      <c r="KR250" s="338"/>
      <c r="KS250" s="338"/>
      <c r="KT250" s="338"/>
      <c r="KU250" s="338"/>
      <c r="KV250" s="338"/>
      <c r="KW250" s="337"/>
      <c r="KX250" s="336"/>
      <c r="KY250" s="336"/>
      <c r="KZ250" s="336"/>
      <c r="LA250" s="336"/>
      <c r="LB250" s="336"/>
      <c r="LC250" s="336"/>
      <c r="LD250" s="336"/>
      <c r="LE250" s="336"/>
      <c r="LF250" s="336"/>
      <c r="LG250" s="336"/>
      <c r="LH250" s="336"/>
      <c r="LI250" s="336"/>
      <c r="LJ250" s="336"/>
      <c r="LK250" s="336"/>
      <c r="LL250" s="336"/>
      <c r="LM250" s="336"/>
      <c r="LN250" s="336"/>
      <c r="LO250" s="336"/>
      <c r="LP250" s="336"/>
      <c r="LQ250" s="337"/>
      <c r="MN250" s="10"/>
      <c r="OA250" s="10"/>
    </row>
    <row r="251" spans="1:391" s="370" customFormat="1" x14ac:dyDescent="0.25">
      <c r="A251" s="68"/>
      <c r="B251" s="10"/>
      <c r="C251" s="68"/>
      <c r="D251" s="68"/>
      <c r="E251" s="68"/>
      <c r="F251" s="68"/>
      <c r="G251" s="68"/>
      <c r="H251" s="68"/>
      <c r="I251" s="68"/>
      <c r="J251" s="68"/>
      <c r="K251" s="68"/>
      <c r="L251" s="68"/>
      <c r="M251" s="68"/>
      <c r="N251" s="68"/>
      <c r="O251" s="68"/>
      <c r="P251" s="68"/>
      <c r="Q251" s="68"/>
      <c r="R251" s="68"/>
      <c r="S251" s="68"/>
      <c r="T251" s="70"/>
      <c r="AC251" s="68"/>
      <c r="AD251" s="70"/>
      <c r="AM251" s="68"/>
      <c r="AN251" s="70"/>
      <c r="AU251" s="68"/>
      <c r="AV251" s="70"/>
      <c r="BB251" s="68"/>
      <c r="BC251" s="70"/>
      <c r="BD251" s="68"/>
      <c r="BE251" s="68"/>
      <c r="BF251" s="68"/>
      <c r="BG251" s="68"/>
      <c r="BH251" s="68"/>
      <c r="BI251" s="68"/>
      <c r="BJ251" s="70"/>
      <c r="BM251" s="68"/>
      <c r="BN251" s="70"/>
      <c r="BT251" s="68"/>
      <c r="BU251" s="70"/>
      <c r="BZ251" s="10"/>
      <c r="CF251" s="10"/>
      <c r="CI251" s="389"/>
      <c r="CJ251" s="389"/>
      <c r="CK251" s="68"/>
      <c r="CL251" s="70"/>
      <c r="CO251" s="10"/>
      <c r="CU251" s="10"/>
      <c r="DA251" s="10"/>
      <c r="DB251" s="70"/>
      <c r="DC251" s="70"/>
      <c r="DF251" s="68"/>
      <c r="DG251" s="70"/>
      <c r="DH251" s="68"/>
      <c r="DI251" s="386"/>
      <c r="DJ251" s="425"/>
      <c r="DL251" s="68"/>
      <c r="DM251" s="70"/>
      <c r="DQ251" s="68"/>
      <c r="DR251" s="70"/>
      <c r="DS251" s="338"/>
      <c r="DT251" s="338"/>
      <c r="DU251" s="338"/>
      <c r="DW251" s="338"/>
      <c r="DX251" s="338"/>
      <c r="DY251" s="338"/>
      <c r="EA251" s="338"/>
      <c r="EB251" s="338"/>
      <c r="EC251" s="338"/>
      <c r="EE251" s="338"/>
      <c r="EF251" s="338"/>
      <c r="EG251" s="338"/>
      <c r="EI251" s="336"/>
      <c r="EJ251" s="336"/>
      <c r="EK251" s="336"/>
      <c r="EL251" s="336"/>
      <c r="EM251" s="336"/>
      <c r="EN251" s="336"/>
      <c r="EO251" s="337"/>
      <c r="EP251" s="342"/>
      <c r="EQ251" s="336"/>
      <c r="ER251" s="342"/>
      <c r="ES251" s="336"/>
      <c r="ET251" s="342"/>
      <c r="EU251" s="336"/>
      <c r="EV251" s="342"/>
      <c r="EW251" s="336"/>
      <c r="EX251" s="342"/>
      <c r="EY251" s="342"/>
      <c r="EZ251" s="342"/>
      <c r="FA251" s="337"/>
      <c r="FE251" s="338"/>
      <c r="FH251" s="338"/>
      <c r="FI251" s="338"/>
      <c r="FJ251" s="338"/>
      <c r="FK251" s="338"/>
      <c r="FL251" s="338"/>
      <c r="FM251" s="337"/>
      <c r="FN251" s="336"/>
      <c r="FO251" s="336"/>
      <c r="FP251" s="336"/>
      <c r="FQ251" s="336"/>
      <c r="FR251" s="336"/>
      <c r="FS251" s="336"/>
      <c r="FT251" s="336"/>
      <c r="FU251" s="336"/>
      <c r="FV251" s="336"/>
      <c r="FW251" s="337"/>
      <c r="FX251" s="532"/>
      <c r="FY251" s="341"/>
      <c r="FZ251" s="341"/>
      <c r="GA251" s="336"/>
      <c r="GB251" s="341"/>
      <c r="GC251" s="341"/>
      <c r="GD251" s="341"/>
      <c r="GE251" s="336"/>
      <c r="GF251" s="336"/>
      <c r="GG251" s="336"/>
      <c r="GH251" s="336"/>
      <c r="GI251" s="336"/>
      <c r="GJ251" s="337"/>
      <c r="GM251" s="338"/>
      <c r="GN251" s="338"/>
      <c r="GO251" s="338"/>
      <c r="GS251" s="338"/>
      <c r="GT251" s="338"/>
      <c r="GU251" s="338"/>
      <c r="GY251" s="338"/>
      <c r="GZ251" s="338"/>
      <c r="HA251" s="338"/>
      <c r="HE251" s="338"/>
      <c r="HF251" s="338"/>
      <c r="HG251" s="338"/>
      <c r="HN251" s="68"/>
      <c r="HO251" s="68"/>
      <c r="HP251" s="68"/>
      <c r="HQ251" s="336"/>
      <c r="HR251" s="68"/>
      <c r="HS251" s="68"/>
      <c r="HT251" s="10"/>
      <c r="HW251" s="338"/>
      <c r="HX251" s="338"/>
      <c r="HY251" s="338"/>
      <c r="IC251" s="338"/>
      <c r="ID251" s="338"/>
      <c r="IE251" s="338"/>
      <c r="II251" s="338"/>
      <c r="IJ251" s="338"/>
      <c r="IK251" s="338"/>
      <c r="IO251" s="338"/>
      <c r="IP251" s="338"/>
      <c r="IQ251" s="338"/>
      <c r="IX251" s="68"/>
      <c r="IY251" s="68"/>
      <c r="IZ251" s="68"/>
      <c r="JA251" s="68"/>
      <c r="JB251" s="68"/>
      <c r="JC251" s="68"/>
      <c r="JD251" s="10"/>
      <c r="JG251" s="338"/>
      <c r="JH251" s="338"/>
      <c r="JI251" s="338"/>
      <c r="JM251" s="338"/>
      <c r="JN251" s="338"/>
      <c r="JQ251" s="338"/>
      <c r="JR251" s="338"/>
      <c r="JS251" s="338"/>
      <c r="JW251" s="358"/>
      <c r="JX251" s="336"/>
      <c r="JY251" s="336"/>
      <c r="JZ251" s="336"/>
      <c r="KA251" s="336"/>
      <c r="KB251" s="336"/>
      <c r="KC251" s="336"/>
      <c r="KD251" s="336"/>
      <c r="KE251" s="336"/>
      <c r="KF251" s="336"/>
      <c r="KG251" s="337"/>
      <c r="KH251" s="338"/>
      <c r="KI251" s="338"/>
      <c r="KJ251" s="338"/>
      <c r="KK251" s="338"/>
      <c r="KL251" s="338"/>
      <c r="KM251" s="338"/>
      <c r="KN251" s="338"/>
      <c r="KO251" s="338"/>
      <c r="KP251" s="338"/>
      <c r="KQ251" s="338"/>
      <c r="KR251" s="338"/>
      <c r="KS251" s="338"/>
      <c r="KT251" s="338"/>
      <c r="KU251" s="338"/>
      <c r="KV251" s="338"/>
      <c r="KW251" s="337"/>
      <c r="KX251" s="336"/>
      <c r="KY251" s="336"/>
      <c r="KZ251" s="336"/>
      <c r="LA251" s="336"/>
      <c r="LB251" s="336"/>
      <c r="LC251" s="336"/>
      <c r="LD251" s="336"/>
      <c r="LE251" s="336"/>
      <c r="LF251" s="336"/>
      <c r="LG251" s="336"/>
      <c r="LH251" s="336"/>
      <c r="LI251" s="336"/>
      <c r="LJ251" s="336"/>
      <c r="LK251" s="336"/>
      <c r="LL251" s="336"/>
      <c r="LM251" s="336"/>
      <c r="LN251" s="336"/>
      <c r="LO251" s="336"/>
      <c r="LP251" s="336"/>
      <c r="LQ251" s="337"/>
      <c r="MN251" s="10"/>
      <c r="OA251" s="10"/>
    </row>
    <row r="252" spans="1:391" s="370" customFormat="1" x14ac:dyDescent="0.25">
      <c r="A252" s="68"/>
      <c r="B252" s="10"/>
      <c r="C252" s="68"/>
      <c r="D252" s="68"/>
      <c r="E252" s="68"/>
      <c r="F252" s="68"/>
      <c r="G252" s="68"/>
      <c r="H252" s="68"/>
      <c r="I252" s="68"/>
      <c r="J252" s="68"/>
      <c r="K252" s="68"/>
      <c r="L252" s="68"/>
      <c r="M252" s="68"/>
      <c r="N252" s="68"/>
      <c r="O252" s="68"/>
      <c r="P252" s="68"/>
      <c r="Q252" s="68"/>
      <c r="R252" s="68"/>
      <c r="S252" s="68"/>
      <c r="T252" s="70"/>
      <c r="AC252" s="68"/>
      <c r="AD252" s="70"/>
      <c r="AM252" s="68"/>
      <c r="AN252" s="70"/>
      <c r="AU252" s="68"/>
      <c r="AV252" s="70"/>
      <c r="BB252" s="68"/>
      <c r="BC252" s="70"/>
      <c r="BD252" s="68"/>
      <c r="BE252" s="68"/>
      <c r="BF252" s="68"/>
      <c r="BG252" s="68"/>
      <c r="BH252" s="68"/>
      <c r="BI252" s="68"/>
      <c r="BJ252" s="70"/>
      <c r="BM252" s="68"/>
      <c r="BN252" s="70"/>
      <c r="BT252" s="68"/>
      <c r="BU252" s="70"/>
      <c r="BZ252" s="10"/>
      <c r="CF252" s="10"/>
      <c r="CI252" s="389"/>
      <c r="CJ252" s="389"/>
      <c r="CK252" s="68"/>
      <c r="CL252" s="70"/>
      <c r="CO252" s="10"/>
      <c r="CU252" s="10"/>
      <c r="DA252" s="10"/>
      <c r="DB252" s="70"/>
      <c r="DC252" s="70"/>
      <c r="DF252" s="68"/>
      <c r="DG252" s="70"/>
      <c r="DH252" s="68"/>
      <c r="DI252" s="386"/>
      <c r="DJ252" s="425"/>
      <c r="DL252" s="68"/>
      <c r="DM252" s="70"/>
      <c r="DQ252" s="68"/>
      <c r="DR252" s="70"/>
      <c r="DS252" s="338"/>
      <c r="DT252" s="338"/>
      <c r="DU252" s="338"/>
      <c r="DW252" s="338"/>
      <c r="DX252" s="338"/>
      <c r="DY252" s="338"/>
      <c r="EA252" s="338"/>
      <c r="EB252" s="338"/>
      <c r="EC252" s="338"/>
      <c r="EE252" s="338"/>
      <c r="EF252" s="338"/>
      <c r="EG252" s="338"/>
      <c r="EI252" s="336"/>
      <c r="EJ252" s="336"/>
      <c r="EK252" s="336"/>
      <c r="EL252" s="336"/>
      <c r="EM252" s="336"/>
      <c r="EN252" s="336"/>
      <c r="EO252" s="337"/>
      <c r="EP252" s="342"/>
      <c r="EQ252" s="336"/>
      <c r="ER252" s="342"/>
      <c r="ES252" s="336"/>
      <c r="ET252" s="342"/>
      <c r="EU252" s="336"/>
      <c r="EV252" s="342"/>
      <c r="EW252" s="336"/>
      <c r="EX252" s="342"/>
      <c r="EY252" s="342"/>
      <c r="EZ252" s="342"/>
      <c r="FA252" s="337"/>
      <c r="FE252" s="338"/>
      <c r="FH252" s="338"/>
      <c r="FI252" s="338"/>
      <c r="FJ252" s="338"/>
      <c r="FK252" s="338"/>
      <c r="FL252" s="338"/>
      <c r="FM252" s="337"/>
      <c r="FN252" s="336"/>
      <c r="FO252" s="336"/>
      <c r="FP252" s="336"/>
      <c r="FQ252" s="336"/>
      <c r="FR252" s="336"/>
      <c r="FS252" s="336"/>
      <c r="FT252" s="336"/>
      <c r="FU252" s="336"/>
      <c r="FV252" s="336"/>
      <c r="FW252" s="337"/>
      <c r="FX252" s="532"/>
      <c r="FY252" s="341"/>
      <c r="FZ252" s="341"/>
      <c r="GA252" s="336"/>
      <c r="GB252" s="341"/>
      <c r="GC252" s="341"/>
      <c r="GD252" s="341"/>
      <c r="GE252" s="336"/>
      <c r="GF252" s="336"/>
      <c r="GG252" s="336"/>
      <c r="GH252" s="336"/>
      <c r="GI252" s="336"/>
      <c r="GJ252" s="337"/>
      <c r="GM252" s="338"/>
      <c r="GN252" s="338"/>
      <c r="GO252" s="338"/>
      <c r="GS252" s="338"/>
      <c r="GT252" s="338"/>
      <c r="GU252" s="338"/>
      <c r="GY252" s="338"/>
      <c r="GZ252" s="338"/>
      <c r="HA252" s="338"/>
      <c r="HE252" s="338"/>
      <c r="HF252" s="338"/>
      <c r="HG252" s="338"/>
      <c r="HN252" s="68"/>
      <c r="HO252" s="68"/>
      <c r="HP252" s="68"/>
      <c r="HQ252" s="336"/>
      <c r="HR252" s="68"/>
      <c r="HS252" s="68"/>
      <c r="HT252" s="10"/>
      <c r="HW252" s="338"/>
      <c r="HX252" s="338"/>
      <c r="HY252" s="338"/>
      <c r="IC252" s="338"/>
      <c r="ID252" s="338"/>
      <c r="IE252" s="338"/>
      <c r="II252" s="338"/>
      <c r="IJ252" s="338"/>
      <c r="IK252" s="338"/>
      <c r="IO252" s="338"/>
      <c r="IP252" s="338"/>
      <c r="IQ252" s="338"/>
      <c r="IX252" s="68"/>
      <c r="IY252" s="68"/>
      <c r="IZ252" s="68"/>
      <c r="JA252" s="68"/>
      <c r="JB252" s="68"/>
      <c r="JC252" s="68"/>
      <c r="JD252" s="10"/>
      <c r="JG252" s="338"/>
      <c r="JH252" s="338"/>
      <c r="JI252" s="338"/>
      <c r="JM252" s="338"/>
      <c r="JN252" s="338"/>
      <c r="JQ252" s="338"/>
      <c r="JR252" s="338"/>
      <c r="JS252" s="338"/>
      <c r="JW252" s="358"/>
      <c r="JX252" s="336"/>
      <c r="JY252" s="336"/>
      <c r="JZ252" s="336"/>
      <c r="KA252" s="336"/>
      <c r="KB252" s="336"/>
      <c r="KC252" s="336"/>
      <c r="KD252" s="336"/>
      <c r="KE252" s="336"/>
      <c r="KF252" s="336"/>
      <c r="KG252" s="337"/>
      <c r="KH252" s="338"/>
      <c r="KI252" s="338"/>
      <c r="KJ252" s="338"/>
      <c r="KK252" s="338"/>
      <c r="KL252" s="338"/>
      <c r="KM252" s="338"/>
      <c r="KN252" s="338"/>
      <c r="KO252" s="338"/>
      <c r="KP252" s="338"/>
      <c r="KQ252" s="338"/>
      <c r="KR252" s="338"/>
      <c r="KS252" s="338"/>
      <c r="KT252" s="338"/>
      <c r="KU252" s="338"/>
      <c r="KV252" s="338"/>
      <c r="KW252" s="337"/>
      <c r="KX252" s="336"/>
      <c r="KY252" s="336"/>
      <c r="KZ252" s="336"/>
      <c r="LA252" s="336"/>
      <c r="LB252" s="336"/>
      <c r="LC252" s="336"/>
      <c r="LD252" s="336"/>
      <c r="LE252" s="336"/>
      <c r="LF252" s="336"/>
      <c r="LG252" s="336"/>
      <c r="LH252" s="336"/>
      <c r="LI252" s="336"/>
      <c r="LJ252" s="336"/>
      <c r="LK252" s="336"/>
      <c r="LL252" s="336"/>
      <c r="LM252" s="336"/>
      <c r="LN252" s="336"/>
      <c r="LO252" s="336"/>
      <c r="LP252" s="336"/>
      <c r="LQ252" s="337"/>
      <c r="MN252" s="10"/>
      <c r="OA252" s="10"/>
    </row>
    <row r="253" spans="1:391" s="370" customFormat="1" x14ac:dyDescent="0.25">
      <c r="A253" s="68"/>
      <c r="B253" s="10"/>
      <c r="C253" s="68"/>
      <c r="D253" s="68"/>
      <c r="E253" s="68"/>
      <c r="F253" s="68"/>
      <c r="G253" s="68"/>
      <c r="H253" s="68"/>
      <c r="I253" s="68"/>
      <c r="J253" s="68"/>
      <c r="K253" s="68"/>
      <c r="L253" s="68"/>
      <c r="M253" s="68"/>
      <c r="N253" s="68"/>
      <c r="O253" s="68"/>
      <c r="P253" s="68"/>
      <c r="Q253" s="68"/>
      <c r="R253" s="68"/>
      <c r="S253" s="68"/>
      <c r="T253" s="70"/>
      <c r="AC253" s="68"/>
      <c r="AD253" s="70"/>
      <c r="AM253" s="68"/>
      <c r="AN253" s="70"/>
      <c r="AU253" s="68"/>
      <c r="AV253" s="70"/>
      <c r="BB253" s="68"/>
      <c r="BC253" s="70"/>
      <c r="BD253" s="68"/>
      <c r="BE253" s="68"/>
      <c r="BF253" s="68"/>
      <c r="BG253" s="68"/>
      <c r="BH253" s="68"/>
      <c r="BI253" s="68"/>
      <c r="BJ253" s="70"/>
      <c r="BM253" s="68"/>
      <c r="BN253" s="70"/>
      <c r="BT253" s="68"/>
      <c r="BU253" s="70"/>
      <c r="BZ253" s="10"/>
      <c r="CF253" s="10"/>
      <c r="CI253" s="389"/>
      <c r="CJ253" s="389"/>
      <c r="CK253" s="68"/>
      <c r="CL253" s="70"/>
      <c r="CO253" s="10"/>
      <c r="CU253" s="10"/>
      <c r="DA253" s="10"/>
      <c r="DB253" s="70"/>
      <c r="DC253" s="70"/>
      <c r="DF253" s="68"/>
      <c r="DG253" s="70"/>
      <c r="DH253" s="68"/>
      <c r="DI253" s="386"/>
      <c r="DJ253" s="425"/>
      <c r="DL253" s="68"/>
      <c r="DM253" s="70"/>
      <c r="DQ253" s="68"/>
      <c r="DR253" s="70"/>
      <c r="DS253" s="338"/>
      <c r="DT253" s="338"/>
      <c r="DU253" s="338"/>
      <c r="DW253" s="338"/>
      <c r="DX253" s="338"/>
      <c r="DY253" s="338"/>
      <c r="EA253" s="338"/>
      <c r="EB253" s="338"/>
      <c r="EC253" s="338"/>
      <c r="EE253" s="338"/>
      <c r="EF253" s="338"/>
      <c r="EG253" s="338"/>
      <c r="EI253" s="336"/>
      <c r="EJ253" s="336"/>
      <c r="EK253" s="336"/>
      <c r="EL253" s="336"/>
      <c r="EM253" s="336"/>
      <c r="EN253" s="336"/>
      <c r="EO253" s="337"/>
      <c r="EP253" s="342"/>
      <c r="EQ253" s="336"/>
      <c r="ER253" s="342"/>
      <c r="ES253" s="336"/>
      <c r="ET253" s="342"/>
      <c r="EU253" s="336"/>
      <c r="EV253" s="342"/>
      <c r="EW253" s="336"/>
      <c r="EX253" s="342"/>
      <c r="EY253" s="342"/>
      <c r="EZ253" s="342"/>
      <c r="FA253" s="337"/>
      <c r="FE253" s="338"/>
      <c r="FH253" s="338"/>
      <c r="FI253" s="338"/>
      <c r="FJ253" s="338"/>
      <c r="FK253" s="338"/>
      <c r="FL253" s="338"/>
      <c r="FM253" s="337"/>
      <c r="FN253" s="336"/>
      <c r="FO253" s="336"/>
      <c r="FP253" s="336"/>
      <c r="FQ253" s="336"/>
      <c r="FR253" s="336"/>
      <c r="FS253" s="336"/>
      <c r="FT253" s="336"/>
      <c r="FU253" s="336"/>
      <c r="FV253" s="336"/>
      <c r="FW253" s="337"/>
      <c r="FX253" s="532"/>
      <c r="FY253" s="341"/>
      <c r="FZ253" s="341"/>
      <c r="GA253" s="336"/>
      <c r="GB253" s="341"/>
      <c r="GC253" s="341"/>
      <c r="GD253" s="341"/>
      <c r="GE253" s="336"/>
      <c r="GF253" s="336"/>
      <c r="GG253" s="336"/>
      <c r="GH253" s="336"/>
      <c r="GI253" s="336"/>
      <c r="GJ253" s="337"/>
      <c r="GM253" s="338"/>
      <c r="GN253" s="338"/>
      <c r="GO253" s="338"/>
      <c r="GS253" s="338"/>
      <c r="GT253" s="338"/>
      <c r="GU253" s="338"/>
      <c r="GY253" s="338"/>
      <c r="GZ253" s="338"/>
      <c r="HA253" s="338"/>
      <c r="HE253" s="338"/>
      <c r="HF253" s="338"/>
      <c r="HG253" s="338"/>
      <c r="HN253" s="68"/>
      <c r="HO253" s="68"/>
      <c r="HP253" s="68"/>
      <c r="HQ253" s="336"/>
      <c r="HR253" s="68"/>
      <c r="HS253" s="68"/>
      <c r="HT253" s="10"/>
      <c r="HW253" s="338"/>
      <c r="HX253" s="338"/>
      <c r="HY253" s="338"/>
      <c r="IC253" s="338"/>
      <c r="ID253" s="338"/>
      <c r="IE253" s="338"/>
      <c r="II253" s="338"/>
      <c r="IJ253" s="338"/>
      <c r="IK253" s="338"/>
      <c r="IO253" s="338"/>
      <c r="IP253" s="338"/>
      <c r="IQ253" s="338"/>
      <c r="IX253" s="68"/>
      <c r="IY253" s="68"/>
      <c r="IZ253" s="68"/>
      <c r="JA253" s="68"/>
      <c r="JB253" s="68"/>
      <c r="JC253" s="68"/>
      <c r="JD253" s="10"/>
      <c r="JG253" s="338"/>
      <c r="JH253" s="338"/>
      <c r="JI253" s="338"/>
      <c r="JM253" s="338"/>
      <c r="JN253" s="338"/>
      <c r="JQ253" s="338"/>
      <c r="JR253" s="338"/>
      <c r="JS253" s="338"/>
      <c r="JW253" s="358"/>
      <c r="JX253" s="336"/>
      <c r="JY253" s="336"/>
      <c r="JZ253" s="336"/>
      <c r="KA253" s="336"/>
      <c r="KB253" s="336"/>
      <c r="KC253" s="336"/>
      <c r="KD253" s="336"/>
      <c r="KE253" s="336"/>
      <c r="KF253" s="336"/>
      <c r="KG253" s="337"/>
      <c r="KH253" s="338"/>
      <c r="KI253" s="338"/>
      <c r="KJ253" s="338"/>
      <c r="KK253" s="338"/>
      <c r="KL253" s="338"/>
      <c r="KM253" s="338"/>
      <c r="KN253" s="338"/>
      <c r="KO253" s="338"/>
      <c r="KP253" s="338"/>
      <c r="KQ253" s="338"/>
      <c r="KR253" s="338"/>
      <c r="KS253" s="338"/>
      <c r="KT253" s="338"/>
      <c r="KU253" s="338"/>
      <c r="KV253" s="338"/>
      <c r="KW253" s="337"/>
      <c r="KX253" s="336"/>
      <c r="KY253" s="336"/>
      <c r="KZ253" s="336"/>
      <c r="LA253" s="336"/>
      <c r="LB253" s="336"/>
      <c r="LC253" s="336"/>
      <c r="LD253" s="336"/>
      <c r="LE253" s="336"/>
      <c r="LF253" s="336"/>
      <c r="LG253" s="336"/>
      <c r="LH253" s="336"/>
      <c r="LI253" s="336"/>
      <c r="LJ253" s="336"/>
      <c r="LK253" s="336"/>
      <c r="LL253" s="336"/>
      <c r="LM253" s="336"/>
      <c r="LN253" s="336"/>
      <c r="LO253" s="336"/>
      <c r="LP253" s="336"/>
      <c r="LQ253" s="337"/>
      <c r="MN253" s="10"/>
      <c r="OA253" s="10"/>
    </row>
    <row r="254" spans="1:391" s="370" customFormat="1" x14ac:dyDescent="0.25">
      <c r="A254" s="68"/>
      <c r="B254" s="10"/>
      <c r="C254" s="68"/>
      <c r="D254" s="68"/>
      <c r="E254" s="68"/>
      <c r="F254" s="68"/>
      <c r="G254" s="68"/>
      <c r="H254" s="68"/>
      <c r="I254" s="68"/>
      <c r="J254" s="68"/>
      <c r="K254" s="68"/>
      <c r="L254" s="68"/>
      <c r="M254" s="68"/>
      <c r="N254" s="68"/>
      <c r="O254" s="68"/>
      <c r="P254" s="68"/>
      <c r="Q254" s="68"/>
      <c r="R254" s="68"/>
      <c r="S254" s="68"/>
      <c r="T254" s="70"/>
      <c r="AC254" s="68"/>
      <c r="AD254" s="70"/>
      <c r="AM254" s="68"/>
      <c r="AN254" s="70"/>
      <c r="AU254" s="68"/>
      <c r="AV254" s="70"/>
      <c r="BB254" s="68"/>
      <c r="BC254" s="70"/>
      <c r="BD254" s="68"/>
      <c r="BE254" s="68"/>
      <c r="BF254" s="68"/>
      <c r="BG254" s="68"/>
      <c r="BH254" s="68"/>
      <c r="BI254" s="68"/>
      <c r="BJ254" s="70"/>
      <c r="BM254" s="68"/>
      <c r="BN254" s="70"/>
      <c r="BT254" s="68"/>
      <c r="BU254" s="70"/>
      <c r="BZ254" s="10"/>
      <c r="CF254" s="10"/>
      <c r="CI254" s="389"/>
      <c r="CJ254" s="389"/>
      <c r="CK254" s="68"/>
      <c r="CL254" s="70"/>
      <c r="CO254" s="10"/>
      <c r="CU254" s="10"/>
      <c r="DA254" s="10"/>
      <c r="DB254" s="70"/>
      <c r="DC254" s="70"/>
      <c r="DF254" s="68"/>
      <c r="DG254" s="70"/>
      <c r="DH254" s="68"/>
      <c r="DI254" s="386"/>
      <c r="DJ254" s="425"/>
      <c r="DL254" s="68"/>
      <c r="DM254" s="70"/>
      <c r="DQ254" s="68"/>
      <c r="DR254" s="70"/>
      <c r="DS254" s="338"/>
      <c r="DT254" s="338"/>
      <c r="DU254" s="338"/>
      <c r="DW254" s="338"/>
      <c r="DX254" s="338"/>
      <c r="DY254" s="338"/>
      <c r="EA254" s="338"/>
      <c r="EB254" s="338"/>
      <c r="EC254" s="338"/>
      <c r="EE254" s="338"/>
      <c r="EF254" s="338"/>
      <c r="EG254" s="338"/>
      <c r="EI254" s="336"/>
      <c r="EJ254" s="336"/>
      <c r="EK254" s="336"/>
      <c r="EL254" s="336"/>
      <c r="EM254" s="336"/>
      <c r="EN254" s="336"/>
      <c r="EO254" s="337"/>
      <c r="EP254" s="342"/>
      <c r="EQ254" s="336"/>
      <c r="ER254" s="342"/>
      <c r="ES254" s="336"/>
      <c r="ET254" s="342"/>
      <c r="EU254" s="336"/>
      <c r="EV254" s="342"/>
      <c r="EW254" s="336"/>
      <c r="EX254" s="342"/>
      <c r="EY254" s="342"/>
      <c r="EZ254" s="342"/>
      <c r="FA254" s="337"/>
      <c r="FE254" s="338"/>
      <c r="FH254" s="338"/>
      <c r="FI254" s="338"/>
      <c r="FJ254" s="338"/>
      <c r="FK254" s="338"/>
      <c r="FL254" s="338"/>
      <c r="FM254" s="337"/>
      <c r="FN254" s="336"/>
      <c r="FO254" s="336"/>
      <c r="FP254" s="336"/>
      <c r="FQ254" s="336"/>
      <c r="FR254" s="336"/>
      <c r="FS254" s="336"/>
      <c r="FT254" s="336"/>
      <c r="FU254" s="336"/>
      <c r="FV254" s="336"/>
      <c r="FW254" s="337"/>
      <c r="FX254" s="532"/>
      <c r="FY254" s="341"/>
      <c r="FZ254" s="341"/>
      <c r="GA254" s="336"/>
      <c r="GB254" s="341"/>
      <c r="GC254" s="341"/>
      <c r="GD254" s="341"/>
      <c r="GE254" s="336"/>
      <c r="GF254" s="336"/>
      <c r="GG254" s="336"/>
      <c r="GH254" s="336"/>
      <c r="GI254" s="336"/>
      <c r="GJ254" s="337"/>
      <c r="GM254" s="338"/>
      <c r="GN254" s="338"/>
      <c r="GO254" s="338"/>
      <c r="GS254" s="338"/>
      <c r="GT254" s="338"/>
      <c r="GU254" s="338"/>
      <c r="GY254" s="338"/>
      <c r="GZ254" s="338"/>
      <c r="HA254" s="338"/>
      <c r="HE254" s="338"/>
      <c r="HF254" s="338"/>
      <c r="HG254" s="338"/>
      <c r="HN254" s="68"/>
      <c r="HO254" s="68"/>
      <c r="HP254" s="68"/>
      <c r="HQ254" s="336"/>
      <c r="HR254" s="68"/>
      <c r="HS254" s="68"/>
      <c r="HT254" s="10"/>
      <c r="HW254" s="338"/>
      <c r="HX254" s="338"/>
      <c r="HY254" s="338"/>
      <c r="IC254" s="338"/>
      <c r="ID254" s="338"/>
      <c r="IE254" s="338"/>
      <c r="II254" s="338"/>
      <c r="IJ254" s="338"/>
      <c r="IK254" s="338"/>
      <c r="IO254" s="338"/>
      <c r="IP254" s="338"/>
      <c r="IQ254" s="338"/>
      <c r="IX254" s="68"/>
      <c r="IY254" s="68"/>
      <c r="IZ254" s="68"/>
      <c r="JA254" s="68"/>
      <c r="JB254" s="68"/>
      <c r="JC254" s="68"/>
      <c r="JD254" s="10"/>
      <c r="JG254" s="338"/>
      <c r="JH254" s="338"/>
      <c r="JI254" s="338"/>
      <c r="JM254" s="338"/>
      <c r="JN254" s="338"/>
      <c r="JQ254" s="338"/>
      <c r="JR254" s="338"/>
      <c r="JS254" s="338"/>
      <c r="JW254" s="358"/>
      <c r="JX254" s="336"/>
      <c r="JY254" s="336"/>
      <c r="JZ254" s="336"/>
      <c r="KA254" s="336"/>
      <c r="KB254" s="336"/>
      <c r="KC254" s="336"/>
      <c r="KD254" s="336"/>
      <c r="KE254" s="336"/>
      <c r="KF254" s="336"/>
      <c r="KG254" s="337"/>
      <c r="KH254" s="338"/>
      <c r="KI254" s="338"/>
      <c r="KJ254" s="338"/>
      <c r="KK254" s="338"/>
      <c r="KL254" s="338"/>
      <c r="KM254" s="338"/>
      <c r="KN254" s="338"/>
      <c r="KO254" s="338"/>
      <c r="KP254" s="338"/>
      <c r="KQ254" s="338"/>
      <c r="KR254" s="338"/>
      <c r="KS254" s="338"/>
      <c r="KT254" s="338"/>
      <c r="KU254" s="338"/>
      <c r="KV254" s="338"/>
      <c r="KW254" s="337"/>
      <c r="KX254" s="336"/>
      <c r="KY254" s="336"/>
      <c r="KZ254" s="336"/>
      <c r="LA254" s="336"/>
      <c r="LB254" s="336"/>
      <c r="LC254" s="336"/>
      <c r="LD254" s="336"/>
      <c r="LE254" s="336"/>
      <c r="LF254" s="336"/>
      <c r="LG254" s="336"/>
      <c r="LH254" s="336"/>
      <c r="LI254" s="336"/>
      <c r="LJ254" s="336"/>
      <c r="LK254" s="336"/>
      <c r="LL254" s="336"/>
      <c r="LM254" s="336"/>
      <c r="LN254" s="336"/>
      <c r="LO254" s="336"/>
      <c r="LP254" s="336"/>
      <c r="LQ254" s="337"/>
      <c r="MN254" s="10"/>
      <c r="OA254" s="10"/>
    </row>
    <row r="255" spans="1:391" s="370" customFormat="1" x14ac:dyDescent="0.25">
      <c r="A255" s="68"/>
      <c r="B255" s="10"/>
      <c r="C255" s="68"/>
      <c r="D255" s="68"/>
      <c r="E255" s="68"/>
      <c r="F255" s="68"/>
      <c r="G255" s="68"/>
      <c r="H255" s="68"/>
      <c r="I255" s="68"/>
      <c r="J255" s="68"/>
      <c r="K255" s="68"/>
      <c r="L255" s="68"/>
      <c r="M255" s="68"/>
      <c r="N255" s="68"/>
      <c r="O255" s="68"/>
      <c r="P255" s="68"/>
      <c r="Q255" s="68"/>
      <c r="R255" s="68"/>
      <c r="S255" s="68"/>
      <c r="T255" s="70"/>
      <c r="AC255" s="68"/>
      <c r="AD255" s="70"/>
      <c r="AM255" s="68"/>
      <c r="AN255" s="70"/>
      <c r="AU255" s="68"/>
      <c r="AV255" s="70"/>
      <c r="BB255" s="68"/>
      <c r="BC255" s="70"/>
      <c r="BD255" s="68"/>
      <c r="BE255" s="68"/>
      <c r="BF255" s="68"/>
      <c r="BG255" s="68"/>
      <c r="BH255" s="68"/>
      <c r="BI255" s="68"/>
      <c r="BJ255" s="70"/>
      <c r="BM255" s="68"/>
      <c r="BN255" s="70"/>
      <c r="BT255" s="68"/>
      <c r="BU255" s="70"/>
      <c r="BZ255" s="10"/>
      <c r="CF255" s="10"/>
      <c r="CI255" s="389"/>
      <c r="CJ255" s="389"/>
      <c r="CK255" s="68"/>
      <c r="CL255" s="70"/>
      <c r="CO255" s="10"/>
      <c r="CU255" s="10"/>
      <c r="DA255" s="10"/>
      <c r="DB255" s="70"/>
      <c r="DC255" s="70"/>
      <c r="DF255" s="68"/>
      <c r="DG255" s="70"/>
      <c r="DH255" s="68"/>
      <c r="DI255" s="386"/>
      <c r="DJ255" s="425"/>
      <c r="DL255" s="68"/>
      <c r="DM255" s="70"/>
      <c r="DQ255" s="68"/>
      <c r="DR255" s="70"/>
      <c r="DS255" s="338"/>
      <c r="DT255" s="338"/>
      <c r="DU255" s="338"/>
      <c r="DW255" s="338"/>
      <c r="DX255" s="338"/>
      <c r="DY255" s="338"/>
      <c r="EA255" s="338"/>
      <c r="EB255" s="338"/>
      <c r="EC255" s="338"/>
      <c r="EE255" s="338"/>
      <c r="EF255" s="338"/>
      <c r="EG255" s="338"/>
      <c r="EI255" s="336"/>
      <c r="EJ255" s="336"/>
      <c r="EK255" s="336"/>
      <c r="EL255" s="336"/>
      <c r="EM255" s="336"/>
      <c r="EN255" s="336"/>
      <c r="EO255" s="337"/>
      <c r="EP255" s="342"/>
      <c r="EQ255" s="336"/>
      <c r="ER255" s="342"/>
      <c r="ES255" s="336"/>
      <c r="ET255" s="342"/>
      <c r="EU255" s="336"/>
      <c r="EV255" s="342"/>
      <c r="EW255" s="336"/>
      <c r="EX255" s="342"/>
      <c r="EY255" s="342"/>
      <c r="EZ255" s="342"/>
      <c r="FA255" s="337"/>
      <c r="FE255" s="338"/>
      <c r="FH255" s="338"/>
      <c r="FI255" s="338"/>
      <c r="FJ255" s="338"/>
      <c r="FK255" s="338"/>
      <c r="FL255" s="338"/>
      <c r="FM255" s="337"/>
      <c r="FN255" s="336"/>
      <c r="FO255" s="336"/>
      <c r="FP255" s="336"/>
      <c r="FQ255" s="336"/>
      <c r="FR255" s="336"/>
      <c r="FS255" s="336"/>
      <c r="FT255" s="336"/>
      <c r="FU255" s="336"/>
      <c r="FV255" s="336"/>
      <c r="FW255" s="337"/>
      <c r="FX255" s="532"/>
      <c r="FY255" s="341"/>
      <c r="FZ255" s="341"/>
      <c r="GA255" s="336"/>
      <c r="GB255" s="341"/>
      <c r="GC255" s="341"/>
      <c r="GD255" s="341"/>
      <c r="GE255" s="336"/>
      <c r="GF255" s="336"/>
      <c r="GG255" s="336"/>
      <c r="GH255" s="336"/>
      <c r="GI255" s="336"/>
      <c r="GJ255" s="337"/>
      <c r="GM255" s="338"/>
      <c r="GN255" s="338"/>
      <c r="GO255" s="338"/>
      <c r="GS255" s="338"/>
      <c r="GT255" s="338"/>
      <c r="GU255" s="338"/>
      <c r="GY255" s="338"/>
      <c r="GZ255" s="338"/>
      <c r="HA255" s="338"/>
      <c r="HE255" s="338"/>
      <c r="HF255" s="338"/>
      <c r="HG255" s="338"/>
      <c r="HN255" s="68"/>
      <c r="HO255" s="68"/>
      <c r="HP255" s="68"/>
      <c r="HQ255" s="336"/>
      <c r="HR255" s="68"/>
      <c r="HS255" s="68"/>
      <c r="HT255" s="10"/>
      <c r="HW255" s="338"/>
      <c r="HX255" s="338"/>
      <c r="HY255" s="338"/>
      <c r="IC255" s="338"/>
      <c r="ID255" s="338"/>
      <c r="IE255" s="338"/>
      <c r="II255" s="338"/>
      <c r="IJ255" s="338"/>
      <c r="IK255" s="338"/>
      <c r="IO255" s="338"/>
      <c r="IP255" s="338"/>
      <c r="IQ255" s="338"/>
      <c r="IX255" s="68"/>
      <c r="IY255" s="68"/>
      <c r="IZ255" s="68"/>
      <c r="JA255" s="68"/>
      <c r="JB255" s="68"/>
      <c r="JC255" s="68"/>
      <c r="JD255" s="10"/>
      <c r="JG255" s="338"/>
      <c r="JH255" s="338"/>
      <c r="JI255" s="338"/>
      <c r="JM255" s="338"/>
      <c r="JN255" s="338"/>
      <c r="JQ255" s="338"/>
      <c r="JR255" s="338"/>
      <c r="JS255" s="338"/>
      <c r="JW255" s="358"/>
      <c r="JX255" s="336"/>
      <c r="JY255" s="336"/>
      <c r="JZ255" s="336"/>
      <c r="KA255" s="336"/>
      <c r="KB255" s="336"/>
      <c r="KC255" s="336"/>
      <c r="KD255" s="336"/>
      <c r="KE255" s="336"/>
      <c r="KF255" s="336"/>
      <c r="KG255" s="337"/>
      <c r="KH255" s="338"/>
      <c r="KI255" s="338"/>
      <c r="KJ255" s="338"/>
      <c r="KK255" s="338"/>
      <c r="KL255" s="338"/>
      <c r="KM255" s="338"/>
      <c r="KN255" s="338"/>
      <c r="KO255" s="338"/>
      <c r="KP255" s="338"/>
      <c r="KQ255" s="338"/>
      <c r="KR255" s="338"/>
      <c r="KS255" s="338"/>
      <c r="KT255" s="338"/>
      <c r="KU255" s="338"/>
      <c r="KV255" s="338"/>
      <c r="KW255" s="337"/>
      <c r="KX255" s="336"/>
      <c r="KY255" s="336"/>
      <c r="KZ255" s="336"/>
      <c r="LA255" s="336"/>
      <c r="LB255" s="336"/>
      <c r="LC255" s="336"/>
      <c r="LD255" s="336"/>
      <c r="LE255" s="336"/>
      <c r="LF255" s="336"/>
      <c r="LG255" s="336"/>
      <c r="LH255" s="336"/>
      <c r="LI255" s="336"/>
      <c r="LJ255" s="336"/>
      <c r="LK255" s="336"/>
      <c r="LL255" s="336"/>
      <c r="LM255" s="336"/>
      <c r="LN255" s="336"/>
      <c r="LO255" s="336"/>
      <c r="LP255" s="336"/>
      <c r="LQ255" s="337"/>
      <c r="MN255" s="10"/>
      <c r="OA255" s="10"/>
    </row>
    <row r="256" spans="1:391" s="370" customFormat="1" x14ac:dyDescent="0.25">
      <c r="A256" s="68"/>
      <c r="B256" s="10"/>
      <c r="C256" s="68"/>
      <c r="D256" s="68"/>
      <c r="E256" s="68"/>
      <c r="F256" s="68"/>
      <c r="G256" s="68"/>
      <c r="H256" s="68"/>
      <c r="I256" s="68"/>
      <c r="J256" s="68"/>
      <c r="K256" s="68"/>
      <c r="L256" s="68"/>
      <c r="M256" s="68"/>
      <c r="N256" s="68"/>
      <c r="O256" s="68"/>
      <c r="P256" s="68"/>
      <c r="Q256" s="68"/>
      <c r="R256" s="68"/>
      <c r="S256" s="68"/>
      <c r="T256" s="70"/>
      <c r="AC256" s="68"/>
      <c r="AD256" s="70"/>
      <c r="AM256" s="68"/>
      <c r="AN256" s="70"/>
      <c r="AU256" s="68"/>
      <c r="AV256" s="70"/>
      <c r="BB256" s="68"/>
      <c r="BC256" s="70"/>
      <c r="BD256" s="68"/>
      <c r="BE256" s="68"/>
      <c r="BF256" s="68"/>
      <c r="BG256" s="68"/>
      <c r="BH256" s="68"/>
      <c r="BI256" s="68"/>
      <c r="BJ256" s="70"/>
      <c r="BM256" s="68"/>
      <c r="BN256" s="70"/>
      <c r="BT256" s="68"/>
      <c r="BU256" s="70"/>
      <c r="BZ256" s="10"/>
      <c r="CF256" s="10"/>
      <c r="CI256" s="389"/>
      <c r="CJ256" s="389"/>
      <c r="CK256" s="68"/>
      <c r="CL256" s="70"/>
      <c r="CO256" s="10"/>
      <c r="CU256" s="10"/>
      <c r="DA256" s="10"/>
      <c r="DB256" s="70"/>
      <c r="DC256" s="70"/>
      <c r="DF256" s="68"/>
      <c r="DG256" s="70"/>
      <c r="DH256" s="68"/>
      <c r="DI256" s="386"/>
      <c r="DJ256" s="425"/>
      <c r="DL256" s="68"/>
      <c r="DM256" s="70"/>
      <c r="DQ256" s="68"/>
      <c r="DR256" s="70"/>
      <c r="DS256" s="338"/>
      <c r="DT256" s="338"/>
      <c r="DU256" s="338"/>
      <c r="DW256" s="338"/>
      <c r="DX256" s="338"/>
      <c r="DY256" s="338"/>
      <c r="EA256" s="338"/>
      <c r="EB256" s="338"/>
      <c r="EC256" s="338"/>
      <c r="EE256" s="338"/>
      <c r="EF256" s="338"/>
      <c r="EG256" s="338"/>
      <c r="EI256" s="336"/>
      <c r="EJ256" s="336"/>
      <c r="EK256" s="336"/>
      <c r="EL256" s="336"/>
      <c r="EM256" s="336"/>
      <c r="EN256" s="336"/>
      <c r="EO256" s="337"/>
      <c r="EP256" s="342"/>
      <c r="EQ256" s="336"/>
      <c r="ER256" s="342"/>
      <c r="ES256" s="336"/>
      <c r="ET256" s="342"/>
      <c r="EU256" s="336"/>
      <c r="EV256" s="342"/>
      <c r="EW256" s="336"/>
      <c r="EX256" s="342"/>
      <c r="EY256" s="342"/>
      <c r="EZ256" s="342"/>
      <c r="FA256" s="337"/>
      <c r="FE256" s="338"/>
      <c r="FH256" s="338"/>
      <c r="FI256" s="338"/>
      <c r="FJ256" s="338"/>
      <c r="FK256" s="338"/>
      <c r="FL256" s="338"/>
      <c r="FM256" s="337"/>
      <c r="FN256" s="336"/>
      <c r="FO256" s="336"/>
      <c r="FP256" s="336"/>
      <c r="FQ256" s="336"/>
      <c r="FR256" s="336"/>
      <c r="FS256" s="336"/>
      <c r="FT256" s="336"/>
      <c r="FU256" s="336"/>
      <c r="FV256" s="336"/>
      <c r="FW256" s="337"/>
      <c r="FX256" s="532"/>
      <c r="FY256" s="341"/>
      <c r="FZ256" s="341"/>
      <c r="GA256" s="336"/>
      <c r="GB256" s="341"/>
      <c r="GC256" s="341"/>
      <c r="GD256" s="341"/>
      <c r="GE256" s="336"/>
      <c r="GF256" s="336"/>
      <c r="GG256" s="336"/>
      <c r="GH256" s="336"/>
      <c r="GI256" s="336"/>
      <c r="GJ256" s="337"/>
      <c r="GM256" s="338"/>
      <c r="GN256" s="338"/>
      <c r="GO256" s="338"/>
      <c r="GS256" s="338"/>
      <c r="GT256" s="338"/>
      <c r="GU256" s="338"/>
      <c r="GY256" s="338"/>
      <c r="GZ256" s="338"/>
      <c r="HA256" s="338"/>
      <c r="HE256" s="338"/>
      <c r="HF256" s="338"/>
      <c r="HG256" s="338"/>
      <c r="HN256" s="68"/>
      <c r="HO256" s="68"/>
      <c r="HP256" s="68"/>
      <c r="HQ256" s="336"/>
      <c r="HR256" s="68"/>
      <c r="HS256" s="68"/>
      <c r="HT256" s="10"/>
      <c r="HW256" s="338"/>
      <c r="HX256" s="338"/>
      <c r="HY256" s="338"/>
      <c r="IC256" s="338"/>
      <c r="ID256" s="338"/>
      <c r="IE256" s="338"/>
      <c r="II256" s="338"/>
      <c r="IJ256" s="338"/>
      <c r="IK256" s="338"/>
      <c r="IO256" s="338"/>
      <c r="IP256" s="338"/>
      <c r="IQ256" s="338"/>
      <c r="IX256" s="68"/>
      <c r="IY256" s="68"/>
      <c r="IZ256" s="68"/>
      <c r="JA256" s="68"/>
      <c r="JB256" s="68"/>
      <c r="JC256" s="68"/>
      <c r="JD256" s="10"/>
      <c r="JG256" s="338"/>
      <c r="JH256" s="338"/>
      <c r="JI256" s="338"/>
      <c r="JM256" s="338"/>
      <c r="JN256" s="338"/>
      <c r="JQ256" s="338"/>
      <c r="JR256" s="338"/>
      <c r="JS256" s="338"/>
      <c r="JW256" s="358"/>
      <c r="JX256" s="336"/>
      <c r="JY256" s="336"/>
      <c r="JZ256" s="336"/>
      <c r="KA256" s="336"/>
      <c r="KB256" s="336"/>
      <c r="KC256" s="336"/>
      <c r="KD256" s="336"/>
      <c r="KE256" s="336"/>
      <c r="KF256" s="336"/>
      <c r="KG256" s="337"/>
      <c r="KH256" s="338"/>
      <c r="KI256" s="338"/>
      <c r="KJ256" s="338"/>
      <c r="KK256" s="338"/>
      <c r="KL256" s="338"/>
      <c r="KM256" s="338"/>
      <c r="KN256" s="338"/>
      <c r="KO256" s="338"/>
      <c r="KP256" s="338"/>
      <c r="KQ256" s="338"/>
      <c r="KR256" s="338"/>
      <c r="KS256" s="338"/>
      <c r="KT256" s="338"/>
      <c r="KU256" s="338"/>
      <c r="KV256" s="338"/>
      <c r="KW256" s="337"/>
      <c r="KX256" s="336"/>
      <c r="KY256" s="336"/>
      <c r="KZ256" s="336"/>
      <c r="LA256" s="336"/>
      <c r="LB256" s="336"/>
      <c r="LC256" s="336"/>
      <c r="LD256" s="336"/>
      <c r="LE256" s="336"/>
      <c r="LF256" s="336"/>
      <c r="LG256" s="336"/>
      <c r="LH256" s="336"/>
      <c r="LI256" s="336"/>
      <c r="LJ256" s="336"/>
      <c r="LK256" s="336"/>
      <c r="LL256" s="336"/>
      <c r="LM256" s="336"/>
      <c r="LN256" s="336"/>
      <c r="LO256" s="336"/>
      <c r="LP256" s="336"/>
      <c r="LQ256" s="337"/>
      <c r="MN256" s="10"/>
      <c r="OA256" s="10"/>
    </row>
    <row r="257" spans="1:391" s="370" customFormat="1" x14ac:dyDescent="0.25">
      <c r="A257" s="68"/>
      <c r="B257" s="10"/>
      <c r="C257" s="68"/>
      <c r="D257" s="68"/>
      <c r="E257" s="68"/>
      <c r="F257" s="68"/>
      <c r="G257" s="68"/>
      <c r="H257" s="68"/>
      <c r="I257" s="68"/>
      <c r="J257" s="68"/>
      <c r="K257" s="68"/>
      <c r="L257" s="68"/>
      <c r="M257" s="68"/>
      <c r="N257" s="68"/>
      <c r="O257" s="68"/>
      <c r="P257" s="68"/>
      <c r="Q257" s="68"/>
      <c r="R257" s="68"/>
      <c r="S257" s="68"/>
      <c r="T257" s="70"/>
      <c r="AC257" s="68"/>
      <c r="AD257" s="70"/>
      <c r="AM257" s="68"/>
      <c r="AN257" s="70"/>
      <c r="AU257" s="68"/>
      <c r="AV257" s="70"/>
      <c r="BB257" s="68"/>
      <c r="BC257" s="70"/>
      <c r="BD257" s="68"/>
      <c r="BE257" s="68"/>
      <c r="BF257" s="68"/>
      <c r="BG257" s="68"/>
      <c r="BH257" s="68"/>
      <c r="BI257" s="68"/>
      <c r="BJ257" s="70"/>
      <c r="BM257" s="68"/>
      <c r="BN257" s="70"/>
      <c r="BT257" s="68"/>
      <c r="BU257" s="70"/>
      <c r="BZ257" s="10"/>
      <c r="CF257" s="10"/>
      <c r="CI257" s="389"/>
      <c r="CJ257" s="389"/>
      <c r="CK257" s="68"/>
      <c r="CL257" s="70"/>
      <c r="CO257" s="10"/>
      <c r="CU257" s="10"/>
      <c r="DA257" s="10"/>
      <c r="DB257" s="70"/>
      <c r="DC257" s="70"/>
      <c r="DF257" s="68"/>
      <c r="DG257" s="70"/>
      <c r="DH257" s="68"/>
      <c r="DI257" s="386"/>
      <c r="DJ257" s="425"/>
      <c r="DL257" s="68"/>
      <c r="DM257" s="70"/>
      <c r="DQ257" s="68"/>
      <c r="DR257" s="70"/>
      <c r="DS257" s="338"/>
      <c r="DT257" s="338"/>
      <c r="DU257" s="338"/>
      <c r="DW257" s="338"/>
      <c r="DX257" s="338"/>
      <c r="DY257" s="338"/>
      <c r="EA257" s="338"/>
      <c r="EB257" s="338"/>
      <c r="EC257" s="338"/>
      <c r="EE257" s="338"/>
      <c r="EF257" s="338"/>
      <c r="EG257" s="338"/>
      <c r="EI257" s="336"/>
      <c r="EJ257" s="336"/>
      <c r="EK257" s="336"/>
      <c r="EL257" s="336"/>
      <c r="EM257" s="336"/>
      <c r="EN257" s="336"/>
      <c r="EO257" s="337"/>
      <c r="EP257" s="342"/>
      <c r="EQ257" s="336"/>
      <c r="ER257" s="342"/>
      <c r="ES257" s="336"/>
      <c r="ET257" s="342"/>
      <c r="EU257" s="336"/>
      <c r="EV257" s="342"/>
      <c r="EW257" s="336"/>
      <c r="EX257" s="342"/>
      <c r="EY257" s="342"/>
      <c r="EZ257" s="342"/>
      <c r="FA257" s="337"/>
      <c r="FE257" s="338"/>
      <c r="FH257" s="338"/>
      <c r="FI257" s="338"/>
      <c r="FJ257" s="338"/>
      <c r="FK257" s="338"/>
      <c r="FL257" s="338"/>
      <c r="FM257" s="337"/>
      <c r="FN257" s="336"/>
      <c r="FO257" s="336"/>
      <c r="FP257" s="336"/>
      <c r="FQ257" s="336"/>
      <c r="FR257" s="336"/>
      <c r="FS257" s="336"/>
      <c r="FT257" s="336"/>
      <c r="FU257" s="336"/>
      <c r="FV257" s="336"/>
      <c r="FW257" s="337"/>
      <c r="FX257" s="532"/>
      <c r="FY257" s="341"/>
      <c r="FZ257" s="341"/>
      <c r="GA257" s="336"/>
      <c r="GB257" s="341"/>
      <c r="GC257" s="341"/>
      <c r="GD257" s="341"/>
      <c r="GE257" s="336"/>
      <c r="GF257" s="336"/>
      <c r="GG257" s="336"/>
      <c r="GH257" s="336"/>
      <c r="GI257" s="336"/>
      <c r="GJ257" s="337"/>
      <c r="GM257" s="338"/>
      <c r="GN257" s="338"/>
      <c r="GO257" s="338"/>
      <c r="GS257" s="338"/>
      <c r="GT257" s="338"/>
      <c r="GU257" s="338"/>
      <c r="GY257" s="338"/>
      <c r="GZ257" s="338"/>
      <c r="HA257" s="338"/>
      <c r="HE257" s="338"/>
      <c r="HF257" s="338"/>
      <c r="HG257" s="338"/>
      <c r="HN257" s="68"/>
      <c r="HO257" s="68"/>
      <c r="HP257" s="68"/>
      <c r="HQ257" s="336"/>
      <c r="HR257" s="68"/>
      <c r="HS257" s="68"/>
      <c r="HT257" s="10"/>
      <c r="HW257" s="338"/>
      <c r="HX257" s="338"/>
      <c r="HY257" s="338"/>
      <c r="IC257" s="338"/>
      <c r="ID257" s="338"/>
      <c r="IE257" s="338"/>
      <c r="II257" s="338"/>
      <c r="IJ257" s="338"/>
      <c r="IK257" s="338"/>
      <c r="IO257" s="338"/>
      <c r="IP257" s="338"/>
      <c r="IQ257" s="338"/>
      <c r="IX257" s="68"/>
      <c r="IY257" s="68"/>
      <c r="IZ257" s="68"/>
      <c r="JA257" s="68"/>
      <c r="JB257" s="68"/>
      <c r="JC257" s="68"/>
      <c r="JD257" s="10"/>
      <c r="JG257" s="338"/>
      <c r="JH257" s="338"/>
      <c r="JI257" s="338"/>
      <c r="JM257" s="338"/>
      <c r="JN257" s="338"/>
      <c r="JQ257" s="338"/>
      <c r="JR257" s="338"/>
      <c r="JS257" s="338"/>
      <c r="JW257" s="358"/>
      <c r="JX257" s="336"/>
      <c r="JY257" s="336"/>
      <c r="JZ257" s="336"/>
      <c r="KA257" s="336"/>
      <c r="KB257" s="336"/>
      <c r="KC257" s="336"/>
      <c r="KD257" s="336"/>
      <c r="KE257" s="336"/>
      <c r="KF257" s="336"/>
      <c r="KG257" s="337"/>
      <c r="KH257" s="338"/>
      <c r="KI257" s="338"/>
      <c r="KJ257" s="338"/>
      <c r="KK257" s="338"/>
      <c r="KL257" s="338"/>
      <c r="KM257" s="338"/>
      <c r="KN257" s="338"/>
      <c r="KO257" s="338"/>
      <c r="KP257" s="338"/>
      <c r="KQ257" s="338"/>
      <c r="KR257" s="338"/>
      <c r="KS257" s="338"/>
      <c r="KT257" s="338"/>
      <c r="KU257" s="338"/>
      <c r="KV257" s="338"/>
      <c r="KW257" s="337"/>
      <c r="KX257" s="336"/>
      <c r="KY257" s="336"/>
      <c r="KZ257" s="336"/>
      <c r="LA257" s="336"/>
      <c r="LB257" s="336"/>
      <c r="LC257" s="336"/>
      <c r="LD257" s="336"/>
      <c r="LE257" s="336"/>
      <c r="LF257" s="336"/>
      <c r="LG257" s="336"/>
      <c r="LH257" s="336"/>
      <c r="LI257" s="336"/>
      <c r="LJ257" s="336"/>
      <c r="LK257" s="336"/>
      <c r="LL257" s="336"/>
      <c r="LM257" s="336"/>
      <c r="LN257" s="336"/>
      <c r="LO257" s="336"/>
      <c r="LP257" s="336"/>
      <c r="LQ257" s="337"/>
      <c r="MN257" s="10"/>
      <c r="OA257" s="10"/>
    </row>
    <row r="258" spans="1:391" s="370" customFormat="1" x14ac:dyDescent="0.25">
      <c r="A258" s="68"/>
      <c r="B258" s="10"/>
      <c r="C258" s="68"/>
      <c r="D258" s="68"/>
      <c r="E258" s="68"/>
      <c r="F258" s="68"/>
      <c r="G258" s="68"/>
      <c r="H258" s="68"/>
      <c r="I258" s="68"/>
      <c r="J258" s="68"/>
      <c r="K258" s="68"/>
      <c r="L258" s="68"/>
      <c r="M258" s="68"/>
      <c r="N258" s="68"/>
      <c r="O258" s="68"/>
      <c r="P258" s="68"/>
      <c r="Q258" s="68"/>
      <c r="R258" s="68"/>
      <c r="S258" s="68"/>
      <c r="T258" s="70"/>
      <c r="AC258" s="68"/>
      <c r="AD258" s="70"/>
      <c r="AM258" s="68"/>
      <c r="AN258" s="70"/>
      <c r="AU258" s="68"/>
      <c r="AV258" s="70"/>
      <c r="BB258" s="68"/>
      <c r="BC258" s="70"/>
      <c r="BD258" s="68"/>
      <c r="BE258" s="68"/>
      <c r="BF258" s="68"/>
      <c r="BG258" s="68"/>
      <c r="BH258" s="68"/>
      <c r="BI258" s="68"/>
      <c r="BJ258" s="70"/>
      <c r="BM258" s="68"/>
      <c r="BN258" s="70"/>
      <c r="BT258" s="68"/>
      <c r="BU258" s="70"/>
      <c r="BZ258" s="10"/>
      <c r="CF258" s="10"/>
      <c r="CI258" s="389"/>
      <c r="CJ258" s="389"/>
      <c r="CK258" s="68"/>
      <c r="CL258" s="70"/>
      <c r="CO258" s="10"/>
      <c r="CU258" s="10"/>
      <c r="DA258" s="10"/>
      <c r="DB258" s="70"/>
      <c r="DC258" s="70"/>
      <c r="DF258" s="68"/>
      <c r="DG258" s="70"/>
      <c r="DH258" s="68"/>
      <c r="DI258" s="386"/>
      <c r="DJ258" s="425"/>
      <c r="DL258" s="68"/>
      <c r="DM258" s="70"/>
      <c r="DQ258" s="68"/>
      <c r="DR258" s="70"/>
      <c r="DS258" s="338"/>
      <c r="DT258" s="338"/>
      <c r="DU258" s="338"/>
      <c r="DW258" s="338"/>
      <c r="DX258" s="338"/>
      <c r="DY258" s="338"/>
      <c r="EA258" s="338"/>
      <c r="EB258" s="338"/>
      <c r="EC258" s="338"/>
      <c r="EE258" s="338"/>
      <c r="EF258" s="338"/>
      <c r="EG258" s="338"/>
      <c r="EI258" s="336"/>
      <c r="EJ258" s="336"/>
      <c r="EK258" s="336"/>
      <c r="EL258" s="336"/>
      <c r="EM258" s="336"/>
      <c r="EN258" s="336"/>
      <c r="EO258" s="337"/>
      <c r="EP258" s="342"/>
      <c r="EQ258" s="336"/>
      <c r="ER258" s="342"/>
      <c r="ES258" s="336"/>
      <c r="ET258" s="342"/>
      <c r="EU258" s="336"/>
      <c r="EV258" s="342"/>
      <c r="EW258" s="336"/>
      <c r="EX258" s="342"/>
      <c r="EY258" s="342"/>
      <c r="EZ258" s="342"/>
      <c r="FA258" s="337"/>
      <c r="FE258" s="338"/>
      <c r="FH258" s="338"/>
      <c r="FI258" s="338"/>
      <c r="FJ258" s="338"/>
      <c r="FK258" s="338"/>
      <c r="FL258" s="338"/>
      <c r="FM258" s="337"/>
      <c r="FN258" s="336"/>
      <c r="FO258" s="336"/>
      <c r="FP258" s="336"/>
      <c r="FQ258" s="336"/>
      <c r="FR258" s="336"/>
      <c r="FS258" s="336"/>
      <c r="FT258" s="336"/>
      <c r="FU258" s="336"/>
      <c r="FV258" s="336"/>
      <c r="FW258" s="337"/>
      <c r="FX258" s="532"/>
      <c r="FY258" s="341"/>
      <c r="FZ258" s="341"/>
      <c r="GA258" s="336"/>
      <c r="GB258" s="341"/>
      <c r="GC258" s="341"/>
      <c r="GD258" s="341"/>
      <c r="GE258" s="336"/>
      <c r="GF258" s="336"/>
      <c r="GG258" s="336"/>
      <c r="GH258" s="336"/>
      <c r="GI258" s="336"/>
      <c r="GJ258" s="337"/>
      <c r="GM258" s="338"/>
      <c r="GN258" s="338"/>
      <c r="GO258" s="338"/>
      <c r="GS258" s="338"/>
      <c r="GT258" s="338"/>
      <c r="GU258" s="338"/>
      <c r="GY258" s="338"/>
      <c r="GZ258" s="338"/>
      <c r="HA258" s="338"/>
      <c r="HE258" s="338"/>
      <c r="HF258" s="338"/>
      <c r="HG258" s="338"/>
      <c r="HN258" s="68"/>
      <c r="HO258" s="68"/>
      <c r="HP258" s="68"/>
      <c r="HQ258" s="336"/>
      <c r="HR258" s="68"/>
      <c r="HS258" s="68"/>
      <c r="HT258" s="10"/>
      <c r="HW258" s="338"/>
      <c r="HX258" s="338"/>
      <c r="HY258" s="338"/>
      <c r="IC258" s="338"/>
      <c r="ID258" s="338"/>
      <c r="IE258" s="338"/>
      <c r="II258" s="338"/>
      <c r="IJ258" s="338"/>
      <c r="IK258" s="338"/>
      <c r="IO258" s="338"/>
      <c r="IP258" s="338"/>
      <c r="IQ258" s="338"/>
      <c r="IX258" s="68"/>
      <c r="IY258" s="68"/>
      <c r="IZ258" s="68"/>
      <c r="JA258" s="68"/>
      <c r="JB258" s="68"/>
      <c r="JC258" s="68"/>
      <c r="JD258" s="10"/>
      <c r="JG258" s="338"/>
      <c r="JH258" s="338"/>
      <c r="JI258" s="338"/>
      <c r="JM258" s="338"/>
      <c r="JN258" s="338"/>
      <c r="JQ258" s="338"/>
      <c r="JR258" s="338"/>
      <c r="JS258" s="338"/>
      <c r="JW258" s="358"/>
      <c r="JX258" s="336"/>
      <c r="JY258" s="336"/>
      <c r="JZ258" s="336"/>
      <c r="KA258" s="336"/>
      <c r="KB258" s="336"/>
      <c r="KC258" s="336"/>
      <c r="KD258" s="336"/>
      <c r="KE258" s="336"/>
      <c r="KF258" s="336"/>
      <c r="KG258" s="337"/>
      <c r="KH258" s="338"/>
      <c r="KI258" s="338"/>
      <c r="KJ258" s="338"/>
      <c r="KK258" s="338"/>
      <c r="KL258" s="338"/>
      <c r="KM258" s="338"/>
      <c r="KN258" s="338"/>
      <c r="KO258" s="338"/>
      <c r="KP258" s="338"/>
      <c r="KQ258" s="338"/>
      <c r="KR258" s="338"/>
      <c r="KS258" s="338"/>
      <c r="KT258" s="338"/>
      <c r="KU258" s="338"/>
      <c r="KV258" s="338"/>
      <c r="KW258" s="337"/>
      <c r="KX258" s="336"/>
      <c r="KY258" s="336"/>
      <c r="KZ258" s="336"/>
      <c r="LA258" s="336"/>
      <c r="LB258" s="336"/>
      <c r="LC258" s="336"/>
      <c r="LD258" s="336"/>
      <c r="LE258" s="336"/>
      <c r="LF258" s="336"/>
      <c r="LG258" s="336"/>
      <c r="LH258" s="336"/>
      <c r="LI258" s="336"/>
      <c r="LJ258" s="336"/>
      <c r="LK258" s="336"/>
      <c r="LL258" s="336"/>
      <c r="LM258" s="336"/>
      <c r="LN258" s="336"/>
      <c r="LO258" s="336"/>
      <c r="LP258" s="336"/>
      <c r="LQ258" s="337"/>
      <c r="MN258" s="10"/>
      <c r="OA258" s="10"/>
    </row>
    <row r="259" spans="1:391" s="370" customFormat="1" x14ac:dyDescent="0.25">
      <c r="A259" s="68"/>
      <c r="B259" s="10"/>
      <c r="C259" s="68"/>
      <c r="D259" s="68"/>
      <c r="E259" s="68"/>
      <c r="F259" s="68"/>
      <c r="G259" s="68"/>
      <c r="H259" s="68"/>
      <c r="I259" s="68"/>
      <c r="J259" s="68"/>
      <c r="K259" s="68"/>
      <c r="L259" s="68"/>
      <c r="M259" s="68"/>
      <c r="N259" s="68"/>
      <c r="O259" s="68"/>
      <c r="P259" s="68"/>
      <c r="Q259" s="68"/>
      <c r="R259" s="68"/>
      <c r="S259" s="68"/>
      <c r="T259" s="70"/>
      <c r="AC259" s="68"/>
      <c r="AD259" s="70"/>
      <c r="AM259" s="68"/>
      <c r="AN259" s="70"/>
      <c r="AU259" s="68"/>
      <c r="AV259" s="70"/>
      <c r="BB259" s="68"/>
      <c r="BC259" s="70"/>
      <c r="BD259" s="68"/>
      <c r="BE259" s="68"/>
      <c r="BF259" s="68"/>
      <c r="BG259" s="68"/>
      <c r="BH259" s="68"/>
      <c r="BI259" s="68"/>
      <c r="BJ259" s="70"/>
      <c r="BM259" s="68"/>
      <c r="BN259" s="70"/>
      <c r="BT259" s="68"/>
      <c r="BU259" s="70"/>
      <c r="BZ259" s="10"/>
      <c r="CF259" s="10"/>
      <c r="CI259" s="389"/>
      <c r="CJ259" s="389"/>
      <c r="CK259" s="68"/>
      <c r="CL259" s="70"/>
      <c r="CO259" s="10"/>
      <c r="CU259" s="10"/>
      <c r="DA259" s="10"/>
      <c r="DB259" s="70"/>
      <c r="DC259" s="70"/>
      <c r="DF259" s="68"/>
      <c r="DG259" s="70"/>
      <c r="DH259" s="68"/>
      <c r="DI259" s="386"/>
      <c r="DJ259" s="425"/>
      <c r="DL259" s="68"/>
      <c r="DM259" s="70"/>
      <c r="DQ259" s="68"/>
      <c r="DR259" s="70"/>
      <c r="DS259" s="338"/>
      <c r="DT259" s="338"/>
      <c r="DU259" s="338"/>
      <c r="DW259" s="338"/>
      <c r="DX259" s="338"/>
      <c r="DY259" s="338"/>
      <c r="EA259" s="338"/>
      <c r="EB259" s="338"/>
      <c r="EC259" s="338"/>
      <c r="EE259" s="338"/>
      <c r="EF259" s="338"/>
      <c r="EG259" s="338"/>
      <c r="EI259" s="336"/>
      <c r="EJ259" s="336"/>
      <c r="EK259" s="336"/>
      <c r="EL259" s="336"/>
      <c r="EM259" s="336"/>
      <c r="EN259" s="336"/>
      <c r="EO259" s="337"/>
      <c r="EP259" s="342"/>
      <c r="EQ259" s="336"/>
      <c r="ER259" s="342"/>
      <c r="ES259" s="336"/>
      <c r="ET259" s="342"/>
      <c r="EU259" s="336"/>
      <c r="EV259" s="342"/>
      <c r="EW259" s="336"/>
      <c r="EX259" s="342"/>
      <c r="EY259" s="342"/>
      <c r="EZ259" s="342"/>
      <c r="FA259" s="337"/>
      <c r="FE259" s="338"/>
      <c r="FH259" s="338"/>
      <c r="FI259" s="338"/>
      <c r="FJ259" s="338"/>
      <c r="FK259" s="338"/>
      <c r="FL259" s="338"/>
      <c r="FM259" s="337"/>
      <c r="FN259" s="336"/>
      <c r="FO259" s="336"/>
      <c r="FP259" s="336"/>
      <c r="FQ259" s="336"/>
      <c r="FR259" s="336"/>
      <c r="FS259" s="336"/>
      <c r="FT259" s="336"/>
      <c r="FU259" s="336"/>
      <c r="FV259" s="336"/>
      <c r="FW259" s="337"/>
      <c r="FX259" s="532"/>
      <c r="FY259" s="341"/>
      <c r="FZ259" s="341"/>
      <c r="GA259" s="336"/>
      <c r="GB259" s="341"/>
      <c r="GC259" s="341"/>
      <c r="GD259" s="341"/>
      <c r="GE259" s="336"/>
      <c r="GF259" s="336"/>
      <c r="GG259" s="336"/>
      <c r="GH259" s="336"/>
      <c r="GI259" s="336"/>
      <c r="GJ259" s="337"/>
      <c r="GM259" s="338"/>
      <c r="GN259" s="338"/>
      <c r="GO259" s="338"/>
      <c r="GS259" s="338"/>
      <c r="GT259" s="338"/>
      <c r="GU259" s="338"/>
      <c r="GY259" s="338"/>
      <c r="GZ259" s="338"/>
      <c r="HA259" s="338"/>
      <c r="HE259" s="338"/>
      <c r="HF259" s="338"/>
      <c r="HG259" s="338"/>
      <c r="HN259" s="68"/>
      <c r="HO259" s="68"/>
      <c r="HP259" s="68"/>
      <c r="HQ259" s="336"/>
      <c r="HR259" s="68"/>
      <c r="HS259" s="68"/>
      <c r="HT259" s="10"/>
      <c r="HW259" s="338"/>
      <c r="HX259" s="338"/>
      <c r="HY259" s="338"/>
      <c r="IC259" s="338"/>
      <c r="ID259" s="338"/>
      <c r="IE259" s="338"/>
      <c r="II259" s="338"/>
      <c r="IJ259" s="338"/>
      <c r="IK259" s="338"/>
      <c r="IO259" s="338"/>
      <c r="IP259" s="338"/>
      <c r="IQ259" s="338"/>
      <c r="IX259" s="68"/>
      <c r="IY259" s="68"/>
      <c r="IZ259" s="68"/>
      <c r="JA259" s="68"/>
      <c r="JB259" s="68"/>
      <c r="JC259" s="68"/>
      <c r="JD259" s="10"/>
      <c r="JG259" s="338"/>
      <c r="JH259" s="338"/>
      <c r="JI259" s="338"/>
      <c r="JM259" s="338"/>
      <c r="JN259" s="338"/>
      <c r="JQ259" s="338"/>
      <c r="JR259" s="338"/>
      <c r="JS259" s="338"/>
      <c r="JW259" s="358"/>
      <c r="JX259" s="336"/>
      <c r="JY259" s="336"/>
      <c r="JZ259" s="336"/>
      <c r="KA259" s="336"/>
      <c r="KB259" s="336"/>
      <c r="KC259" s="336"/>
      <c r="KD259" s="336"/>
      <c r="KE259" s="336"/>
      <c r="KF259" s="336"/>
      <c r="KG259" s="337"/>
      <c r="KH259" s="338"/>
      <c r="KI259" s="338"/>
      <c r="KJ259" s="338"/>
      <c r="KK259" s="338"/>
      <c r="KL259" s="338"/>
      <c r="KM259" s="338"/>
      <c r="KN259" s="338"/>
      <c r="KO259" s="338"/>
      <c r="KP259" s="338"/>
      <c r="KQ259" s="338"/>
      <c r="KR259" s="338"/>
      <c r="KS259" s="338"/>
      <c r="KT259" s="338"/>
      <c r="KU259" s="338"/>
      <c r="KV259" s="338"/>
      <c r="KW259" s="337"/>
      <c r="KX259" s="336"/>
      <c r="KY259" s="336"/>
      <c r="KZ259" s="336"/>
      <c r="LA259" s="336"/>
      <c r="LB259" s="336"/>
      <c r="LC259" s="336"/>
      <c r="LD259" s="336"/>
      <c r="LE259" s="336"/>
      <c r="LF259" s="336"/>
      <c r="LG259" s="336"/>
      <c r="LH259" s="336"/>
      <c r="LI259" s="336"/>
      <c r="LJ259" s="336"/>
      <c r="LK259" s="336"/>
      <c r="LL259" s="336"/>
      <c r="LM259" s="336"/>
      <c r="LN259" s="336"/>
      <c r="LO259" s="336"/>
      <c r="LP259" s="336"/>
      <c r="LQ259" s="337"/>
      <c r="MN259" s="10"/>
      <c r="OA259" s="10"/>
    </row>
    <row r="260" spans="1:391" s="370" customFormat="1" x14ac:dyDescent="0.25">
      <c r="A260" s="68"/>
      <c r="B260" s="10"/>
      <c r="C260" s="68"/>
      <c r="D260" s="68"/>
      <c r="E260" s="68"/>
      <c r="F260" s="68"/>
      <c r="G260" s="68"/>
      <c r="H260" s="68"/>
      <c r="I260" s="68"/>
      <c r="J260" s="68"/>
      <c r="K260" s="68"/>
      <c r="L260" s="68"/>
      <c r="M260" s="68"/>
      <c r="N260" s="68"/>
      <c r="O260" s="68"/>
      <c r="P260" s="68"/>
      <c r="Q260" s="68"/>
      <c r="R260" s="68"/>
      <c r="S260" s="68"/>
      <c r="T260" s="70"/>
      <c r="AC260" s="68"/>
      <c r="AD260" s="70"/>
      <c r="AM260" s="68"/>
      <c r="AN260" s="70"/>
      <c r="AU260" s="68"/>
      <c r="AV260" s="70"/>
      <c r="BB260" s="68"/>
      <c r="BC260" s="70"/>
      <c r="BD260" s="68"/>
      <c r="BE260" s="68"/>
      <c r="BF260" s="68"/>
      <c r="BG260" s="68"/>
      <c r="BH260" s="68"/>
      <c r="BI260" s="68"/>
      <c r="BJ260" s="70"/>
      <c r="BM260" s="68"/>
      <c r="BN260" s="70"/>
      <c r="BT260" s="68"/>
      <c r="BU260" s="70"/>
      <c r="BZ260" s="10"/>
      <c r="CF260" s="10"/>
      <c r="CI260" s="389"/>
      <c r="CJ260" s="389"/>
      <c r="CK260" s="68"/>
      <c r="CL260" s="70"/>
      <c r="CO260" s="10"/>
      <c r="CU260" s="10"/>
      <c r="DA260" s="10"/>
      <c r="DB260" s="70"/>
      <c r="DC260" s="70"/>
      <c r="DF260" s="68"/>
      <c r="DG260" s="70"/>
      <c r="DH260" s="68"/>
      <c r="DI260" s="386"/>
      <c r="DJ260" s="425"/>
      <c r="DL260" s="68"/>
      <c r="DM260" s="70"/>
      <c r="DQ260" s="68"/>
      <c r="DR260" s="70"/>
      <c r="DS260" s="338"/>
      <c r="DT260" s="338"/>
      <c r="DU260" s="338"/>
      <c r="DW260" s="338"/>
      <c r="DX260" s="338"/>
      <c r="DY260" s="338"/>
      <c r="EA260" s="338"/>
      <c r="EB260" s="338"/>
      <c r="EC260" s="338"/>
      <c r="EE260" s="338"/>
      <c r="EF260" s="338"/>
      <c r="EG260" s="338"/>
      <c r="EI260" s="336"/>
      <c r="EJ260" s="336"/>
      <c r="EK260" s="336"/>
      <c r="EL260" s="336"/>
      <c r="EM260" s="336"/>
      <c r="EN260" s="336"/>
      <c r="EO260" s="337"/>
      <c r="EP260" s="342"/>
      <c r="EQ260" s="336"/>
      <c r="ER260" s="342"/>
      <c r="ES260" s="336"/>
      <c r="ET260" s="342"/>
      <c r="EU260" s="336"/>
      <c r="EV260" s="342"/>
      <c r="EW260" s="336"/>
      <c r="EX260" s="342"/>
      <c r="EY260" s="342"/>
      <c r="EZ260" s="342"/>
      <c r="FA260" s="337"/>
      <c r="FE260" s="338"/>
      <c r="FH260" s="338"/>
      <c r="FI260" s="338"/>
      <c r="FJ260" s="338"/>
      <c r="FK260" s="338"/>
      <c r="FL260" s="338"/>
      <c r="FM260" s="337"/>
      <c r="FN260" s="336"/>
      <c r="FO260" s="336"/>
      <c r="FP260" s="336"/>
      <c r="FQ260" s="336"/>
      <c r="FR260" s="336"/>
      <c r="FS260" s="336"/>
      <c r="FT260" s="336"/>
      <c r="FU260" s="336"/>
      <c r="FV260" s="336"/>
      <c r="FW260" s="337"/>
      <c r="FX260" s="532"/>
      <c r="FY260" s="341"/>
      <c r="FZ260" s="341"/>
      <c r="GA260" s="336"/>
      <c r="GB260" s="341"/>
      <c r="GC260" s="341"/>
      <c r="GD260" s="341"/>
      <c r="GE260" s="336"/>
      <c r="GF260" s="336"/>
      <c r="GG260" s="336"/>
      <c r="GH260" s="336"/>
      <c r="GI260" s="336"/>
      <c r="GJ260" s="337"/>
      <c r="GM260" s="338"/>
      <c r="GN260" s="338"/>
      <c r="GO260" s="338"/>
      <c r="GS260" s="338"/>
      <c r="GT260" s="338"/>
      <c r="GU260" s="338"/>
      <c r="GY260" s="338"/>
      <c r="GZ260" s="338"/>
      <c r="HA260" s="338"/>
      <c r="HE260" s="338"/>
      <c r="HF260" s="338"/>
      <c r="HG260" s="338"/>
      <c r="HN260" s="68"/>
      <c r="HO260" s="68"/>
      <c r="HP260" s="68"/>
      <c r="HQ260" s="336"/>
      <c r="HR260" s="68"/>
      <c r="HS260" s="68"/>
      <c r="HT260" s="10"/>
      <c r="HW260" s="338"/>
      <c r="HX260" s="338"/>
      <c r="HY260" s="338"/>
      <c r="IC260" s="338"/>
      <c r="ID260" s="338"/>
      <c r="IE260" s="338"/>
      <c r="II260" s="338"/>
      <c r="IJ260" s="338"/>
      <c r="IK260" s="338"/>
      <c r="IO260" s="338"/>
      <c r="IP260" s="338"/>
      <c r="IQ260" s="338"/>
      <c r="IX260" s="68"/>
      <c r="IY260" s="68"/>
      <c r="IZ260" s="68"/>
      <c r="JA260" s="68"/>
      <c r="JB260" s="68"/>
      <c r="JC260" s="68"/>
      <c r="JD260" s="10"/>
      <c r="JG260" s="338"/>
      <c r="JH260" s="338"/>
      <c r="JI260" s="338"/>
      <c r="JM260" s="338"/>
      <c r="JN260" s="338"/>
      <c r="JQ260" s="338"/>
      <c r="JR260" s="338"/>
      <c r="JS260" s="338"/>
      <c r="JW260" s="358"/>
      <c r="JX260" s="336"/>
      <c r="JY260" s="336"/>
      <c r="JZ260" s="336"/>
      <c r="KA260" s="336"/>
      <c r="KB260" s="336"/>
      <c r="KC260" s="336"/>
      <c r="KD260" s="336"/>
      <c r="KE260" s="336"/>
      <c r="KF260" s="336"/>
      <c r="KG260" s="337"/>
      <c r="KH260" s="338"/>
      <c r="KI260" s="338"/>
      <c r="KJ260" s="338"/>
      <c r="KK260" s="338"/>
      <c r="KL260" s="338"/>
      <c r="KM260" s="338"/>
      <c r="KN260" s="338"/>
      <c r="KO260" s="338"/>
      <c r="KP260" s="338"/>
      <c r="KQ260" s="338"/>
      <c r="KR260" s="338"/>
      <c r="KS260" s="338"/>
      <c r="KT260" s="338"/>
      <c r="KU260" s="338"/>
      <c r="KV260" s="338"/>
      <c r="KW260" s="337"/>
      <c r="KX260" s="336"/>
      <c r="KY260" s="336"/>
      <c r="KZ260" s="336"/>
      <c r="LA260" s="336"/>
      <c r="LB260" s="336"/>
      <c r="LC260" s="336"/>
      <c r="LD260" s="336"/>
      <c r="LE260" s="336"/>
      <c r="LF260" s="336"/>
      <c r="LG260" s="336"/>
      <c r="LH260" s="336"/>
      <c r="LI260" s="336"/>
      <c r="LJ260" s="336"/>
      <c r="LK260" s="336"/>
      <c r="LL260" s="336"/>
      <c r="LM260" s="336"/>
      <c r="LN260" s="336"/>
      <c r="LO260" s="336"/>
      <c r="LP260" s="336"/>
      <c r="LQ260" s="337"/>
      <c r="MN260" s="10"/>
      <c r="OA260" s="10"/>
    </row>
    <row r="261" spans="1:391" s="370" customFormat="1" x14ac:dyDescent="0.25">
      <c r="A261" s="68"/>
      <c r="B261" s="10"/>
      <c r="C261" s="68"/>
      <c r="D261" s="68"/>
      <c r="E261" s="68"/>
      <c r="F261" s="68"/>
      <c r="G261" s="68"/>
      <c r="H261" s="68"/>
      <c r="I261" s="68"/>
      <c r="J261" s="68"/>
      <c r="K261" s="68"/>
      <c r="L261" s="68"/>
      <c r="M261" s="68"/>
      <c r="N261" s="68"/>
      <c r="O261" s="68"/>
      <c r="P261" s="68"/>
      <c r="Q261" s="68"/>
      <c r="R261" s="68"/>
      <c r="S261" s="68"/>
      <c r="T261" s="70"/>
      <c r="AC261" s="68"/>
      <c r="AD261" s="70"/>
      <c r="AM261" s="68"/>
      <c r="AN261" s="70"/>
      <c r="AU261" s="68"/>
      <c r="AV261" s="70"/>
      <c r="BB261" s="68"/>
      <c r="BC261" s="70"/>
      <c r="BD261" s="68"/>
      <c r="BE261" s="68"/>
      <c r="BF261" s="68"/>
      <c r="BG261" s="68"/>
      <c r="BH261" s="68"/>
      <c r="BI261" s="68"/>
      <c r="BJ261" s="70"/>
      <c r="BM261" s="68"/>
      <c r="BN261" s="70"/>
      <c r="BT261" s="68"/>
      <c r="BU261" s="70"/>
      <c r="BZ261" s="10"/>
      <c r="CF261" s="10"/>
      <c r="CI261" s="389"/>
      <c r="CJ261" s="389"/>
      <c r="CK261" s="68"/>
      <c r="CL261" s="70"/>
      <c r="CO261" s="10"/>
      <c r="CU261" s="10"/>
      <c r="DA261" s="10"/>
      <c r="DB261" s="70"/>
      <c r="DC261" s="70"/>
      <c r="DF261" s="68"/>
      <c r="DG261" s="70"/>
      <c r="DH261" s="68"/>
      <c r="DI261" s="386"/>
      <c r="DJ261" s="425"/>
      <c r="DL261" s="68"/>
      <c r="DM261" s="70"/>
      <c r="DQ261" s="68"/>
      <c r="DR261" s="70"/>
      <c r="DS261" s="338"/>
      <c r="DT261" s="338"/>
      <c r="DU261" s="338"/>
      <c r="DW261" s="338"/>
      <c r="DX261" s="338"/>
      <c r="DY261" s="338"/>
      <c r="EA261" s="338"/>
      <c r="EB261" s="338"/>
      <c r="EC261" s="338"/>
      <c r="EE261" s="338"/>
      <c r="EF261" s="338"/>
      <c r="EG261" s="338"/>
      <c r="EI261" s="336"/>
      <c r="EJ261" s="336"/>
      <c r="EK261" s="336"/>
      <c r="EL261" s="336"/>
      <c r="EM261" s="336"/>
      <c r="EN261" s="336"/>
      <c r="EO261" s="337"/>
      <c r="EP261" s="342"/>
      <c r="EQ261" s="336"/>
      <c r="ER261" s="342"/>
      <c r="ES261" s="336"/>
      <c r="ET261" s="342"/>
      <c r="EU261" s="336"/>
      <c r="EV261" s="342"/>
      <c r="EW261" s="336"/>
      <c r="EX261" s="342"/>
      <c r="EY261" s="342"/>
      <c r="EZ261" s="342"/>
      <c r="FA261" s="337"/>
      <c r="FE261" s="338"/>
      <c r="FH261" s="338"/>
      <c r="FI261" s="338"/>
      <c r="FJ261" s="338"/>
      <c r="FK261" s="338"/>
      <c r="FL261" s="338"/>
      <c r="FM261" s="337"/>
      <c r="FN261" s="336"/>
      <c r="FO261" s="336"/>
      <c r="FP261" s="336"/>
      <c r="FQ261" s="336"/>
      <c r="FR261" s="336"/>
      <c r="FS261" s="336"/>
      <c r="FT261" s="336"/>
      <c r="FU261" s="336"/>
      <c r="FV261" s="336"/>
      <c r="FW261" s="337"/>
      <c r="FX261" s="532"/>
      <c r="FY261" s="341"/>
      <c r="FZ261" s="341"/>
      <c r="GA261" s="336"/>
      <c r="GB261" s="341"/>
      <c r="GC261" s="341"/>
      <c r="GD261" s="341"/>
      <c r="GE261" s="336"/>
      <c r="GF261" s="336"/>
      <c r="GG261" s="336"/>
      <c r="GH261" s="336"/>
      <c r="GI261" s="336"/>
      <c r="GJ261" s="337"/>
      <c r="GM261" s="338"/>
      <c r="GN261" s="338"/>
      <c r="GO261" s="338"/>
      <c r="GS261" s="338"/>
      <c r="GT261" s="338"/>
      <c r="GU261" s="338"/>
      <c r="GY261" s="338"/>
      <c r="GZ261" s="338"/>
      <c r="HA261" s="338"/>
      <c r="HE261" s="338"/>
      <c r="HF261" s="338"/>
      <c r="HG261" s="338"/>
      <c r="HN261" s="68"/>
      <c r="HO261" s="68"/>
      <c r="HP261" s="68"/>
      <c r="HQ261" s="336"/>
      <c r="HR261" s="68"/>
      <c r="HS261" s="68"/>
      <c r="HT261" s="10"/>
      <c r="HW261" s="338"/>
      <c r="HX261" s="338"/>
      <c r="HY261" s="338"/>
      <c r="IC261" s="338"/>
      <c r="ID261" s="338"/>
      <c r="IE261" s="338"/>
      <c r="II261" s="338"/>
      <c r="IJ261" s="338"/>
      <c r="IK261" s="338"/>
      <c r="IO261" s="338"/>
      <c r="IP261" s="338"/>
      <c r="IQ261" s="338"/>
      <c r="IX261" s="68"/>
      <c r="IY261" s="68"/>
      <c r="IZ261" s="68"/>
      <c r="JA261" s="68"/>
      <c r="JB261" s="68"/>
      <c r="JC261" s="68"/>
      <c r="JD261" s="10"/>
      <c r="JG261" s="338"/>
      <c r="JH261" s="338"/>
      <c r="JI261" s="338"/>
      <c r="JM261" s="338"/>
      <c r="JN261" s="338"/>
      <c r="JQ261" s="338"/>
      <c r="JR261" s="338"/>
      <c r="JS261" s="338"/>
      <c r="JW261" s="358"/>
      <c r="JX261" s="336"/>
      <c r="JY261" s="336"/>
      <c r="JZ261" s="336"/>
      <c r="KA261" s="336"/>
      <c r="KB261" s="336"/>
      <c r="KC261" s="336"/>
      <c r="KD261" s="336"/>
      <c r="KE261" s="336"/>
      <c r="KF261" s="336"/>
      <c r="KG261" s="337"/>
      <c r="KH261" s="338"/>
      <c r="KI261" s="338"/>
      <c r="KJ261" s="338"/>
      <c r="KK261" s="338"/>
      <c r="KL261" s="338"/>
      <c r="KM261" s="338"/>
      <c r="KN261" s="338"/>
      <c r="KO261" s="338"/>
      <c r="KP261" s="338"/>
      <c r="KQ261" s="338"/>
      <c r="KR261" s="338"/>
      <c r="KS261" s="338"/>
      <c r="KT261" s="338"/>
      <c r="KU261" s="338"/>
      <c r="KV261" s="338"/>
      <c r="KW261" s="337"/>
      <c r="KX261" s="336"/>
      <c r="KY261" s="336"/>
      <c r="KZ261" s="336"/>
      <c r="LA261" s="336"/>
      <c r="LB261" s="336"/>
      <c r="LC261" s="336"/>
      <c r="LD261" s="336"/>
      <c r="LE261" s="336"/>
      <c r="LF261" s="336"/>
      <c r="LG261" s="336"/>
      <c r="LH261" s="336"/>
      <c r="LI261" s="336"/>
      <c r="LJ261" s="336"/>
      <c r="LK261" s="336"/>
      <c r="LL261" s="336"/>
      <c r="LM261" s="336"/>
      <c r="LN261" s="336"/>
      <c r="LO261" s="336"/>
      <c r="LP261" s="336"/>
      <c r="LQ261" s="337"/>
      <c r="MN261" s="10"/>
      <c r="OA261" s="10"/>
    </row>
    <row r="262" spans="1:391" s="370" customFormat="1" x14ac:dyDescent="0.25">
      <c r="A262" s="68"/>
      <c r="B262" s="10"/>
      <c r="C262" s="68"/>
      <c r="D262" s="68"/>
      <c r="E262" s="68"/>
      <c r="F262" s="68"/>
      <c r="G262" s="68"/>
      <c r="H262" s="68"/>
      <c r="I262" s="68"/>
      <c r="J262" s="68"/>
      <c r="K262" s="68"/>
      <c r="L262" s="68"/>
      <c r="M262" s="68"/>
      <c r="N262" s="68"/>
      <c r="O262" s="68"/>
      <c r="P262" s="68"/>
      <c r="Q262" s="68"/>
      <c r="R262" s="68"/>
      <c r="S262" s="68"/>
      <c r="T262" s="70"/>
      <c r="AC262" s="68"/>
      <c r="AD262" s="70"/>
      <c r="AM262" s="68"/>
      <c r="AN262" s="70"/>
      <c r="AU262" s="68"/>
      <c r="AV262" s="70"/>
      <c r="BB262" s="68"/>
      <c r="BC262" s="70"/>
      <c r="BD262" s="68"/>
      <c r="BE262" s="68"/>
      <c r="BF262" s="68"/>
      <c r="BG262" s="68"/>
      <c r="BH262" s="68"/>
      <c r="BI262" s="68"/>
      <c r="BJ262" s="70"/>
      <c r="BM262" s="68"/>
      <c r="BN262" s="70"/>
      <c r="BT262" s="68"/>
      <c r="BU262" s="70"/>
      <c r="BZ262" s="10"/>
      <c r="CF262" s="10"/>
      <c r="CI262" s="389"/>
      <c r="CJ262" s="389"/>
      <c r="CK262" s="68"/>
      <c r="CL262" s="70"/>
      <c r="CO262" s="10"/>
      <c r="CU262" s="10"/>
      <c r="DA262" s="10"/>
      <c r="DB262" s="70"/>
      <c r="DC262" s="70"/>
      <c r="DF262" s="68"/>
      <c r="DG262" s="70"/>
      <c r="DH262" s="68"/>
      <c r="DI262" s="386"/>
      <c r="DJ262" s="425"/>
      <c r="DL262" s="68"/>
      <c r="DM262" s="70"/>
      <c r="DQ262" s="68"/>
      <c r="DR262" s="70"/>
      <c r="DS262" s="338"/>
      <c r="DT262" s="338"/>
      <c r="DU262" s="338"/>
      <c r="DW262" s="338"/>
      <c r="DX262" s="338"/>
      <c r="DY262" s="338"/>
      <c r="EA262" s="338"/>
      <c r="EB262" s="338"/>
      <c r="EC262" s="338"/>
      <c r="EE262" s="338"/>
      <c r="EF262" s="338"/>
      <c r="EG262" s="338"/>
      <c r="EI262" s="336"/>
      <c r="EJ262" s="336"/>
      <c r="EK262" s="336"/>
      <c r="EL262" s="336"/>
      <c r="EM262" s="336"/>
      <c r="EN262" s="336"/>
      <c r="EO262" s="337"/>
      <c r="EP262" s="342"/>
      <c r="EQ262" s="336"/>
      <c r="ER262" s="342"/>
      <c r="ES262" s="336"/>
      <c r="ET262" s="342"/>
      <c r="EU262" s="336"/>
      <c r="EV262" s="342"/>
      <c r="EW262" s="336"/>
      <c r="EX262" s="342"/>
      <c r="EY262" s="342"/>
      <c r="EZ262" s="342"/>
      <c r="FA262" s="337"/>
      <c r="FE262" s="338"/>
      <c r="FH262" s="338"/>
      <c r="FI262" s="338"/>
      <c r="FJ262" s="338"/>
      <c r="FK262" s="338"/>
      <c r="FL262" s="338"/>
      <c r="FM262" s="337"/>
      <c r="FN262" s="336"/>
      <c r="FO262" s="336"/>
      <c r="FP262" s="336"/>
      <c r="FQ262" s="336"/>
      <c r="FR262" s="336"/>
      <c r="FS262" s="336"/>
      <c r="FT262" s="336"/>
      <c r="FU262" s="336"/>
      <c r="FV262" s="336"/>
      <c r="FW262" s="337"/>
      <c r="FX262" s="532"/>
      <c r="FY262" s="341"/>
      <c r="FZ262" s="341"/>
      <c r="GA262" s="336"/>
      <c r="GB262" s="341"/>
      <c r="GC262" s="341"/>
      <c r="GD262" s="341"/>
      <c r="GE262" s="336"/>
      <c r="GF262" s="336"/>
      <c r="GG262" s="336"/>
      <c r="GH262" s="336"/>
      <c r="GI262" s="336"/>
      <c r="GJ262" s="337"/>
      <c r="GM262" s="338"/>
      <c r="GN262" s="338"/>
      <c r="GO262" s="338"/>
      <c r="GS262" s="338"/>
      <c r="GT262" s="338"/>
      <c r="GU262" s="338"/>
      <c r="GY262" s="338"/>
      <c r="GZ262" s="338"/>
      <c r="HA262" s="338"/>
      <c r="HE262" s="338"/>
      <c r="HF262" s="338"/>
      <c r="HG262" s="338"/>
      <c r="HN262" s="68"/>
      <c r="HO262" s="68"/>
      <c r="HP262" s="68"/>
      <c r="HQ262" s="336"/>
      <c r="HR262" s="68"/>
      <c r="HS262" s="68"/>
      <c r="HT262" s="10"/>
      <c r="HW262" s="338"/>
      <c r="HX262" s="338"/>
      <c r="HY262" s="338"/>
      <c r="IC262" s="338"/>
      <c r="ID262" s="338"/>
      <c r="IE262" s="338"/>
      <c r="II262" s="338"/>
      <c r="IJ262" s="338"/>
      <c r="IK262" s="338"/>
      <c r="IO262" s="338"/>
      <c r="IP262" s="338"/>
      <c r="IQ262" s="338"/>
      <c r="IX262" s="68"/>
      <c r="IY262" s="68"/>
      <c r="IZ262" s="68"/>
      <c r="JA262" s="68"/>
      <c r="JB262" s="68"/>
      <c r="JC262" s="68"/>
      <c r="JD262" s="10"/>
      <c r="JG262" s="338"/>
      <c r="JH262" s="338"/>
      <c r="JI262" s="338"/>
      <c r="JM262" s="338"/>
      <c r="JN262" s="338"/>
      <c r="JQ262" s="338"/>
      <c r="JR262" s="338"/>
      <c r="JS262" s="338"/>
      <c r="JW262" s="358"/>
      <c r="JX262" s="336"/>
      <c r="JY262" s="336"/>
      <c r="JZ262" s="336"/>
      <c r="KA262" s="336"/>
      <c r="KB262" s="336"/>
      <c r="KC262" s="336"/>
      <c r="KD262" s="336"/>
      <c r="KE262" s="336"/>
      <c r="KF262" s="336"/>
      <c r="KG262" s="337"/>
      <c r="KH262" s="338"/>
      <c r="KI262" s="338"/>
      <c r="KJ262" s="338"/>
      <c r="KK262" s="338"/>
      <c r="KL262" s="338"/>
      <c r="KM262" s="338"/>
      <c r="KN262" s="338"/>
      <c r="KO262" s="338"/>
      <c r="KP262" s="338"/>
      <c r="KQ262" s="338"/>
      <c r="KR262" s="338"/>
      <c r="KS262" s="338"/>
      <c r="KT262" s="338"/>
      <c r="KU262" s="338"/>
      <c r="KV262" s="338"/>
      <c r="KW262" s="337"/>
      <c r="KX262" s="336"/>
      <c r="KY262" s="336"/>
      <c r="KZ262" s="336"/>
      <c r="LA262" s="336"/>
      <c r="LB262" s="336"/>
      <c r="LC262" s="336"/>
      <c r="LD262" s="336"/>
      <c r="LE262" s="336"/>
      <c r="LF262" s="336"/>
      <c r="LG262" s="336"/>
      <c r="LH262" s="336"/>
      <c r="LI262" s="336"/>
      <c r="LJ262" s="336"/>
      <c r="LK262" s="336"/>
      <c r="LL262" s="336"/>
      <c r="LM262" s="336"/>
      <c r="LN262" s="336"/>
      <c r="LO262" s="336"/>
      <c r="LP262" s="336"/>
      <c r="LQ262" s="337"/>
      <c r="MN262" s="10"/>
      <c r="OA262" s="10"/>
    </row>
    <row r="263" spans="1:391" s="370" customFormat="1" x14ac:dyDescent="0.25">
      <c r="A263" s="68"/>
      <c r="B263" s="10"/>
      <c r="C263" s="68"/>
      <c r="D263" s="68"/>
      <c r="E263" s="68"/>
      <c r="F263" s="68"/>
      <c r="G263" s="68"/>
      <c r="H263" s="68"/>
      <c r="I263" s="68"/>
      <c r="J263" s="68"/>
      <c r="K263" s="68"/>
      <c r="L263" s="68"/>
      <c r="M263" s="68"/>
      <c r="N263" s="68"/>
      <c r="O263" s="68"/>
      <c r="P263" s="68"/>
      <c r="Q263" s="68"/>
      <c r="R263" s="68"/>
      <c r="S263" s="68"/>
      <c r="T263" s="70"/>
      <c r="AC263" s="68"/>
      <c r="AD263" s="70"/>
      <c r="AM263" s="68"/>
      <c r="AN263" s="70"/>
      <c r="AU263" s="68"/>
      <c r="AV263" s="70"/>
      <c r="BB263" s="68"/>
      <c r="BC263" s="70"/>
      <c r="BD263" s="68"/>
      <c r="BE263" s="68"/>
      <c r="BF263" s="68"/>
      <c r="BG263" s="68"/>
      <c r="BH263" s="68"/>
      <c r="BI263" s="68"/>
      <c r="BJ263" s="70"/>
      <c r="BM263" s="68"/>
      <c r="BN263" s="70"/>
      <c r="BT263" s="68"/>
      <c r="BU263" s="70"/>
      <c r="BZ263" s="10"/>
      <c r="CF263" s="10"/>
      <c r="CI263" s="389"/>
      <c r="CJ263" s="389"/>
      <c r="CK263" s="68"/>
      <c r="CL263" s="70"/>
      <c r="CO263" s="10"/>
      <c r="CU263" s="10"/>
      <c r="DA263" s="10"/>
      <c r="DB263" s="70"/>
      <c r="DC263" s="70"/>
      <c r="DF263" s="68"/>
      <c r="DG263" s="70"/>
      <c r="DH263" s="68"/>
      <c r="DI263" s="386"/>
      <c r="DJ263" s="425"/>
      <c r="DL263" s="68"/>
      <c r="DM263" s="70"/>
      <c r="DQ263" s="68"/>
      <c r="DR263" s="70"/>
      <c r="DS263" s="338"/>
      <c r="DT263" s="338"/>
      <c r="DU263" s="338"/>
      <c r="DW263" s="338"/>
      <c r="DX263" s="338"/>
      <c r="DY263" s="338"/>
      <c r="EA263" s="338"/>
      <c r="EB263" s="338"/>
      <c r="EC263" s="338"/>
      <c r="EE263" s="338"/>
      <c r="EF263" s="338"/>
      <c r="EG263" s="338"/>
      <c r="EI263" s="336"/>
      <c r="EJ263" s="336"/>
      <c r="EK263" s="336"/>
      <c r="EL263" s="336"/>
      <c r="EM263" s="336"/>
      <c r="EN263" s="336"/>
      <c r="EO263" s="337"/>
      <c r="EP263" s="342"/>
      <c r="EQ263" s="336"/>
      <c r="ER263" s="342"/>
      <c r="ES263" s="336"/>
      <c r="ET263" s="342"/>
      <c r="EU263" s="336"/>
      <c r="EV263" s="342"/>
      <c r="EW263" s="336"/>
      <c r="EX263" s="342"/>
      <c r="EY263" s="342"/>
      <c r="EZ263" s="342"/>
      <c r="FA263" s="337"/>
      <c r="FE263" s="338"/>
      <c r="FH263" s="338"/>
      <c r="FI263" s="338"/>
      <c r="FJ263" s="338"/>
      <c r="FK263" s="338"/>
      <c r="FL263" s="338"/>
      <c r="FM263" s="337"/>
      <c r="FN263" s="336"/>
      <c r="FO263" s="336"/>
      <c r="FP263" s="336"/>
      <c r="FQ263" s="336"/>
      <c r="FR263" s="336"/>
      <c r="FS263" s="336"/>
      <c r="FT263" s="336"/>
      <c r="FU263" s="336"/>
      <c r="FV263" s="336"/>
      <c r="FW263" s="337"/>
      <c r="FX263" s="532"/>
      <c r="FY263" s="341"/>
      <c r="FZ263" s="341"/>
      <c r="GA263" s="336"/>
      <c r="GB263" s="341"/>
      <c r="GC263" s="341"/>
      <c r="GD263" s="341"/>
      <c r="GE263" s="336"/>
      <c r="GF263" s="336"/>
      <c r="GG263" s="336"/>
      <c r="GH263" s="336"/>
      <c r="GI263" s="336"/>
      <c r="GJ263" s="337"/>
      <c r="GM263" s="338"/>
      <c r="GN263" s="338"/>
      <c r="GO263" s="338"/>
      <c r="GS263" s="338"/>
      <c r="GT263" s="338"/>
      <c r="GU263" s="338"/>
      <c r="GY263" s="338"/>
      <c r="GZ263" s="338"/>
      <c r="HA263" s="338"/>
      <c r="HE263" s="338"/>
      <c r="HF263" s="338"/>
      <c r="HG263" s="338"/>
      <c r="HN263" s="68"/>
      <c r="HO263" s="68"/>
      <c r="HP263" s="68"/>
      <c r="HQ263" s="336"/>
      <c r="HR263" s="68"/>
      <c r="HS263" s="68"/>
      <c r="HT263" s="10"/>
      <c r="HW263" s="338"/>
      <c r="HX263" s="338"/>
      <c r="HY263" s="338"/>
      <c r="IC263" s="338"/>
      <c r="ID263" s="338"/>
      <c r="IE263" s="338"/>
      <c r="II263" s="338"/>
      <c r="IJ263" s="338"/>
      <c r="IK263" s="338"/>
      <c r="IO263" s="338"/>
      <c r="IP263" s="338"/>
      <c r="IQ263" s="338"/>
      <c r="IX263" s="68"/>
      <c r="IY263" s="68"/>
      <c r="IZ263" s="68"/>
      <c r="JA263" s="68"/>
      <c r="JB263" s="68"/>
      <c r="JC263" s="68"/>
      <c r="JD263" s="10"/>
      <c r="JG263" s="338"/>
      <c r="JH263" s="338"/>
      <c r="JI263" s="338"/>
      <c r="JM263" s="338"/>
      <c r="JN263" s="338"/>
      <c r="JQ263" s="338"/>
      <c r="JR263" s="338"/>
      <c r="JS263" s="338"/>
      <c r="JW263" s="358"/>
      <c r="JX263" s="336"/>
      <c r="JY263" s="336"/>
      <c r="JZ263" s="336"/>
      <c r="KA263" s="336"/>
      <c r="KB263" s="336"/>
      <c r="KC263" s="336"/>
      <c r="KD263" s="336"/>
      <c r="KE263" s="336"/>
      <c r="KF263" s="336"/>
      <c r="KG263" s="337"/>
      <c r="KH263" s="338"/>
      <c r="KI263" s="338"/>
      <c r="KJ263" s="338"/>
      <c r="KK263" s="338"/>
      <c r="KL263" s="338"/>
      <c r="KM263" s="338"/>
      <c r="KN263" s="338"/>
      <c r="KO263" s="338"/>
      <c r="KP263" s="338"/>
      <c r="KQ263" s="338"/>
      <c r="KR263" s="338"/>
      <c r="KS263" s="338"/>
      <c r="KT263" s="338"/>
      <c r="KU263" s="338"/>
      <c r="KV263" s="338"/>
      <c r="KW263" s="337"/>
      <c r="KX263" s="336"/>
      <c r="KY263" s="336"/>
      <c r="KZ263" s="336"/>
      <c r="LA263" s="336"/>
      <c r="LB263" s="336"/>
      <c r="LC263" s="336"/>
      <c r="LD263" s="336"/>
      <c r="LE263" s="336"/>
      <c r="LF263" s="336"/>
      <c r="LG263" s="336"/>
      <c r="LH263" s="336"/>
      <c r="LI263" s="336"/>
      <c r="LJ263" s="336"/>
      <c r="LK263" s="336"/>
      <c r="LL263" s="336"/>
      <c r="LM263" s="336"/>
      <c r="LN263" s="336"/>
      <c r="LO263" s="336"/>
      <c r="LP263" s="336"/>
      <c r="LQ263" s="337"/>
      <c r="MN263" s="10"/>
      <c r="OA263" s="10"/>
    </row>
    <row r="264" spans="1:391" s="370" customFormat="1" x14ac:dyDescent="0.25">
      <c r="A264" s="68"/>
      <c r="B264" s="10"/>
      <c r="C264" s="68"/>
      <c r="D264" s="68"/>
      <c r="E264" s="68"/>
      <c r="F264" s="68"/>
      <c r="G264" s="68"/>
      <c r="H264" s="68"/>
      <c r="I264" s="68"/>
      <c r="J264" s="68"/>
      <c r="K264" s="68"/>
      <c r="L264" s="68"/>
      <c r="M264" s="68"/>
      <c r="N264" s="68"/>
      <c r="O264" s="68"/>
      <c r="P264" s="68"/>
      <c r="Q264" s="68"/>
      <c r="R264" s="68"/>
      <c r="S264" s="68"/>
      <c r="T264" s="70"/>
      <c r="AC264" s="68"/>
      <c r="AD264" s="70"/>
      <c r="AM264" s="68"/>
      <c r="AN264" s="70"/>
      <c r="AU264" s="68"/>
      <c r="AV264" s="70"/>
      <c r="BB264" s="68"/>
      <c r="BC264" s="70"/>
      <c r="BD264" s="68"/>
      <c r="BE264" s="68"/>
      <c r="BF264" s="68"/>
      <c r="BG264" s="68"/>
      <c r="BH264" s="68"/>
      <c r="BI264" s="68"/>
      <c r="BJ264" s="70"/>
      <c r="BM264" s="68"/>
      <c r="BN264" s="70"/>
      <c r="BT264" s="68"/>
      <c r="BU264" s="70"/>
      <c r="BZ264" s="10"/>
      <c r="CF264" s="10"/>
      <c r="CI264" s="389"/>
      <c r="CJ264" s="389"/>
      <c r="CK264" s="68"/>
      <c r="CL264" s="70"/>
      <c r="CO264" s="10"/>
      <c r="CU264" s="10"/>
      <c r="DA264" s="10"/>
      <c r="DB264" s="70"/>
      <c r="DC264" s="70"/>
      <c r="DF264" s="68"/>
      <c r="DG264" s="70"/>
      <c r="DH264" s="68"/>
      <c r="DI264" s="386"/>
      <c r="DJ264" s="425"/>
      <c r="DL264" s="68"/>
      <c r="DM264" s="70"/>
      <c r="DQ264" s="68"/>
      <c r="DR264" s="70"/>
      <c r="DS264" s="338"/>
      <c r="DT264" s="338"/>
      <c r="DU264" s="338"/>
      <c r="DW264" s="338"/>
      <c r="DX264" s="338"/>
      <c r="DY264" s="338"/>
      <c r="EA264" s="338"/>
      <c r="EB264" s="338"/>
      <c r="EC264" s="338"/>
      <c r="EE264" s="338"/>
      <c r="EF264" s="338"/>
      <c r="EG264" s="338"/>
      <c r="EI264" s="336"/>
      <c r="EJ264" s="336"/>
      <c r="EK264" s="336"/>
      <c r="EL264" s="336"/>
      <c r="EM264" s="336"/>
      <c r="EN264" s="336"/>
      <c r="EO264" s="337"/>
      <c r="EP264" s="342"/>
      <c r="EQ264" s="336"/>
      <c r="ER264" s="342"/>
      <c r="ES264" s="336"/>
      <c r="ET264" s="342"/>
      <c r="EU264" s="336"/>
      <c r="EV264" s="342"/>
      <c r="EW264" s="336"/>
      <c r="EX264" s="342"/>
      <c r="EY264" s="342"/>
      <c r="EZ264" s="342"/>
      <c r="FA264" s="337"/>
      <c r="FE264" s="338"/>
      <c r="FH264" s="338"/>
      <c r="FI264" s="338"/>
      <c r="FJ264" s="338"/>
      <c r="FK264" s="338"/>
      <c r="FL264" s="338"/>
      <c r="FM264" s="337"/>
      <c r="FN264" s="336"/>
      <c r="FO264" s="336"/>
      <c r="FP264" s="336"/>
      <c r="FQ264" s="336"/>
      <c r="FR264" s="336"/>
      <c r="FS264" s="336"/>
      <c r="FT264" s="336"/>
      <c r="FU264" s="336"/>
      <c r="FV264" s="336"/>
      <c r="FW264" s="337"/>
      <c r="FX264" s="532"/>
      <c r="FY264" s="341"/>
      <c r="FZ264" s="341"/>
      <c r="GA264" s="336"/>
      <c r="GB264" s="341"/>
      <c r="GC264" s="341"/>
      <c r="GD264" s="341"/>
      <c r="GE264" s="336"/>
      <c r="GF264" s="336"/>
      <c r="GG264" s="336"/>
      <c r="GH264" s="336"/>
      <c r="GI264" s="336"/>
      <c r="GJ264" s="337"/>
      <c r="GM264" s="338"/>
      <c r="GN264" s="338"/>
      <c r="GO264" s="338"/>
      <c r="GS264" s="338"/>
      <c r="GT264" s="338"/>
      <c r="GU264" s="338"/>
      <c r="GY264" s="338"/>
      <c r="GZ264" s="338"/>
      <c r="HA264" s="338"/>
      <c r="HE264" s="338"/>
      <c r="HF264" s="338"/>
      <c r="HG264" s="338"/>
      <c r="HN264" s="68"/>
      <c r="HO264" s="68"/>
      <c r="HP264" s="68"/>
      <c r="HQ264" s="336"/>
      <c r="HR264" s="68"/>
      <c r="HS264" s="68"/>
      <c r="HT264" s="10"/>
      <c r="HW264" s="338"/>
      <c r="HX264" s="338"/>
      <c r="HY264" s="338"/>
      <c r="IC264" s="338"/>
      <c r="ID264" s="338"/>
      <c r="IE264" s="338"/>
      <c r="II264" s="338"/>
      <c r="IJ264" s="338"/>
      <c r="IK264" s="338"/>
      <c r="IO264" s="338"/>
      <c r="IP264" s="338"/>
      <c r="IQ264" s="338"/>
      <c r="IX264" s="68"/>
      <c r="IY264" s="68"/>
      <c r="IZ264" s="68"/>
      <c r="JA264" s="68"/>
      <c r="JB264" s="68"/>
      <c r="JC264" s="68"/>
      <c r="JD264" s="10"/>
      <c r="JG264" s="338"/>
      <c r="JH264" s="338"/>
      <c r="JI264" s="338"/>
      <c r="JM264" s="338"/>
      <c r="JN264" s="338"/>
      <c r="JQ264" s="338"/>
      <c r="JR264" s="338"/>
      <c r="JS264" s="338"/>
      <c r="JW264" s="358"/>
      <c r="JX264" s="336"/>
      <c r="JY264" s="336"/>
      <c r="JZ264" s="336"/>
      <c r="KA264" s="336"/>
      <c r="KB264" s="336"/>
      <c r="KC264" s="336"/>
      <c r="KD264" s="336"/>
      <c r="KE264" s="336"/>
      <c r="KF264" s="336"/>
      <c r="KG264" s="337"/>
      <c r="KH264" s="338"/>
      <c r="KI264" s="338"/>
      <c r="KJ264" s="338"/>
      <c r="KK264" s="338"/>
      <c r="KL264" s="338"/>
      <c r="KM264" s="338"/>
      <c r="KN264" s="338"/>
      <c r="KO264" s="338"/>
      <c r="KP264" s="338"/>
      <c r="KQ264" s="338"/>
      <c r="KR264" s="338"/>
      <c r="KS264" s="338"/>
      <c r="KT264" s="338"/>
      <c r="KU264" s="338"/>
      <c r="KV264" s="338"/>
      <c r="KW264" s="337"/>
      <c r="KX264" s="336"/>
      <c r="KY264" s="336"/>
      <c r="KZ264" s="336"/>
      <c r="LA264" s="336"/>
      <c r="LB264" s="336"/>
      <c r="LC264" s="336"/>
      <c r="LD264" s="336"/>
      <c r="LE264" s="336"/>
      <c r="LF264" s="336"/>
      <c r="LG264" s="336"/>
      <c r="LH264" s="336"/>
      <c r="LI264" s="336"/>
      <c r="LJ264" s="336"/>
      <c r="LK264" s="336"/>
      <c r="LL264" s="336"/>
      <c r="LM264" s="336"/>
      <c r="LN264" s="336"/>
      <c r="LO264" s="336"/>
      <c r="LP264" s="336"/>
      <c r="LQ264" s="337"/>
      <c r="MN264" s="10"/>
      <c r="OA264" s="10"/>
    </row>
    <row r="265" spans="1:391" s="370" customFormat="1" x14ac:dyDescent="0.25">
      <c r="A265" s="68"/>
      <c r="B265" s="10"/>
      <c r="C265" s="68"/>
      <c r="D265" s="68"/>
      <c r="E265" s="68"/>
      <c r="F265" s="68"/>
      <c r="G265" s="68"/>
      <c r="H265" s="68"/>
      <c r="I265" s="68"/>
      <c r="J265" s="68"/>
      <c r="K265" s="68"/>
      <c r="L265" s="68"/>
      <c r="M265" s="68"/>
      <c r="N265" s="68"/>
      <c r="O265" s="68"/>
      <c r="P265" s="68"/>
      <c r="Q265" s="68"/>
      <c r="R265" s="68"/>
      <c r="S265" s="68"/>
      <c r="T265" s="70"/>
      <c r="AC265" s="68"/>
      <c r="AD265" s="70"/>
      <c r="AM265" s="68"/>
      <c r="AN265" s="70"/>
      <c r="AU265" s="68"/>
      <c r="AV265" s="70"/>
      <c r="BB265" s="68"/>
      <c r="BC265" s="70"/>
      <c r="BD265" s="68"/>
      <c r="BE265" s="68"/>
      <c r="BF265" s="68"/>
      <c r="BG265" s="68"/>
      <c r="BH265" s="68"/>
      <c r="BI265" s="68"/>
      <c r="BJ265" s="70"/>
      <c r="BM265" s="68"/>
      <c r="BN265" s="70"/>
      <c r="BT265" s="68"/>
      <c r="BU265" s="70"/>
      <c r="BZ265" s="10"/>
      <c r="CF265" s="10"/>
      <c r="CI265" s="389"/>
      <c r="CJ265" s="389"/>
      <c r="CK265" s="68"/>
      <c r="CL265" s="70"/>
      <c r="CO265" s="10"/>
      <c r="CU265" s="10"/>
      <c r="DA265" s="10"/>
      <c r="DB265" s="70"/>
      <c r="DC265" s="70"/>
      <c r="DF265" s="68"/>
      <c r="DG265" s="70"/>
      <c r="DH265" s="68"/>
      <c r="DI265" s="386"/>
      <c r="DJ265" s="425"/>
      <c r="DL265" s="68"/>
      <c r="DM265" s="70"/>
      <c r="DQ265" s="68"/>
      <c r="DR265" s="70"/>
      <c r="DS265" s="338"/>
      <c r="DT265" s="338"/>
      <c r="DU265" s="338"/>
      <c r="DW265" s="338"/>
      <c r="DX265" s="338"/>
      <c r="DY265" s="338"/>
      <c r="EA265" s="338"/>
      <c r="EB265" s="338"/>
      <c r="EC265" s="338"/>
      <c r="EE265" s="338"/>
      <c r="EF265" s="338"/>
      <c r="EG265" s="338"/>
      <c r="EI265" s="336"/>
      <c r="EJ265" s="336"/>
      <c r="EK265" s="336"/>
      <c r="EL265" s="336"/>
      <c r="EM265" s="336"/>
      <c r="EN265" s="336"/>
      <c r="EO265" s="337"/>
      <c r="EP265" s="342"/>
      <c r="EQ265" s="336"/>
      <c r="ER265" s="342"/>
      <c r="ES265" s="336"/>
      <c r="ET265" s="342"/>
      <c r="EU265" s="336"/>
      <c r="EV265" s="342"/>
      <c r="EW265" s="336"/>
      <c r="EX265" s="342"/>
      <c r="EY265" s="342"/>
      <c r="EZ265" s="342"/>
      <c r="FA265" s="337"/>
      <c r="FE265" s="338"/>
      <c r="FH265" s="338"/>
      <c r="FI265" s="338"/>
      <c r="FJ265" s="338"/>
      <c r="FK265" s="338"/>
      <c r="FL265" s="338"/>
      <c r="FM265" s="337"/>
      <c r="FN265" s="336"/>
      <c r="FO265" s="336"/>
      <c r="FP265" s="336"/>
      <c r="FQ265" s="336"/>
      <c r="FR265" s="336"/>
      <c r="FS265" s="336"/>
      <c r="FT265" s="336"/>
      <c r="FU265" s="336"/>
      <c r="FV265" s="336"/>
      <c r="FW265" s="337"/>
      <c r="FX265" s="532"/>
      <c r="FY265" s="341"/>
      <c r="FZ265" s="341"/>
      <c r="GA265" s="336"/>
      <c r="GB265" s="341"/>
      <c r="GC265" s="341"/>
      <c r="GD265" s="341"/>
      <c r="GE265" s="336"/>
      <c r="GF265" s="336"/>
      <c r="GG265" s="336"/>
      <c r="GH265" s="336"/>
      <c r="GI265" s="336"/>
      <c r="GJ265" s="337"/>
      <c r="GM265" s="338"/>
      <c r="GN265" s="338"/>
      <c r="GO265" s="338"/>
      <c r="GS265" s="338"/>
      <c r="GT265" s="338"/>
      <c r="GU265" s="338"/>
      <c r="GY265" s="338"/>
      <c r="GZ265" s="338"/>
      <c r="HA265" s="338"/>
      <c r="HE265" s="338"/>
      <c r="HF265" s="338"/>
      <c r="HG265" s="338"/>
      <c r="HN265" s="68"/>
      <c r="HO265" s="68"/>
      <c r="HP265" s="68"/>
      <c r="HQ265" s="336"/>
      <c r="HR265" s="68"/>
      <c r="HS265" s="68"/>
      <c r="HT265" s="10"/>
      <c r="HW265" s="338"/>
      <c r="HX265" s="338"/>
      <c r="HY265" s="338"/>
      <c r="IC265" s="338"/>
      <c r="ID265" s="338"/>
      <c r="IE265" s="338"/>
      <c r="II265" s="338"/>
      <c r="IJ265" s="338"/>
      <c r="IK265" s="338"/>
      <c r="IO265" s="338"/>
      <c r="IP265" s="338"/>
      <c r="IQ265" s="338"/>
      <c r="IX265" s="68"/>
      <c r="IY265" s="68"/>
      <c r="IZ265" s="68"/>
      <c r="JA265" s="68"/>
      <c r="JB265" s="68"/>
      <c r="JC265" s="68"/>
      <c r="JD265" s="10"/>
      <c r="JG265" s="338"/>
      <c r="JH265" s="338"/>
      <c r="JI265" s="338"/>
      <c r="JM265" s="338"/>
      <c r="JN265" s="338"/>
      <c r="JQ265" s="338"/>
      <c r="JR265" s="338"/>
      <c r="JS265" s="338"/>
      <c r="JW265" s="358"/>
      <c r="JX265" s="336"/>
      <c r="JY265" s="336"/>
      <c r="JZ265" s="336"/>
      <c r="KA265" s="336"/>
      <c r="KB265" s="336"/>
      <c r="KC265" s="336"/>
      <c r="KD265" s="336"/>
      <c r="KE265" s="336"/>
      <c r="KF265" s="336"/>
      <c r="KG265" s="337"/>
      <c r="KH265" s="338"/>
      <c r="KI265" s="338"/>
      <c r="KJ265" s="338"/>
      <c r="KK265" s="338"/>
      <c r="KL265" s="338"/>
      <c r="KM265" s="338"/>
      <c r="KN265" s="338"/>
      <c r="KO265" s="338"/>
      <c r="KP265" s="338"/>
      <c r="KQ265" s="338"/>
      <c r="KR265" s="338"/>
      <c r="KS265" s="338"/>
      <c r="KT265" s="338"/>
      <c r="KU265" s="338"/>
      <c r="KV265" s="338"/>
      <c r="KW265" s="337"/>
      <c r="KX265" s="336"/>
      <c r="KY265" s="336"/>
      <c r="KZ265" s="336"/>
      <c r="LA265" s="336"/>
      <c r="LB265" s="336"/>
      <c r="LC265" s="336"/>
      <c r="LD265" s="336"/>
      <c r="LE265" s="336"/>
      <c r="LF265" s="336"/>
      <c r="LG265" s="336"/>
      <c r="LH265" s="336"/>
      <c r="LI265" s="336"/>
      <c r="LJ265" s="336"/>
      <c r="LK265" s="336"/>
      <c r="LL265" s="336"/>
      <c r="LM265" s="336"/>
      <c r="LN265" s="336"/>
      <c r="LO265" s="336"/>
      <c r="LP265" s="336"/>
      <c r="LQ265" s="337"/>
      <c r="MN265" s="10"/>
      <c r="OA265" s="10"/>
    </row>
    <row r="266" spans="1:391" s="370" customFormat="1" x14ac:dyDescent="0.25">
      <c r="A266" s="68"/>
      <c r="B266" s="10"/>
      <c r="C266" s="68"/>
      <c r="D266" s="68"/>
      <c r="E266" s="68"/>
      <c r="F266" s="68"/>
      <c r="G266" s="68"/>
      <c r="H266" s="68"/>
      <c r="I266" s="68"/>
      <c r="J266" s="68"/>
      <c r="K266" s="68"/>
      <c r="L266" s="68"/>
      <c r="M266" s="68"/>
      <c r="N266" s="68"/>
      <c r="O266" s="68"/>
      <c r="P266" s="68"/>
      <c r="Q266" s="68"/>
      <c r="R266" s="68"/>
      <c r="S266" s="68"/>
      <c r="T266" s="70"/>
      <c r="AC266" s="68"/>
      <c r="AD266" s="70"/>
      <c r="AM266" s="68"/>
      <c r="AN266" s="70"/>
      <c r="AU266" s="68"/>
      <c r="AV266" s="70"/>
      <c r="BB266" s="68"/>
      <c r="BC266" s="70"/>
      <c r="BD266" s="68"/>
      <c r="BE266" s="68"/>
      <c r="BF266" s="68"/>
      <c r="BG266" s="68"/>
      <c r="BH266" s="68"/>
      <c r="BI266" s="68"/>
      <c r="BJ266" s="70"/>
      <c r="BM266" s="68"/>
      <c r="BN266" s="70"/>
      <c r="BT266" s="68"/>
      <c r="BU266" s="70"/>
      <c r="BZ266" s="10"/>
      <c r="CF266" s="10"/>
      <c r="CI266" s="389"/>
      <c r="CJ266" s="389"/>
      <c r="CK266" s="68"/>
      <c r="CL266" s="70"/>
      <c r="CO266" s="10"/>
      <c r="CU266" s="10"/>
      <c r="DA266" s="10"/>
      <c r="DB266" s="70"/>
      <c r="DC266" s="70"/>
      <c r="DF266" s="68"/>
      <c r="DG266" s="70"/>
      <c r="DH266" s="68"/>
      <c r="DI266" s="386"/>
      <c r="DJ266" s="425"/>
      <c r="DL266" s="68"/>
      <c r="DM266" s="70"/>
      <c r="DQ266" s="68"/>
      <c r="DR266" s="70"/>
      <c r="DS266" s="338"/>
      <c r="DT266" s="338"/>
      <c r="DU266" s="338"/>
      <c r="DW266" s="338"/>
      <c r="DX266" s="338"/>
      <c r="DY266" s="338"/>
      <c r="EA266" s="338"/>
      <c r="EB266" s="338"/>
      <c r="EC266" s="338"/>
      <c r="EE266" s="338"/>
      <c r="EF266" s="338"/>
      <c r="EG266" s="338"/>
      <c r="EI266" s="336"/>
      <c r="EJ266" s="336"/>
      <c r="EK266" s="336"/>
      <c r="EL266" s="336"/>
      <c r="EM266" s="336"/>
      <c r="EN266" s="336"/>
      <c r="EO266" s="337"/>
      <c r="EP266" s="342"/>
      <c r="EQ266" s="336"/>
      <c r="ER266" s="342"/>
      <c r="ES266" s="336"/>
      <c r="ET266" s="342"/>
      <c r="EU266" s="336"/>
      <c r="EV266" s="342"/>
      <c r="EW266" s="336"/>
      <c r="EX266" s="342"/>
      <c r="EY266" s="342"/>
      <c r="EZ266" s="342"/>
      <c r="FA266" s="337"/>
      <c r="FE266" s="338"/>
      <c r="FH266" s="338"/>
      <c r="FI266" s="338"/>
      <c r="FJ266" s="338"/>
      <c r="FK266" s="338"/>
      <c r="FL266" s="338"/>
      <c r="FM266" s="337"/>
      <c r="FN266" s="336"/>
      <c r="FO266" s="336"/>
      <c r="FP266" s="336"/>
      <c r="FQ266" s="336"/>
      <c r="FR266" s="336"/>
      <c r="FS266" s="336"/>
      <c r="FT266" s="336"/>
      <c r="FU266" s="336"/>
      <c r="FV266" s="336"/>
      <c r="FW266" s="337"/>
      <c r="FX266" s="532"/>
      <c r="FY266" s="341"/>
      <c r="FZ266" s="341"/>
      <c r="GA266" s="336"/>
      <c r="GB266" s="341"/>
      <c r="GC266" s="341"/>
      <c r="GD266" s="341"/>
      <c r="GE266" s="336"/>
      <c r="GF266" s="336"/>
      <c r="GG266" s="336"/>
      <c r="GH266" s="336"/>
      <c r="GI266" s="336"/>
      <c r="GJ266" s="337"/>
      <c r="GM266" s="338"/>
      <c r="GN266" s="338"/>
      <c r="GO266" s="338"/>
      <c r="GS266" s="338"/>
      <c r="GT266" s="338"/>
      <c r="GU266" s="338"/>
      <c r="GY266" s="338"/>
      <c r="GZ266" s="338"/>
      <c r="HA266" s="338"/>
      <c r="HE266" s="338"/>
      <c r="HF266" s="338"/>
      <c r="HG266" s="338"/>
      <c r="HN266" s="68"/>
      <c r="HO266" s="68"/>
      <c r="HP266" s="68"/>
      <c r="HQ266" s="336"/>
      <c r="HR266" s="68"/>
      <c r="HS266" s="68"/>
      <c r="HT266" s="10"/>
      <c r="HW266" s="338"/>
      <c r="HX266" s="338"/>
      <c r="HY266" s="338"/>
      <c r="IC266" s="338"/>
      <c r="ID266" s="338"/>
      <c r="IE266" s="338"/>
      <c r="II266" s="338"/>
      <c r="IJ266" s="338"/>
      <c r="IK266" s="338"/>
      <c r="IO266" s="338"/>
      <c r="IP266" s="338"/>
      <c r="IQ266" s="338"/>
      <c r="IX266" s="68"/>
      <c r="IY266" s="68"/>
      <c r="IZ266" s="68"/>
      <c r="JA266" s="68"/>
      <c r="JB266" s="68"/>
      <c r="JC266" s="68"/>
      <c r="JD266" s="10"/>
      <c r="JG266" s="338"/>
      <c r="JH266" s="338"/>
      <c r="JI266" s="338"/>
      <c r="JM266" s="338"/>
      <c r="JN266" s="338"/>
      <c r="JQ266" s="338"/>
      <c r="JR266" s="338"/>
      <c r="JS266" s="338"/>
      <c r="JW266" s="358"/>
      <c r="JX266" s="336"/>
      <c r="JY266" s="336"/>
      <c r="JZ266" s="336"/>
      <c r="KA266" s="336"/>
      <c r="KB266" s="336"/>
      <c r="KC266" s="336"/>
      <c r="KD266" s="336"/>
      <c r="KE266" s="336"/>
      <c r="KF266" s="336"/>
      <c r="KG266" s="337"/>
      <c r="KH266" s="338"/>
      <c r="KI266" s="338"/>
      <c r="KJ266" s="338"/>
      <c r="KK266" s="338"/>
      <c r="KL266" s="338"/>
      <c r="KM266" s="338"/>
      <c r="KN266" s="338"/>
      <c r="KO266" s="338"/>
      <c r="KP266" s="338"/>
      <c r="KQ266" s="338"/>
      <c r="KR266" s="338"/>
      <c r="KS266" s="338"/>
      <c r="KT266" s="338"/>
      <c r="KU266" s="338"/>
      <c r="KV266" s="338"/>
      <c r="KW266" s="337"/>
      <c r="KX266" s="336"/>
      <c r="KY266" s="336"/>
      <c r="KZ266" s="336"/>
      <c r="LA266" s="336"/>
      <c r="LB266" s="336"/>
      <c r="LC266" s="336"/>
      <c r="LD266" s="336"/>
      <c r="LE266" s="336"/>
      <c r="LF266" s="336"/>
      <c r="LG266" s="336"/>
      <c r="LH266" s="336"/>
      <c r="LI266" s="336"/>
      <c r="LJ266" s="336"/>
      <c r="LK266" s="336"/>
      <c r="LL266" s="336"/>
      <c r="LM266" s="336"/>
      <c r="LN266" s="336"/>
      <c r="LO266" s="336"/>
      <c r="LP266" s="336"/>
      <c r="LQ266" s="337"/>
      <c r="MN266" s="10"/>
      <c r="OA266" s="10"/>
    </row>
    <row r="267" spans="1:391" s="370" customFormat="1" x14ac:dyDescent="0.25">
      <c r="A267" s="68"/>
      <c r="B267" s="10"/>
      <c r="C267" s="68"/>
      <c r="D267" s="68"/>
      <c r="E267" s="68"/>
      <c r="F267" s="68"/>
      <c r="G267" s="68"/>
      <c r="H267" s="68"/>
      <c r="I267" s="68"/>
      <c r="J267" s="68"/>
      <c r="K267" s="68"/>
      <c r="L267" s="68"/>
      <c r="M267" s="68"/>
      <c r="N267" s="68"/>
      <c r="O267" s="68"/>
      <c r="P267" s="68"/>
      <c r="Q267" s="68"/>
      <c r="R267" s="68"/>
      <c r="S267" s="68"/>
      <c r="T267" s="70"/>
      <c r="AC267" s="68"/>
      <c r="AD267" s="70"/>
      <c r="AM267" s="68"/>
      <c r="AN267" s="70"/>
      <c r="AU267" s="68"/>
      <c r="AV267" s="70"/>
      <c r="BB267" s="68"/>
      <c r="BC267" s="70"/>
      <c r="BD267" s="68"/>
      <c r="BE267" s="68"/>
      <c r="BF267" s="68"/>
      <c r="BG267" s="68"/>
      <c r="BH267" s="68"/>
      <c r="BI267" s="68"/>
      <c r="BJ267" s="70"/>
      <c r="BM267" s="68"/>
      <c r="BN267" s="70"/>
      <c r="BT267" s="68"/>
      <c r="BU267" s="70"/>
      <c r="BZ267" s="10"/>
      <c r="CF267" s="10"/>
      <c r="CI267" s="389"/>
      <c r="CJ267" s="389"/>
      <c r="CK267" s="68"/>
      <c r="CL267" s="70"/>
      <c r="CO267" s="10"/>
      <c r="CU267" s="10"/>
      <c r="DA267" s="10"/>
      <c r="DB267" s="70"/>
      <c r="DC267" s="70"/>
      <c r="DF267" s="68"/>
      <c r="DG267" s="70"/>
      <c r="DH267" s="68"/>
      <c r="DI267" s="386"/>
      <c r="DJ267" s="425"/>
      <c r="DL267" s="68"/>
      <c r="DM267" s="70"/>
      <c r="DQ267" s="68"/>
      <c r="DR267" s="70"/>
      <c r="DS267" s="338"/>
      <c r="DT267" s="338"/>
      <c r="DU267" s="338"/>
      <c r="DW267" s="338"/>
      <c r="DX267" s="338"/>
      <c r="DY267" s="338"/>
      <c r="EA267" s="338"/>
      <c r="EB267" s="338"/>
      <c r="EC267" s="338"/>
      <c r="EE267" s="338"/>
      <c r="EF267" s="338"/>
      <c r="EG267" s="338"/>
      <c r="EI267" s="336"/>
      <c r="EJ267" s="336"/>
      <c r="EK267" s="336"/>
      <c r="EL267" s="336"/>
      <c r="EM267" s="336"/>
      <c r="EN267" s="336"/>
      <c r="EO267" s="337"/>
      <c r="EP267" s="342"/>
      <c r="EQ267" s="336"/>
      <c r="ER267" s="342"/>
      <c r="ES267" s="336"/>
      <c r="ET267" s="342"/>
      <c r="EU267" s="336"/>
      <c r="EV267" s="342"/>
      <c r="EW267" s="336"/>
      <c r="EX267" s="342"/>
      <c r="EY267" s="342"/>
      <c r="EZ267" s="342"/>
      <c r="FA267" s="337"/>
      <c r="FE267" s="338"/>
      <c r="FH267" s="338"/>
      <c r="FI267" s="338"/>
      <c r="FJ267" s="338"/>
      <c r="FK267" s="338"/>
      <c r="FL267" s="338"/>
      <c r="FM267" s="337"/>
      <c r="FN267" s="336"/>
      <c r="FO267" s="336"/>
      <c r="FP267" s="336"/>
      <c r="FQ267" s="336"/>
      <c r="FR267" s="336"/>
      <c r="FS267" s="336"/>
      <c r="FT267" s="336"/>
      <c r="FU267" s="336"/>
      <c r="FV267" s="336"/>
      <c r="FW267" s="337"/>
      <c r="FX267" s="532"/>
      <c r="FY267" s="341"/>
      <c r="FZ267" s="341"/>
      <c r="GA267" s="336"/>
      <c r="GB267" s="341"/>
      <c r="GC267" s="341"/>
      <c r="GD267" s="341"/>
      <c r="GE267" s="336"/>
      <c r="GF267" s="336"/>
      <c r="GG267" s="336"/>
      <c r="GH267" s="336"/>
      <c r="GI267" s="336"/>
      <c r="GJ267" s="337"/>
      <c r="GM267" s="338"/>
      <c r="GN267" s="338"/>
      <c r="GO267" s="338"/>
      <c r="GS267" s="338"/>
      <c r="GT267" s="338"/>
      <c r="GU267" s="338"/>
      <c r="GY267" s="338"/>
      <c r="GZ267" s="338"/>
      <c r="HA267" s="338"/>
      <c r="HE267" s="338"/>
      <c r="HF267" s="338"/>
      <c r="HG267" s="338"/>
      <c r="HN267" s="68"/>
      <c r="HO267" s="68"/>
      <c r="HP267" s="68"/>
      <c r="HQ267" s="336"/>
      <c r="HR267" s="68"/>
      <c r="HS267" s="68"/>
      <c r="HT267" s="10"/>
      <c r="HW267" s="338"/>
      <c r="HX267" s="338"/>
      <c r="HY267" s="338"/>
      <c r="IC267" s="338"/>
      <c r="ID267" s="338"/>
      <c r="IE267" s="338"/>
      <c r="II267" s="338"/>
      <c r="IJ267" s="338"/>
      <c r="IK267" s="338"/>
      <c r="IO267" s="338"/>
      <c r="IP267" s="338"/>
      <c r="IQ267" s="338"/>
      <c r="IX267" s="68"/>
      <c r="IY267" s="68"/>
      <c r="IZ267" s="68"/>
      <c r="JA267" s="68"/>
      <c r="JB267" s="68"/>
      <c r="JC267" s="68"/>
      <c r="JD267" s="10"/>
      <c r="JG267" s="338"/>
      <c r="JH267" s="338"/>
      <c r="JI267" s="338"/>
      <c r="JM267" s="338"/>
      <c r="JN267" s="338"/>
      <c r="JQ267" s="338"/>
      <c r="JR267" s="338"/>
      <c r="JS267" s="338"/>
      <c r="JW267" s="358"/>
      <c r="JX267" s="336"/>
      <c r="JY267" s="336"/>
      <c r="JZ267" s="336"/>
      <c r="KA267" s="336"/>
      <c r="KB267" s="336"/>
      <c r="KC267" s="336"/>
      <c r="KD267" s="336"/>
      <c r="KE267" s="336"/>
      <c r="KF267" s="336"/>
      <c r="KG267" s="337"/>
      <c r="KH267" s="338"/>
      <c r="KI267" s="338"/>
      <c r="KJ267" s="338"/>
      <c r="KK267" s="338"/>
      <c r="KL267" s="338"/>
      <c r="KM267" s="338"/>
      <c r="KN267" s="338"/>
      <c r="KO267" s="338"/>
      <c r="KP267" s="338"/>
      <c r="KQ267" s="338"/>
      <c r="KR267" s="338"/>
      <c r="KS267" s="338"/>
      <c r="KT267" s="338"/>
      <c r="KU267" s="338"/>
      <c r="KV267" s="338"/>
      <c r="KW267" s="337"/>
      <c r="KX267" s="336"/>
      <c r="KY267" s="336"/>
      <c r="KZ267" s="336"/>
      <c r="LA267" s="336"/>
      <c r="LB267" s="336"/>
      <c r="LC267" s="336"/>
      <c r="LD267" s="336"/>
      <c r="LE267" s="336"/>
      <c r="LF267" s="336"/>
      <c r="LG267" s="336"/>
      <c r="LH267" s="336"/>
      <c r="LI267" s="336"/>
      <c r="LJ267" s="336"/>
      <c r="LK267" s="336"/>
      <c r="LL267" s="336"/>
      <c r="LM267" s="336"/>
      <c r="LN267" s="336"/>
      <c r="LO267" s="336"/>
      <c r="LP267" s="336"/>
      <c r="LQ267" s="337"/>
      <c r="MN267" s="10"/>
      <c r="OA267" s="10"/>
    </row>
    <row r="268" spans="1:391" s="370" customFormat="1" x14ac:dyDescent="0.25">
      <c r="A268" s="68"/>
      <c r="B268" s="10"/>
      <c r="C268" s="68"/>
      <c r="D268" s="68"/>
      <c r="E268" s="68"/>
      <c r="F268" s="68"/>
      <c r="G268" s="68"/>
      <c r="H268" s="68"/>
      <c r="I268" s="68"/>
      <c r="J268" s="68"/>
      <c r="K268" s="68"/>
      <c r="L268" s="68"/>
      <c r="M268" s="68"/>
      <c r="N268" s="68"/>
      <c r="O268" s="68"/>
      <c r="P268" s="68"/>
      <c r="Q268" s="68"/>
      <c r="R268" s="68"/>
      <c r="S268" s="68"/>
      <c r="T268" s="70"/>
      <c r="AC268" s="68"/>
      <c r="AD268" s="70"/>
      <c r="AM268" s="68"/>
      <c r="AN268" s="70"/>
      <c r="AU268" s="68"/>
      <c r="AV268" s="70"/>
      <c r="BB268" s="68"/>
      <c r="BC268" s="70"/>
      <c r="BD268" s="68"/>
      <c r="BE268" s="68"/>
      <c r="BF268" s="68"/>
      <c r="BG268" s="68"/>
      <c r="BH268" s="68"/>
      <c r="BI268" s="68"/>
      <c r="BJ268" s="70"/>
      <c r="BM268" s="68"/>
      <c r="BN268" s="70"/>
      <c r="BT268" s="68"/>
      <c r="BU268" s="70"/>
      <c r="BZ268" s="10"/>
      <c r="CF268" s="10"/>
      <c r="CI268" s="389"/>
      <c r="CJ268" s="389"/>
      <c r="CK268" s="68"/>
      <c r="CL268" s="70"/>
      <c r="CO268" s="10"/>
      <c r="CU268" s="10"/>
      <c r="DA268" s="10"/>
      <c r="DB268" s="70"/>
      <c r="DC268" s="70"/>
      <c r="DF268" s="68"/>
      <c r="DG268" s="70"/>
      <c r="DH268" s="68"/>
      <c r="DI268" s="386"/>
      <c r="DJ268" s="425"/>
      <c r="DL268" s="68"/>
      <c r="DM268" s="70"/>
      <c r="DQ268" s="68"/>
      <c r="DR268" s="70"/>
      <c r="DS268" s="338"/>
      <c r="DT268" s="338"/>
      <c r="DU268" s="338"/>
      <c r="DW268" s="338"/>
      <c r="DX268" s="338"/>
      <c r="DY268" s="338"/>
      <c r="EA268" s="338"/>
      <c r="EB268" s="338"/>
      <c r="EC268" s="338"/>
      <c r="EE268" s="338"/>
      <c r="EF268" s="338"/>
      <c r="EG268" s="338"/>
      <c r="EI268" s="336"/>
      <c r="EJ268" s="336"/>
      <c r="EK268" s="336"/>
      <c r="EL268" s="336"/>
      <c r="EM268" s="336"/>
      <c r="EN268" s="336"/>
      <c r="EO268" s="337"/>
      <c r="EP268" s="342"/>
      <c r="EQ268" s="336"/>
      <c r="ER268" s="342"/>
      <c r="ES268" s="336"/>
      <c r="ET268" s="342"/>
      <c r="EU268" s="336"/>
      <c r="EV268" s="342"/>
      <c r="EW268" s="336"/>
      <c r="EX268" s="342"/>
      <c r="EY268" s="342"/>
      <c r="EZ268" s="342"/>
      <c r="FA268" s="337"/>
      <c r="FE268" s="338"/>
      <c r="FH268" s="338"/>
      <c r="FI268" s="338"/>
      <c r="FJ268" s="338"/>
      <c r="FK268" s="338"/>
      <c r="FL268" s="338"/>
      <c r="FM268" s="337"/>
      <c r="FN268" s="336"/>
      <c r="FO268" s="336"/>
      <c r="FP268" s="336"/>
      <c r="FQ268" s="336"/>
      <c r="FR268" s="336"/>
      <c r="FS268" s="336"/>
      <c r="FT268" s="336"/>
      <c r="FU268" s="336"/>
      <c r="FV268" s="336"/>
      <c r="FW268" s="337"/>
      <c r="FX268" s="532"/>
      <c r="FY268" s="341"/>
      <c r="FZ268" s="341"/>
      <c r="GA268" s="336"/>
      <c r="GB268" s="341"/>
      <c r="GC268" s="341"/>
      <c r="GD268" s="341"/>
      <c r="GE268" s="336"/>
      <c r="GF268" s="336"/>
      <c r="GG268" s="336"/>
      <c r="GH268" s="336"/>
      <c r="GI268" s="336"/>
      <c r="GJ268" s="337"/>
      <c r="GM268" s="338"/>
      <c r="GN268" s="338"/>
      <c r="GO268" s="338"/>
      <c r="GS268" s="338"/>
      <c r="GT268" s="338"/>
      <c r="GU268" s="338"/>
      <c r="GY268" s="338"/>
      <c r="GZ268" s="338"/>
      <c r="HA268" s="338"/>
      <c r="HE268" s="338"/>
      <c r="HF268" s="338"/>
      <c r="HG268" s="338"/>
      <c r="HN268" s="68"/>
      <c r="HO268" s="68"/>
      <c r="HP268" s="68"/>
      <c r="HQ268" s="336"/>
      <c r="HR268" s="68"/>
      <c r="HS268" s="68"/>
      <c r="HT268" s="10"/>
      <c r="HW268" s="338"/>
      <c r="HX268" s="338"/>
      <c r="HY268" s="338"/>
      <c r="IC268" s="338"/>
      <c r="ID268" s="338"/>
      <c r="IE268" s="338"/>
      <c r="II268" s="338"/>
      <c r="IJ268" s="338"/>
      <c r="IK268" s="338"/>
      <c r="IO268" s="338"/>
      <c r="IP268" s="338"/>
      <c r="IQ268" s="338"/>
      <c r="IX268" s="68"/>
      <c r="IY268" s="68"/>
      <c r="IZ268" s="68"/>
      <c r="JA268" s="68"/>
      <c r="JB268" s="68"/>
      <c r="JC268" s="68"/>
      <c r="JD268" s="10"/>
      <c r="JG268" s="338"/>
      <c r="JH268" s="338"/>
      <c r="JI268" s="338"/>
      <c r="JM268" s="338"/>
      <c r="JN268" s="338"/>
      <c r="JQ268" s="338"/>
      <c r="JR268" s="338"/>
      <c r="JS268" s="338"/>
      <c r="JW268" s="358"/>
      <c r="JX268" s="336"/>
      <c r="JY268" s="336"/>
      <c r="JZ268" s="336"/>
      <c r="KA268" s="336"/>
      <c r="KB268" s="336"/>
      <c r="KC268" s="336"/>
      <c r="KD268" s="336"/>
      <c r="KE268" s="336"/>
      <c r="KF268" s="336"/>
      <c r="KG268" s="337"/>
      <c r="KH268" s="338"/>
      <c r="KI268" s="338"/>
      <c r="KJ268" s="338"/>
      <c r="KK268" s="338"/>
      <c r="KL268" s="338"/>
      <c r="KM268" s="338"/>
      <c r="KN268" s="338"/>
      <c r="KO268" s="338"/>
      <c r="KP268" s="338"/>
      <c r="KQ268" s="338"/>
      <c r="KR268" s="338"/>
      <c r="KS268" s="338"/>
      <c r="KT268" s="338"/>
      <c r="KU268" s="338"/>
      <c r="KV268" s="338"/>
      <c r="KW268" s="337"/>
      <c r="KX268" s="336"/>
      <c r="KY268" s="336"/>
      <c r="KZ268" s="336"/>
      <c r="LA268" s="336"/>
      <c r="LB268" s="336"/>
      <c r="LC268" s="336"/>
      <c r="LD268" s="336"/>
      <c r="LE268" s="336"/>
      <c r="LF268" s="336"/>
      <c r="LG268" s="336"/>
      <c r="LH268" s="336"/>
      <c r="LI268" s="336"/>
      <c r="LJ268" s="336"/>
      <c r="LK268" s="336"/>
      <c r="LL268" s="336"/>
      <c r="LM268" s="336"/>
      <c r="LN268" s="336"/>
      <c r="LO268" s="336"/>
      <c r="LP268" s="336"/>
      <c r="LQ268" s="337"/>
      <c r="MN268" s="10"/>
      <c r="OA268" s="10"/>
    </row>
    <row r="269" spans="1:391" s="370" customFormat="1" x14ac:dyDescent="0.25">
      <c r="A269" s="68"/>
      <c r="B269" s="10"/>
      <c r="C269" s="68"/>
      <c r="D269" s="68"/>
      <c r="E269" s="68"/>
      <c r="F269" s="68"/>
      <c r="G269" s="68"/>
      <c r="H269" s="68"/>
      <c r="I269" s="68"/>
      <c r="J269" s="68"/>
      <c r="K269" s="68"/>
      <c r="L269" s="68"/>
      <c r="M269" s="68"/>
      <c r="N269" s="68"/>
      <c r="O269" s="68"/>
      <c r="P269" s="68"/>
      <c r="Q269" s="68"/>
      <c r="R269" s="68"/>
      <c r="S269" s="68"/>
      <c r="T269" s="70"/>
      <c r="AC269" s="68"/>
      <c r="AD269" s="70"/>
      <c r="AM269" s="68"/>
      <c r="AN269" s="70"/>
      <c r="AU269" s="68"/>
      <c r="AV269" s="70"/>
      <c r="BB269" s="68"/>
      <c r="BC269" s="70"/>
      <c r="BD269" s="68"/>
      <c r="BE269" s="68"/>
      <c r="BF269" s="68"/>
      <c r="BG269" s="68"/>
      <c r="BH269" s="68"/>
      <c r="BI269" s="68"/>
      <c r="BJ269" s="70"/>
      <c r="BM269" s="68"/>
      <c r="BN269" s="70"/>
      <c r="BT269" s="68"/>
      <c r="BU269" s="70"/>
      <c r="BZ269" s="10"/>
      <c r="CF269" s="10"/>
      <c r="CI269" s="389"/>
      <c r="CJ269" s="389"/>
      <c r="CK269" s="68"/>
      <c r="CL269" s="70"/>
      <c r="CO269" s="10"/>
      <c r="CU269" s="10"/>
      <c r="DA269" s="10"/>
      <c r="DB269" s="70"/>
      <c r="DC269" s="70"/>
      <c r="DF269" s="68"/>
      <c r="DG269" s="70"/>
      <c r="DH269" s="68"/>
      <c r="DI269" s="386"/>
      <c r="DJ269" s="425"/>
      <c r="DL269" s="68"/>
      <c r="DM269" s="70"/>
      <c r="DQ269" s="68"/>
      <c r="DR269" s="70"/>
      <c r="DS269" s="338"/>
      <c r="DT269" s="338"/>
      <c r="DU269" s="338"/>
      <c r="DW269" s="338"/>
      <c r="DX269" s="338"/>
      <c r="DY269" s="338"/>
      <c r="EA269" s="338"/>
      <c r="EB269" s="338"/>
      <c r="EC269" s="338"/>
      <c r="EE269" s="338"/>
      <c r="EF269" s="338"/>
      <c r="EG269" s="338"/>
      <c r="EI269" s="336"/>
      <c r="EJ269" s="336"/>
      <c r="EK269" s="336"/>
      <c r="EL269" s="336"/>
      <c r="EM269" s="336"/>
      <c r="EN269" s="336"/>
      <c r="EO269" s="337"/>
      <c r="EP269" s="342"/>
      <c r="EQ269" s="336"/>
      <c r="ER269" s="342"/>
      <c r="ES269" s="336"/>
      <c r="ET269" s="342"/>
      <c r="EU269" s="336"/>
      <c r="EV269" s="342"/>
      <c r="EW269" s="336"/>
      <c r="EX269" s="342"/>
      <c r="EY269" s="342"/>
      <c r="EZ269" s="342"/>
      <c r="FA269" s="337"/>
      <c r="FE269" s="338"/>
      <c r="FH269" s="338"/>
      <c r="FI269" s="338"/>
      <c r="FJ269" s="338"/>
      <c r="FK269" s="338"/>
      <c r="FL269" s="338"/>
      <c r="FM269" s="337"/>
      <c r="FN269" s="336"/>
      <c r="FO269" s="336"/>
      <c r="FP269" s="336"/>
      <c r="FQ269" s="336"/>
      <c r="FR269" s="336"/>
      <c r="FS269" s="336"/>
      <c r="FT269" s="336"/>
      <c r="FU269" s="336"/>
      <c r="FV269" s="336"/>
      <c r="FW269" s="337"/>
      <c r="FX269" s="532"/>
      <c r="FY269" s="341"/>
      <c r="FZ269" s="341"/>
      <c r="GA269" s="336"/>
      <c r="GB269" s="341"/>
      <c r="GC269" s="341"/>
      <c r="GD269" s="341"/>
      <c r="GE269" s="336"/>
      <c r="GF269" s="336"/>
      <c r="GG269" s="336"/>
      <c r="GH269" s="336"/>
      <c r="GI269" s="336"/>
      <c r="GJ269" s="337"/>
      <c r="GM269" s="338"/>
      <c r="GN269" s="338"/>
      <c r="GO269" s="338"/>
      <c r="GS269" s="338"/>
      <c r="GT269" s="338"/>
      <c r="GU269" s="338"/>
      <c r="GY269" s="338"/>
      <c r="GZ269" s="338"/>
      <c r="HA269" s="338"/>
      <c r="HE269" s="338"/>
      <c r="HF269" s="338"/>
      <c r="HG269" s="338"/>
      <c r="HN269" s="68"/>
      <c r="HO269" s="68"/>
      <c r="HP269" s="68"/>
      <c r="HQ269" s="336"/>
      <c r="HR269" s="68"/>
      <c r="HS269" s="68"/>
      <c r="HT269" s="10"/>
      <c r="HW269" s="338"/>
      <c r="HX269" s="338"/>
      <c r="HY269" s="338"/>
      <c r="IC269" s="338"/>
      <c r="ID269" s="338"/>
      <c r="IE269" s="338"/>
      <c r="II269" s="338"/>
      <c r="IJ269" s="338"/>
      <c r="IK269" s="338"/>
      <c r="IO269" s="338"/>
      <c r="IP269" s="338"/>
      <c r="IQ269" s="338"/>
      <c r="IX269" s="68"/>
      <c r="IY269" s="68"/>
      <c r="IZ269" s="68"/>
      <c r="JA269" s="68"/>
      <c r="JB269" s="68"/>
      <c r="JC269" s="68"/>
      <c r="JD269" s="10"/>
      <c r="JG269" s="338"/>
      <c r="JH269" s="338"/>
      <c r="JI269" s="338"/>
      <c r="JM269" s="338"/>
      <c r="JN269" s="338"/>
      <c r="JQ269" s="338"/>
      <c r="JR269" s="338"/>
      <c r="JS269" s="338"/>
      <c r="JW269" s="358"/>
      <c r="JX269" s="336"/>
      <c r="JY269" s="336"/>
      <c r="JZ269" s="336"/>
      <c r="KA269" s="336"/>
      <c r="KB269" s="336"/>
      <c r="KC269" s="336"/>
      <c r="KD269" s="336"/>
      <c r="KE269" s="336"/>
      <c r="KF269" s="336"/>
      <c r="KG269" s="337"/>
      <c r="KH269" s="338"/>
      <c r="KI269" s="338"/>
      <c r="KJ269" s="338"/>
      <c r="KK269" s="338"/>
      <c r="KL269" s="338"/>
      <c r="KM269" s="338"/>
      <c r="KN269" s="338"/>
      <c r="KO269" s="338"/>
      <c r="KP269" s="338"/>
      <c r="KQ269" s="338"/>
      <c r="KR269" s="338"/>
      <c r="KS269" s="338"/>
      <c r="KT269" s="338"/>
      <c r="KU269" s="338"/>
      <c r="KV269" s="338"/>
      <c r="KW269" s="337"/>
      <c r="KX269" s="336"/>
      <c r="KY269" s="336"/>
      <c r="KZ269" s="336"/>
      <c r="LA269" s="336"/>
      <c r="LB269" s="336"/>
      <c r="LC269" s="336"/>
      <c r="LD269" s="336"/>
      <c r="LE269" s="336"/>
      <c r="LF269" s="336"/>
      <c r="LG269" s="336"/>
      <c r="LH269" s="336"/>
      <c r="LI269" s="336"/>
      <c r="LJ269" s="336"/>
      <c r="LK269" s="336"/>
      <c r="LL269" s="336"/>
      <c r="LM269" s="336"/>
      <c r="LN269" s="336"/>
      <c r="LO269" s="336"/>
      <c r="LP269" s="336"/>
      <c r="LQ269" s="337"/>
      <c r="MN269" s="10"/>
      <c r="OA269" s="10"/>
    </row>
    <row r="270" spans="1:391" s="370" customFormat="1" x14ac:dyDescent="0.25">
      <c r="A270" s="68"/>
      <c r="B270" s="10"/>
      <c r="C270" s="68"/>
      <c r="D270" s="68"/>
      <c r="E270" s="68"/>
      <c r="F270" s="68"/>
      <c r="G270" s="68"/>
      <c r="H270" s="68"/>
      <c r="I270" s="68"/>
      <c r="J270" s="68"/>
      <c r="K270" s="68"/>
      <c r="L270" s="68"/>
      <c r="M270" s="68"/>
      <c r="N270" s="68"/>
      <c r="O270" s="68"/>
      <c r="P270" s="68"/>
      <c r="Q270" s="68"/>
      <c r="R270" s="68"/>
      <c r="S270" s="68"/>
      <c r="T270" s="70"/>
      <c r="AC270" s="68"/>
      <c r="AD270" s="70"/>
      <c r="AM270" s="68"/>
      <c r="AN270" s="70"/>
      <c r="AU270" s="68"/>
      <c r="AV270" s="70"/>
      <c r="BB270" s="68"/>
      <c r="BC270" s="70"/>
      <c r="BD270" s="68"/>
      <c r="BE270" s="68"/>
      <c r="BF270" s="68"/>
      <c r="BG270" s="68"/>
      <c r="BH270" s="68"/>
      <c r="BI270" s="68"/>
      <c r="BJ270" s="70"/>
      <c r="BM270" s="68"/>
      <c r="BN270" s="70"/>
      <c r="BT270" s="68"/>
      <c r="BU270" s="70"/>
      <c r="BZ270" s="10"/>
      <c r="CF270" s="10"/>
      <c r="CI270" s="389"/>
      <c r="CJ270" s="389"/>
      <c r="CK270" s="68"/>
      <c r="CL270" s="70"/>
      <c r="CO270" s="10"/>
      <c r="CU270" s="10"/>
      <c r="DA270" s="10"/>
      <c r="DB270" s="70"/>
      <c r="DC270" s="70"/>
      <c r="DF270" s="68"/>
      <c r="DG270" s="70"/>
      <c r="DH270" s="68"/>
      <c r="DI270" s="386"/>
      <c r="DJ270" s="425"/>
      <c r="DL270" s="68"/>
      <c r="DM270" s="70"/>
      <c r="DQ270" s="68"/>
      <c r="DR270" s="70"/>
      <c r="DS270" s="338"/>
      <c r="DT270" s="338"/>
      <c r="DU270" s="338"/>
      <c r="DW270" s="338"/>
      <c r="DX270" s="338"/>
      <c r="DY270" s="338"/>
      <c r="EA270" s="338"/>
      <c r="EB270" s="338"/>
      <c r="EC270" s="338"/>
      <c r="EE270" s="338"/>
      <c r="EF270" s="338"/>
      <c r="EG270" s="338"/>
      <c r="EI270" s="336"/>
      <c r="EJ270" s="336"/>
      <c r="EK270" s="336"/>
      <c r="EL270" s="336"/>
      <c r="EM270" s="336"/>
      <c r="EN270" s="336"/>
      <c r="EO270" s="337"/>
      <c r="EP270" s="342"/>
      <c r="EQ270" s="336"/>
      <c r="ER270" s="342"/>
      <c r="ES270" s="336"/>
      <c r="ET270" s="342"/>
      <c r="EU270" s="336"/>
      <c r="EV270" s="342"/>
      <c r="EW270" s="336"/>
      <c r="EX270" s="342"/>
      <c r="EY270" s="342"/>
      <c r="EZ270" s="342"/>
      <c r="FA270" s="337"/>
      <c r="FE270" s="338"/>
      <c r="FH270" s="338"/>
      <c r="FI270" s="338"/>
      <c r="FJ270" s="338"/>
      <c r="FK270" s="338"/>
      <c r="FL270" s="338"/>
      <c r="FM270" s="337"/>
      <c r="FN270" s="336"/>
      <c r="FO270" s="336"/>
      <c r="FP270" s="336"/>
      <c r="FQ270" s="336"/>
      <c r="FR270" s="336"/>
      <c r="FS270" s="336"/>
      <c r="FT270" s="336"/>
      <c r="FU270" s="336"/>
      <c r="FV270" s="336"/>
      <c r="FW270" s="337"/>
      <c r="FX270" s="532"/>
      <c r="FY270" s="341"/>
      <c r="FZ270" s="341"/>
      <c r="GA270" s="336"/>
      <c r="GB270" s="341"/>
      <c r="GC270" s="341"/>
      <c r="GD270" s="341"/>
      <c r="GE270" s="336"/>
      <c r="GF270" s="336"/>
      <c r="GG270" s="336"/>
      <c r="GH270" s="336"/>
      <c r="GI270" s="336"/>
      <c r="GJ270" s="337"/>
      <c r="GM270" s="338"/>
      <c r="GN270" s="338"/>
      <c r="GO270" s="338"/>
      <c r="GS270" s="338"/>
      <c r="GT270" s="338"/>
      <c r="GU270" s="338"/>
      <c r="GY270" s="338"/>
      <c r="GZ270" s="338"/>
      <c r="HA270" s="338"/>
      <c r="HE270" s="338"/>
      <c r="HF270" s="338"/>
      <c r="HG270" s="338"/>
      <c r="HN270" s="68"/>
      <c r="HO270" s="68"/>
      <c r="HP270" s="68"/>
      <c r="HQ270" s="336"/>
      <c r="HR270" s="68"/>
      <c r="HS270" s="68"/>
      <c r="HT270" s="10"/>
      <c r="HW270" s="338"/>
      <c r="HX270" s="338"/>
      <c r="HY270" s="338"/>
      <c r="IC270" s="338"/>
      <c r="ID270" s="338"/>
      <c r="IE270" s="338"/>
      <c r="II270" s="338"/>
      <c r="IJ270" s="338"/>
      <c r="IK270" s="338"/>
      <c r="IO270" s="338"/>
      <c r="IP270" s="338"/>
      <c r="IQ270" s="338"/>
      <c r="IX270" s="68"/>
      <c r="IY270" s="68"/>
      <c r="IZ270" s="68"/>
      <c r="JA270" s="68"/>
      <c r="JB270" s="68"/>
      <c r="JC270" s="68"/>
      <c r="JD270" s="10"/>
      <c r="JG270" s="338"/>
      <c r="JH270" s="338"/>
      <c r="JI270" s="338"/>
      <c r="JM270" s="338"/>
      <c r="JN270" s="338"/>
      <c r="JQ270" s="338"/>
      <c r="JR270" s="338"/>
      <c r="JS270" s="338"/>
      <c r="JW270" s="358"/>
      <c r="JX270" s="336"/>
      <c r="JY270" s="336"/>
      <c r="JZ270" s="336"/>
      <c r="KA270" s="336"/>
      <c r="KB270" s="336"/>
      <c r="KC270" s="336"/>
      <c r="KD270" s="336"/>
      <c r="KE270" s="336"/>
      <c r="KF270" s="336"/>
      <c r="KG270" s="337"/>
      <c r="KH270" s="338"/>
      <c r="KI270" s="338"/>
      <c r="KJ270" s="338"/>
      <c r="KK270" s="338"/>
      <c r="KL270" s="338"/>
      <c r="KM270" s="338"/>
      <c r="KN270" s="338"/>
      <c r="KO270" s="338"/>
      <c r="KP270" s="338"/>
      <c r="KQ270" s="338"/>
      <c r="KR270" s="338"/>
      <c r="KS270" s="338"/>
      <c r="KT270" s="338"/>
      <c r="KU270" s="338"/>
      <c r="KV270" s="338"/>
      <c r="KW270" s="337"/>
      <c r="KX270" s="336"/>
      <c r="KY270" s="336"/>
      <c r="KZ270" s="336"/>
      <c r="LA270" s="336"/>
      <c r="LB270" s="336"/>
      <c r="LC270" s="336"/>
      <c r="LD270" s="336"/>
      <c r="LE270" s="336"/>
      <c r="LF270" s="336"/>
      <c r="LG270" s="336"/>
      <c r="LH270" s="336"/>
      <c r="LI270" s="336"/>
      <c r="LJ270" s="336"/>
      <c r="LK270" s="336"/>
      <c r="LL270" s="336"/>
      <c r="LM270" s="336"/>
      <c r="LN270" s="336"/>
      <c r="LO270" s="336"/>
      <c r="LP270" s="336"/>
      <c r="LQ270" s="337"/>
      <c r="MN270" s="10"/>
      <c r="OA270" s="10"/>
    </row>
    <row r="271" spans="1:391" s="370" customFormat="1" x14ac:dyDescent="0.25">
      <c r="A271" s="68"/>
      <c r="B271" s="10"/>
      <c r="C271" s="68"/>
      <c r="D271" s="68"/>
      <c r="E271" s="68"/>
      <c r="F271" s="68"/>
      <c r="G271" s="68"/>
      <c r="H271" s="68"/>
      <c r="I271" s="68"/>
      <c r="J271" s="68"/>
      <c r="K271" s="68"/>
      <c r="L271" s="68"/>
      <c r="M271" s="68"/>
      <c r="N271" s="68"/>
      <c r="O271" s="68"/>
      <c r="P271" s="68"/>
      <c r="Q271" s="68"/>
      <c r="R271" s="68"/>
      <c r="S271" s="68"/>
      <c r="T271" s="70"/>
      <c r="AC271" s="68"/>
      <c r="AD271" s="70"/>
      <c r="AM271" s="68"/>
      <c r="AN271" s="70"/>
      <c r="AU271" s="68"/>
      <c r="AV271" s="70"/>
      <c r="BB271" s="68"/>
      <c r="BC271" s="70"/>
      <c r="BD271" s="68"/>
      <c r="BE271" s="68"/>
      <c r="BF271" s="68"/>
      <c r="BG271" s="68"/>
      <c r="BH271" s="68"/>
      <c r="BI271" s="68"/>
      <c r="BJ271" s="70"/>
      <c r="BM271" s="68"/>
      <c r="BN271" s="70"/>
      <c r="BT271" s="68"/>
      <c r="BU271" s="70"/>
      <c r="BZ271" s="10"/>
      <c r="CF271" s="10"/>
      <c r="CI271" s="389"/>
      <c r="CJ271" s="389"/>
      <c r="CK271" s="68"/>
      <c r="CL271" s="70"/>
      <c r="CO271" s="10"/>
      <c r="CU271" s="10"/>
      <c r="DA271" s="10"/>
      <c r="DB271" s="70"/>
      <c r="DC271" s="70"/>
      <c r="DF271" s="68"/>
      <c r="DG271" s="70"/>
      <c r="DH271" s="68"/>
      <c r="DI271" s="386"/>
      <c r="DJ271" s="425"/>
      <c r="DL271" s="68"/>
      <c r="DM271" s="70"/>
      <c r="DQ271" s="68"/>
      <c r="DR271" s="70"/>
      <c r="DS271" s="338"/>
      <c r="DT271" s="338"/>
      <c r="DU271" s="338"/>
      <c r="DW271" s="338"/>
      <c r="DX271" s="338"/>
      <c r="DY271" s="338"/>
      <c r="EA271" s="338"/>
      <c r="EB271" s="338"/>
      <c r="EC271" s="338"/>
      <c r="EE271" s="338"/>
      <c r="EF271" s="338"/>
      <c r="EG271" s="338"/>
      <c r="EI271" s="336"/>
      <c r="EJ271" s="336"/>
      <c r="EK271" s="336"/>
      <c r="EL271" s="336"/>
      <c r="EM271" s="336"/>
      <c r="EN271" s="336"/>
      <c r="EO271" s="337"/>
      <c r="EP271" s="342"/>
      <c r="EQ271" s="336"/>
      <c r="ER271" s="342"/>
      <c r="ES271" s="336"/>
      <c r="ET271" s="342"/>
      <c r="EU271" s="336"/>
      <c r="EV271" s="342"/>
      <c r="EW271" s="336"/>
      <c r="EX271" s="342"/>
      <c r="EY271" s="342"/>
      <c r="EZ271" s="342"/>
      <c r="FA271" s="337"/>
      <c r="FE271" s="338"/>
      <c r="FH271" s="338"/>
      <c r="FI271" s="338"/>
      <c r="FJ271" s="338"/>
      <c r="FK271" s="338"/>
      <c r="FL271" s="338"/>
      <c r="FM271" s="337"/>
      <c r="FN271" s="336"/>
      <c r="FO271" s="336"/>
      <c r="FP271" s="336"/>
      <c r="FQ271" s="336"/>
      <c r="FR271" s="336"/>
      <c r="FS271" s="336"/>
      <c r="FT271" s="336"/>
      <c r="FU271" s="336"/>
      <c r="FV271" s="336"/>
      <c r="FW271" s="337"/>
      <c r="FX271" s="532"/>
      <c r="FY271" s="341"/>
      <c r="FZ271" s="341"/>
      <c r="GA271" s="336"/>
      <c r="GB271" s="341"/>
      <c r="GC271" s="341"/>
      <c r="GD271" s="341"/>
      <c r="GE271" s="336"/>
      <c r="GF271" s="336"/>
      <c r="GG271" s="336"/>
      <c r="GH271" s="336"/>
      <c r="GI271" s="336"/>
      <c r="GJ271" s="337"/>
      <c r="GM271" s="338"/>
      <c r="GN271" s="338"/>
      <c r="GO271" s="338"/>
      <c r="GS271" s="338"/>
      <c r="GT271" s="338"/>
      <c r="GU271" s="338"/>
      <c r="GY271" s="338"/>
      <c r="GZ271" s="338"/>
      <c r="HA271" s="338"/>
      <c r="HE271" s="338"/>
      <c r="HF271" s="338"/>
      <c r="HG271" s="338"/>
      <c r="HN271" s="68"/>
      <c r="HO271" s="68"/>
      <c r="HP271" s="68"/>
      <c r="HQ271" s="336"/>
      <c r="HR271" s="68"/>
      <c r="HS271" s="68"/>
      <c r="HT271" s="10"/>
      <c r="HW271" s="338"/>
      <c r="HX271" s="338"/>
      <c r="HY271" s="338"/>
      <c r="IC271" s="338"/>
      <c r="ID271" s="338"/>
      <c r="IE271" s="338"/>
      <c r="II271" s="338"/>
      <c r="IJ271" s="338"/>
      <c r="IK271" s="338"/>
      <c r="IO271" s="338"/>
      <c r="IP271" s="338"/>
      <c r="IQ271" s="338"/>
      <c r="IX271" s="68"/>
      <c r="IY271" s="68"/>
      <c r="IZ271" s="68"/>
      <c r="JA271" s="68"/>
      <c r="JB271" s="68"/>
      <c r="JC271" s="68"/>
      <c r="JD271" s="10"/>
      <c r="JG271" s="338"/>
      <c r="JH271" s="338"/>
      <c r="JI271" s="338"/>
      <c r="JM271" s="338"/>
      <c r="JN271" s="338"/>
      <c r="JQ271" s="338"/>
      <c r="JR271" s="338"/>
      <c r="JS271" s="338"/>
      <c r="JW271" s="358"/>
      <c r="JX271" s="336"/>
      <c r="JY271" s="336"/>
      <c r="JZ271" s="336"/>
      <c r="KA271" s="336"/>
      <c r="KB271" s="336"/>
      <c r="KC271" s="336"/>
      <c r="KD271" s="336"/>
      <c r="KE271" s="336"/>
      <c r="KF271" s="336"/>
      <c r="KG271" s="337"/>
      <c r="KH271" s="338"/>
      <c r="KI271" s="338"/>
      <c r="KJ271" s="338"/>
      <c r="KK271" s="338"/>
      <c r="KL271" s="338"/>
      <c r="KM271" s="338"/>
      <c r="KN271" s="338"/>
      <c r="KO271" s="338"/>
      <c r="KP271" s="338"/>
      <c r="KQ271" s="338"/>
      <c r="KR271" s="338"/>
      <c r="KS271" s="338"/>
      <c r="KT271" s="338"/>
      <c r="KU271" s="338"/>
      <c r="KV271" s="338"/>
      <c r="KW271" s="337"/>
      <c r="KX271" s="336"/>
      <c r="KY271" s="336"/>
      <c r="KZ271" s="336"/>
      <c r="LA271" s="336"/>
      <c r="LB271" s="336"/>
      <c r="LC271" s="336"/>
      <c r="LD271" s="336"/>
      <c r="LE271" s="336"/>
      <c r="LF271" s="336"/>
      <c r="LG271" s="336"/>
      <c r="LH271" s="336"/>
      <c r="LI271" s="336"/>
      <c r="LJ271" s="336"/>
      <c r="LK271" s="336"/>
      <c r="LL271" s="336"/>
      <c r="LM271" s="336"/>
      <c r="LN271" s="336"/>
      <c r="LO271" s="336"/>
      <c r="LP271" s="336"/>
      <c r="LQ271" s="337"/>
      <c r="MN271" s="10"/>
      <c r="OA271" s="10"/>
    </row>
    <row r="272" spans="1:391" s="370" customFormat="1" x14ac:dyDescent="0.25">
      <c r="A272" s="68"/>
      <c r="B272" s="10"/>
      <c r="C272" s="68"/>
      <c r="D272" s="68"/>
      <c r="E272" s="68"/>
      <c r="F272" s="68"/>
      <c r="G272" s="68"/>
      <c r="H272" s="68"/>
      <c r="I272" s="68"/>
      <c r="J272" s="68"/>
      <c r="K272" s="68"/>
      <c r="L272" s="68"/>
      <c r="M272" s="68"/>
      <c r="N272" s="68"/>
      <c r="O272" s="68"/>
      <c r="P272" s="68"/>
      <c r="Q272" s="68"/>
      <c r="R272" s="68"/>
      <c r="S272" s="68"/>
      <c r="T272" s="70"/>
      <c r="AC272" s="68"/>
      <c r="AD272" s="70"/>
      <c r="AM272" s="68"/>
      <c r="AN272" s="70"/>
      <c r="AU272" s="68"/>
      <c r="AV272" s="70"/>
      <c r="BB272" s="68"/>
      <c r="BC272" s="70"/>
      <c r="BD272" s="68"/>
      <c r="BE272" s="68"/>
      <c r="BF272" s="68"/>
      <c r="BG272" s="68"/>
      <c r="BH272" s="68"/>
      <c r="BI272" s="68"/>
      <c r="BJ272" s="70"/>
      <c r="BM272" s="68"/>
      <c r="BN272" s="70"/>
      <c r="BT272" s="68"/>
      <c r="BU272" s="70"/>
      <c r="BZ272" s="10"/>
      <c r="CF272" s="10"/>
      <c r="CI272" s="389"/>
      <c r="CJ272" s="389"/>
      <c r="CK272" s="68"/>
      <c r="CL272" s="70"/>
      <c r="CO272" s="10"/>
      <c r="CU272" s="10"/>
      <c r="DA272" s="10"/>
      <c r="DB272" s="70"/>
      <c r="DC272" s="70"/>
      <c r="DF272" s="68"/>
      <c r="DG272" s="70"/>
      <c r="DH272" s="68"/>
      <c r="DI272" s="386"/>
      <c r="DJ272" s="425"/>
      <c r="DL272" s="68"/>
      <c r="DM272" s="70"/>
      <c r="DQ272" s="68"/>
      <c r="DR272" s="70"/>
      <c r="DS272" s="338"/>
      <c r="DT272" s="338"/>
      <c r="DU272" s="338"/>
      <c r="DW272" s="338"/>
      <c r="DX272" s="338"/>
      <c r="DY272" s="338"/>
      <c r="EA272" s="338"/>
      <c r="EB272" s="338"/>
      <c r="EC272" s="338"/>
      <c r="EE272" s="338"/>
      <c r="EF272" s="338"/>
      <c r="EG272" s="338"/>
      <c r="EI272" s="336"/>
      <c r="EJ272" s="336"/>
      <c r="EK272" s="336"/>
      <c r="EL272" s="336"/>
      <c r="EM272" s="336"/>
      <c r="EN272" s="336"/>
      <c r="EO272" s="337"/>
      <c r="EP272" s="342"/>
      <c r="EQ272" s="336"/>
      <c r="ER272" s="342"/>
      <c r="ES272" s="336"/>
      <c r="ET272" s="342"/>
      <c r="EU272" s="336"/>
      <c r="EV272" s="342"/>
      <c r="EW272" s="336"/>
      <c r="EX272" s="342"/>
      <c r="EY272" s="342"/>
      <c r="EZ272" s="342"/>
      <c r="FA272" s="337"/>
      <c r="FE272" s="338"/>
      <c r="FH272" s="338"/>
      <c r="FI272" s="338"/>
      <c r="FJ272" s="338"/>
      <c r="FK272" s="338"/>
      <c r="FL272" s="338"/>
      <c r="FM272" s="337"/>
      <c r="FN272" s="336"/>
      <c r="FO272" s="336"/>
      <c r="FP272" s="336"/>
      <c r="FQ272" s="336"/>
      <c r="FR272" s="336"/>
      <c r="FS272" s="336"/>
      <c r="FT272" s="336"/>
      <c r="FU272" s="336"/>
      <c r="FV272" s="336"/>
      <c r="FW272" s="337"/>
      <c r="FX272" s="532"/>
      <c r="FY272" s="341"/>
      <c r="FZ272" s="341"/>
      <c r="GA272" s="336"/>
      <c r="GB272" s="341"/>
      <c r="GC272" s="341"/>
      <c r="GD272" s="341"/>
      <c r="GE272" s="336"/>
      <c r="GF272" s="336"/>
      <c r="GG272" s="336"/>
      <c r="GH272" s="336"/>
      <c r="GI272" s="336"/>
      <c r="GJ272" s="337"/>
      <c r="GM272" s="338"/>
      <c r="GN272" s="338"/>
      <c r="GO272" s="338"/>
      <c r="GS272" s="338"/>
      <c r="GT272" s="338"/>
      <c r="GU272" s="338"/>
      <c r="GY272" s="338"/>
      <c r="GZ272" s="338"/>
      <c r="HA272" s="338"/>
      <c r="HE272" s="338"/>
      <c r="HF272" s="338"/>
      <c r="HG272" s="338"/>
      <c r="HN272" s="68"/>
      <c r="HO272" s="68"/>
      <c r="HP272" s="68"/>
      <c r="HQ272" s="336"/>
      <c r="HR272" s="68"/>
      <c r="HS272" s="68"/>
      <c r="HT272" s="10"/>
      <c r="HW272" s="338"/>
      <c r="HX272" s="338"/>
      <c r="HY272" s="338"/>
      <c r="IC272" s="338"/>
      <c r="ID272" s="338"/>
      <c r="IE272" s="338"/>
      <c r="II272" s="338"/>
      <c r="IJ272" s="338"/>
      <c r="IK272" s="338"/>
      <c r="IO272" s="338"/>
      <c r="IP272" s="338"/>
      <c r="IQ272" s="338"/>
      <c r="IX272" s="68"/>
      <c r="IY272" s="68"/>
      <c r="IZ272" s="68"/>
      <c r="JA272" s="68"/>
      <c r="JB272" s="68"/>
      <c r="JC272" s="68"/>
      <c r="JD272" s="10"/>
      <c r="JG272" s="338"/>
      <c r="JH272" s="338"/>
      <c r="JI272" s="338"/>
      <c r="JM272" s="338"/>
      <c r="JN272" s="338"/>
      <c r="JQ272" s="338"/>
      <c r="JR272" s="338"/>
      <c r="JS272" s="338"/>
      <c r="JW272" s="358"/>
      <c r="JX272" s="336"/>
      <c r="JY272" s="336"/>
      <c r="JZ272" s="336"/>
      <c r="KA272" s="336"/>
      <c r="KB272" s="336"/>
      <c r="KC272" s="336"/>
      <c r="KD272" s="336"/>
      <c r="KE272" s="336"/>
      <c r="KF272" s="336"/>
      <c r="KG272" s="337"/>
      <c r="KH272" s="338"/>
      <c r="KI272" s="338"/>
      <c r="KJ272" s="338"/>
      <c r="KK272" s="338"/>
      <c r="KL272" s="338"/>
      <c r="KM272" s="338"/>
      <c r="KN272" s="338"/>
      <c r="KO272" s="338"/>
      <c r="KP272" s="338"/>
      <c r="KQ272" s="338"/>
      <c r="KR272" s="338"/>
      <c r="KS272" s="338"/>
      <c r="KT272" s="338"/>
      <c r="KU272" s="338"/>
      <c r="KV272" s="338"/>
      <c r="KW272" s="337"/>
      <c r="KX272" s="336"/>
      <c r="KY272" s="336"/>
      <c r="KZ272" s="336"/>
      <c r="LA272" s="336"/>
      <c r="LB272" s="336"/>
      <c r="LC272" s="336"/>
      <c r="LD272" s="336"/>
      <c r="LE272" s="336"/>
      <c r="LF272" s="336"/>
      <c r="LG272" s="336"/>
      <c r="LH272" s="336"/>
      <c r="LI272" s="336"/>
      <c r="LJ272" s="336"/>
      <c r="LK272" s="336"/>
      <c r="LL272" s="336"/>
      <c r="LM272" s="336"/>
      <c r="LN272" s="336"/>
      <c r="LO272" s="336"/>
      <c r="LP272" s="336"/>
      <c r="LQ272" s="337"/>
      <c r="MN272" s="10"/>
      <c r="OA272" s="10"/>
    </row>
    <row r="273" spans="1:391" s="370" customFormat="1" x14ac:dyDescent="0.25">
      <c r="A273" s="68"/>
      <c r="B273" s="10"/>
      <c r="C273" s="68"/>
      <c r="D273" s="68"/>
      <c r="E273" s="68"/>
      <c r="F273" s="68"/>
      <c r="G273" s="68"/>
      <c r="H273" s="68"/>
      <c r="I273" s="68"/>
      <c r="J273" s="68"/>
      <c r="K273" s="68"/>
      <c r="L273" s="68"/>
      <c r="M273" s="68"/>
      <c r="N273" s="68"/>
      <c r="O273" s="68"/>
      <c r="P273" s="68"/>
      <c r="Q273" s="68"/>
      <c r="R273" s="68"/>
      <c r="S273" s="68"/>
      <c r="T273" s="70"/>
      <c r="AC273" s="68"/>
      <c r="AD273" s="70"/>
      <c r="AM273" s="68"/>
      <c r="AN273" s="70"/>
      <c r="AU273" s="68"/>
      <c r="AV273" s="70"/>
      <c r="BB273" s="68"/>
      <c r="BC273" s="70"/>
      <c r="BD273" s="68"/>
      <c r="BE273" s="68"/>
      <c r="BF273" s="68"/>
      <c r="BG273" s="68"/>
      <c r="BH273" s="68"/>
      <c r="BI273" s="68"/>
      <c r="BJ273" s="70"/>
      <c r="BM273" s="68"/>
      <c r="BN273" s="70"/>
      <c r="BT273" s="68"/>
      <c r="BU273" s="70"/>
      <c r="BZ273" s="10"/>
      <c r="CF273" s="10"/>
      <c r="CI273" s="389"/>
      <c r="CJ273" s="389"/>
      <c r="CK273" s="68"/>
      <c r="CL273" s="70"/>
      <c r="CO273" s="10"/>
      <c r="CU273" s="10"/>
      <c r="DA273" s="10"/>
      <c r="DB273" s="70"/>
      <c r="DC273" s="70"/>
      <c r="DF273" s="68"/>
      <c r="DG273" s="70"/>
      <c r="DH273" s="68"/>
      <c r="DI273" s="386"/>
      <c r="DJ273" s="425"/>
      <c r="DL273" s="68"/>
      <c r="DM273" s="70"/>
      <c r="DQ273" s="68"/>
      <c r="DR273" s="70"/>
      <c r="DS273" s="338"/>
      <c r="DT273" s="338"/>
      <c r="DU273" s="338"/>
      <c r="DW273" s="338"/>
      <c r="DX273" s="338"/>
      <c r="DY273" s="338"/>
      <c r="EA273" s="338"/>
      <c r="EB273" s="338"/>
      <c r="EC273" s="338"/>
      <c r="EE273" s="338"/>
      <c r="EF273" s="338"/>
      <c r="EG273" s="338"/>
      <c r="EI273" s="336"/>
      <c r="EJ273" s="336"/>
      <c r="EK273" s="336"/>
      <c r="EL273" s="336"/>
      <c r="EM273" s="336"/>
      <c r="EN273" s="336"/>
      <c r="EO273" s="337"/>
      <c r="EP273" s="342"/>
      <c r="EQ273" s="336"/>
      <c r="ER273" s="342"/>
      <c r="ES273" s="336"/>
      <c r="ET273" s="342"/>
      <c r="EU273" s="336"/>
      <c r="EV273" s="342"/>
      <c r="EW273" s="336"/>
      <c r="EX273" s="342"/>
      <c r="EY273" s="342"/>
      <c r="EZ273" s="342"/>
      <c r="FA273" s="337"/>
      <c r="FE273" s="338"/>
      <c r="FH273" s="338"/>
      <c r="FI273" s="338"/>
      <c r="FJ273" s="338"/>
      <c r="FK273" s="338"/>
      <c r="FL273" s="338"/>
      <c r="FM273" s="337"/>
      <c r="FN273" s="336"/>
      <c r="FO273" s="336"/>
      <c r="FP273" s="336"/>
      <c r="FQ273" s="336"/>
      <c r="FR273" s="336"/>
      <c r="FS273" s="336"/>
      <c r="FT273" s="336"/>
      <c r="FU273" s="336"/>
      <c r="FV273" s="336"/>
      <c r="FW273" s="337"/>
      <c r="FX273" s="532"/>
      <c r="FY273" s="341"/>
      <c r="FZ273" s="341"/>
      <c r="GA273" s="336"/>
      <c r="GB273" s="341"/>
      <c r="GC273" s="341"/>
      <c r="GD273" s="341"/>
      <c r="GE273" s="336"/>
      <c r="GF273" s="336"/>
      <c r="GG273" s="336"/>
      <c r="GH273" s="336"/>
      <c r="GI273" s="336"/>
      <c r="GJ273" s="337"/>
      <c r="GM273" s="338"/>
      <c r="GN273" s="338"/>
      <c r="GO273" s="338"/>
      <c r="GS273" s="338"/>
      <c r="GT273" s="338"/>
      <c r="GU273" s="338"/>
      <c r="GY273" s="338"/>
      <c r="GZ273" s="338"/>
      <c r="HA273" s="338"/>
      <c r="HE273" s="338"/>
      <c r="HF273" s="338"/>
      <c r="HG273" s="338"/>
      <c r="HN273" s="68"/>
      <c r="HO273" s="68"/>
      <c r="HP273" s="68"/>
      <c r="HQ273" s="336"/>
      <c r="HR273" s="68"/>
      <c r="HS273" s="68"/>
      <c r="HT273" s="10"/>
      <c r="HW273" s="338"/>
      <c r="HX273" s="338"/>
      <c r="HY273" s="338"/>
      <c r="IC273" s="338"/>
      <c r="ID273" s="338"/>
      <c r="IE273" s="338"/>
      <c r="II273" s="338"/>
      <c r="IJ273" s="338"/>
      <c r="IK273" s="338"/>
      <c r="IO273" s="338"/>
      <c r="IP273" s="338"/>
      <c r="IQ273" s="338"/>
      <c r="IX273" s="68"/>
      <c r="IY273" s="68"/>
      <c r="IZ273" s="68"/>
      <c r="JA273" s="68"/>
      <c r="JB273" s="68"/>
      <c r="JC273" s="68"/>
      <c r="JD273" s="10"/>
      <c r="JG273" s="338"/>
      <c r="JH273" s="338"/>
      <c r="JI273" s="338"/>
      <c r="JM273" s="338"/>
      <c r="JN273" s="338"/>
      <c r="JQ273" s="338"/>
      <c r="JR273" s="338"/>
      <c r="JS273" s="338"/>
      <c r="JW273" s="358"/>
      <c r="JX273" s="336"/>
      <c r="JY273" s="336"/>
      <c r="JZ273" s="336"/>
      <c r="KA273" s="336"/>
      <c r="KB273" s="336"/>
      <c r="KC273" s="336"/>
      <c r="KD273" s="336"/>
      <c r="KE273" s="336"/>
      <c r="KF273" s="336"/>
      <c r="KG273" s="337"/>
      <c r="KH273" s="338"/>
      <c r="KI273" s="338"/>
      <c r="KJ273" s="338"/>
      <c r="KK273" s="338"/>
      <c r="KL273" s="338"/>
      <c r="KM273" s="338"/>
      <c r="KN273" s="338"/>
      <c r="KO273" s="338"/>
      <c r="KP273" s="338"/>
      <c r="KQ273" s="338"/>
      <c r="KR273" s="338"/>
      <c r="KS273" s="338"/>
      <c r="KT273" s="338"/>
      <c r="KU273" s="338"/>
      <c r="KV273" s="338"/>
      <c r="KW273" s="337"/>
      <c r="KX273" s="336"/>
      <c r="KY273" s="336"/>
      <c r="KZ273" s="336"/>
      <c r="LA273" s="336"/>
      <c r="LB273" s="336"/>
      <c r="LC273" s="336"/>
      <c r="LD273" s="336"/>
      <c r="LE273" s="336"/>
      <c r="LF273" s="336"/>
      <c r="LG273" s="336"/>
      <c r="LH273" s="336"/>
      <c r="LI273" s="336"/>
      <c r="LJ273" s="336"/>
      <c r="LK273" s="336"/>
      <c r="LL273" s="336"/>
      <c r="LM273" s="336"/>
      <c r="LN273" s="336"/>
      <c r="LO273" s="336"/>
      <c r="LP273" s="336"/>
      <c r="LQ273" s="337"/>
      <c r="MN273" s="10"/>
      <c r="OA273" s="10"/>
    </row>
    <row r="274" spans="1:391" s="370" customFormat="1" x14ac:dyDescent="0.25">
      <c r="A274" s="68"/>
      <c r="B274" s="10"/>
      <c r="C274" s="68"/>
      <c r="D274" s="68"/>
      <c r="E274" s="68"/>
      <c r="F274" s="68"/>
      <c r="G274" s="68"/>
      <c r="H274" s="68"/>
      <c r="I274" s="68"/>
      <c r="J274" s="68"/>
      <c r="K274" s="68"/>
      <c r="L274" s="68"/>
      <c r="M274" s="68"/>
      <c r="N274" s="68"/>
      <c r="O274" s="68"/>
      <c r="P274" s="68"/>
      <c r="Q274" s="68"/>
      <c r="R274" s="68"/>
      <c r="S274" s="68"/>
      <c r="T274" s="70"/>
      <c r="AC274" s="68"/>
      <c r="AD274" s="70"/>
      <c r="AM274" s="68"/>
      <c r="AN274" s="70"/>
      <c r="AU274" s="68"/>
      <c r="AV274" s="70"/>
      <c r="BB274" s="68"/>
      <c r="BC274" s="70"/>
      <c r="BD274" s="68"/>
      <c r="BE274" s="68"/>
      <c r="BF274" s="68"/>
      <c r="BG274" s="68"/>
      <c r="BH274" s="68"/>
      <c r="BI274" s="68"/>
      <c r="BJ274" s="70"/>
      <c r="BM274" s="68"/>
      <c r="BN274" s="70"/>
      <c r="BT274" s="68"/>
      <c r="BU274" s="70"/>
      <c r="BZ274" s="10"/>
      <c r="CF274" s="10"/>
      <c r="CI274" s="389"/>
      <c r="CJ274" s="389"/>
      <c r="CK274" s="68"/>
      <c r="CL274" s="70"/>
      <c r="CO274" s="10"/>
      <c r="CU274" s="10"/>
      <c r="DA274" s="10"/>
      <c r="DB274" s="70"/>
      <c r="DC274" s="70"/>
      <c r="DF274" s="68"/>
      <c r="DG274" s="70"/>
      <c r="DH274" s="68"/>
      <c r="DI274" s="386"/>
      <c r="DJ274" s="425"/>
      <c r="DL274" s="68"/>
      <c r="DM274" s="70"/>
      <c r="DQ274" s="68"/>
      <c r="DR274" s="70"/>
      <c r="DS274" s="338"/>
      <c r="DT274" s="338"/>
      <c r="DU274" s="338"/>
      <c r="DW274" s="338"/>
      <c r="DX274" s="338"/>
      <c r="DY274" s="338"/>
      <c r="EA274" s="338"/>
      <c r="EB274" s="338"/>
      <c r="EC274" s="338"/>
      <c r="EE274" s="338"/>
      <c r="EF274" s="338"/>
      <c r="EG274" s="338"/>
      <c r="EI274" s="336"/>
      <c r="EJ274" s="336"/>
      <c r="EK274" s="336"/>
      <c r="EL274" s="336"/>
      <c r="EM274" s="336"/>
      <c r="EN274" s="336"/>
      <c r="EO274" s="337"/>
      <c r="EP274" s="342"/>
      <c r="EQ274" s="336"/>
      <c r="ER274" s="342"/>
      <c r="ES274" s="336"/>
      <c r="ET274" s="342"/>
      <c r="EU274" s="336"/>
      <c r="EV274" s="342"/>
      <c r="EW274" s="336"/>
      <c r="EX274" s="342"/>
      <c r="EY274" s="342"/>
      <c r="EZ274" s="342"/>
      <c r="FA274" s="337"/>
      <c r="FE274" s="338"/>
      <c r="FH274" s="338"/>
      <c r="FI274" s="338"/>
      <c r="FJ274" s="338"/>
      <c r="FK274" s="338"/>
      <c r="FL274" s="338"/>
      <c r="FM274" s="337"/>
      <c r="FN274" s="336"/>
      <c r="FO274" s="336"/>
      <c r="FP274" s="336"/>
      <c r="FQ274" s="336"/>
      <c r="FR274" s="336"/>
      <c r="FS274" s="336"/>
      <c r="FT274" s="336"/>
      <c r="FU274" s="336"/>
      <c r="FV274" s="336"/>
      <c r="FW274" s="337"/>
      <c r="FX274" s="532"/>
      <c r="FY274" s="341"/>
      <c r="FZ274" s="341"/>
      <c r="GA274" s="336"/>
      <c r="GB274" s="341"/>
      <c r="GC274" s="341"/>
      <c r="GD274" s="341"/>
      <c r="GE274" s="336"/>
      <c r="GF274" s="336"/>
      <c r="GG274" s="336"/>
      <c r="GH274" s="336"/>
      <c r="GI274" s="336"/>
      <c r="GJ274" s="337"/>
      <c r="GM274" s="338"/>
      <c r="GN274" s="338"/>
      <c r="GO274" s="338"/>
      <c r="GS274" s="338"/>
      <c r="GT274" s="338"/>
      <c r="GU274" s="338"/>
      <c r="GY274" s="338"/>
      <c r="GZ274" s="338"/>
      <c r="HA274" s="338"/>
      <c r="HE274" s="338"/>
      <c r="HF274" s="338"/>
      <c r="HG274" s="338"/>
      <c r="HN274" s="68"/>
      <c r="HO274" s="68"/>
      <c r="HP274" s="68"/>
      <c r="HQ274" s="336"/>
      <c r="HR274" s="68"/>
      <c r="HS274" s="68"/>
      <c r="HT274" s="10"/>
      <c r="HW274" s="338"/>
      <c r="HX274" s="338"/>
      <c r="HY274" s="338"/>
      <c r="IC274" s="338"/>
      <c r="ID274" s="338"/>
      <c r="IE274" s="338"/>
      <c r="II274" s="338"/>
      <c r="IJ274" s="338"/>
      <c r="IK274" s="338"/>
      <c r="IO274" s="338"/>
      <c r="IP274" s="338"/>
      <c r="IQ274" s="338"/>
      <c r="IX274" s="68"/>
      <c r="IY274" s="68"/>
      <c r="IZ274" s="68"/>
      <c r="JA274" s="68"/>
      <c r="JB274" s="68"/>
      <c r="JC274" s="68"/>
      <c r="JD274" s="10"/>
      <c r="JG274" s="338"/>
      <c r="JH274" s="338"/>
      <c r="JI274" s="338"/>
      <c r="JM274" s="338"/>
      <c r="JN274" s="338"/>
      <c r="JQ274" s="338"/>
      <c r="JR274" s="338"/>
      <c r="JS274" s="338"/>
      <c r="JW274" s="358"/>
      <c r="JX274" s="336"/>
      <c r="JY274" s="336"/>
      <c r="JZ274" s="336"/>
      <c r="KA274" s="336"/>
      <c r="KB274" s="336"/>
      <c r="KC274" s="336"/>
      <c r="KD274" s="336"/>
      <c r="KE274" s="336"/>
      <c r="KF274" s="336"/>
      <c r="KG274" s="337"/>
      <c r="KH274" s="338"/>
      <c r="KI274" s="338"/>
      <c r="KJ274" s="338"/>
      <c r="KK274" s="338"/>
      <c r="KL274" s="338"/>
      <c r="KM274" s="338"/>
      <c r="KN274" s="338"/>
      <c r="KO274" s="338"/>
      <c r="KP274" s="338"/>
      <c r="KQ274" s="338"/>
      <c r="KR274" s="338"/>
      <c r="KS274" s="338"/>
      <c r="KT274" s="338"/>
      <c r="KU274" s="338"/>
      <c r="KV274" s="338"/>
      <c r="KW274" s="337"/>
      <c r="KX274" s="336"/>
      <c r="KY274" s="336"/>
      <c r="KZ274" s="336"/>
      <c r="LA274" s="336"/>
      <c r="LB274" s="336"/>
      <c r="LC274" s="336"/>
      <c r="LD274" s="336"/>
      <c r="LE274" s="336"/>
      <c r="LF274" s="336"/>
      <c r="LG274" s="336"/>
      <c r="LH274" s="336"/>
      <c r="LI274" s="336"/>
      <c r="LJ274" s="336"/>
      <c r="LK274" s="336"/>
      <c r="LL274" s="336"/>
      <c r="LM274" s="336"/>
      <c r="LN274" s="336"/>
      <c r="LO274" s="336"/>
      <c r="LP274" s="336"/>
      <c r="LQ274" s="337"/>
      <c r="MN274" s="10"/>
      <c r="OA274" s="10"/>
    </row>
    <row r="275" spans="1:391" s="370" customFormat="1" x14ac:dyDescent="0.25">
      <c r="A275" s="68"/>
      <c r="B275" s="10"/>
      <c r="C275" s="68"/>
      <c r="D275" s="68"/>
      <c r="E275" s="68"/>
      <c r="F275" s="68"/>
      <c r="G275" s="68"/>
      <c r="H275" s="68"/>
      <c r="I275" s="68"/>
      <c r="J275" s="68"/>
      <c r="K275" s="68"/>
      <c r="L275" s="68"/>
      <c r="M275" s="68"/>
      <c r="N275" s="68"/>
      <c r="O275" s="68"/>
      <c r="P275" s="68"/>
      <c r="Q275" s="68"/>
      <c r="R275" s="68"/>
      <c r="S275" s="68"/>
      <c r="T275" s="70"/>
      <c r="AC275" s="68"/>
      <c r="AD275" s="70"/>
      <c r="AM275" s="68"/>
      <c r="AN275" s="70"/>
      <c r="AU275" s="68"/>
      <c r="AV275" s="70"/>
      <c r="BB275" s="68"/>
      <c r="BC275" s="70"/>
      <c r="BD275" s="68"/>
      <c r="BE275" s="68"/>
      <c r="BF275" s="68"/>
      <c r="BG275" s="68"/>
      <c r="BH275" s="68"/>
      <c r="BI275" s="68"/>
      <c r="BJ275" s="70"/>
      <c r="BM275" s="68"/>
      <c r="BN275" s="70"/>
      <c r="BT275" s="68"/>
      <c r="BU275" s="70"/>
      <c r="BZ275" s="10"/>
      <c r="CF275" s="10"/>
      <c r="CI275" s="389"/>
      <c r="CJ275" s="389"/>
      <c r="CK275" s="68"/>
      <c r="CL275" s="70"/>
      <c r="CO275" s="10"/>
      <c r="CU275" s="10"/>
      <c r="DA275" s="10"/>
      <c r="DB275" s="70"/>
      <c r="DC275" s="70"/>
      <c r="DF275" s="68"/>
      <c r="DG275" s="70"/>
      <c r="DH275" s="68"/>
      <c r="DI275" s="386"/>
      <c r="DJ275" s="425"/>
      <c r="DL275" s="68"/>
      <c r="DM275" s="70"/>
      <c r="DQ275" s="68"/>
      <c r="DR275" s="70"/>
      <c r="DS275" s="338"/>
      <c r="DT275" s="338"/>
      <c r="DU275" s="338"/>
      <c r="DW275" s="338"/>
      <c r="DX275" s="338"/>
      <c r="DY275" s="338"/>
      <c r="EA275" s="338"/>
      <c r="EB275" s="338"/>
      <c r="EC275" s="338"/>
      <c r="EE275" s="338"/>
      <c r="EF275" s="338"/>
      <c r="EG275" s="338"/>
      <c r="EI275" s="336"/>
      <c r="EJ275" s="336"/>
      <c r="EK275" s="336"/>
      <c r="EL275" s="336"/>
      <c r="EM275" s="336"/>
      <c r="EN275" s="336"/>
      <c r="EO275" s="337"/>
      <c r="EP275" s="342"/>
      <c r="EQ275" s="336"/>
      <c r="ER275" s="342"/>
      <c r="ES275" s="336"/>
      <c r="ET275" s="342"/>
      <c r="EU275" s="336"/>
      <c r="EV275" s="342"/>
      <c r="EW275" s="336"/>
      <c r="EX275" s="342"/>
      <c r="EY275" s="342"/>
      <c r="EZ275" s="342"/>
      <c r="FA275" s="337"/>
      <c r="FE275" s="338"/>
      <c r="FH275" s="338"/>
      <c r="FI275" s="338"/>
      <c r="FJ275" s="338"/>
      <c r="FK275" s="338"/>
      <c r="FL275" s="338"/>
      <c r="FM275" s="337"/>
      <c r="FN275" s="336"/>
      <c r="FO275" s="336"/>
      <c r="FP275" s="336"/>
      <c r="FQ275" s="336"/>
      <c r="FR275" s="336"/>
      <c r="FS275" s="336"/>
      <c r="FT275" s="336"/>
      <c r="FU275" s="336"/>
      <c r="FV275" s="336"/>
      <c r="FW275" s="337"/>
      <c r="FX275" s="532"/>
      <c r="FY275" s="341"/>
      <c r="FZ275" s="341"/>
      <c r="GA275" s="336"/>
      <c r="GB275" s="341"/>
      <c r="GC275" s="341"/>
      <c r="GD275" s="341"/>
      <c r="GE275" s="336"/>
      <c r="GF275" s="336"/>
      <c r="GG275" s="336"/>
      <c r="GH275" s="336"/>
      <c r="GI275" s="336"/>
      <c r="GJ275" s="337"/>
      <c r="GM275" s="338"/>
      <c r="GN275" s="338"/>
      <c r="GO275" s="338"/>
      <c r="GS275" s="338"/>
      <c r="GT275" s="338"/>
      <c r="GU275" s="338"/>
      <c r="GY275" s="338"/>
      <c r="GZ275" s="338"/>
      <c r="HA275" s="338"/>
      <c r="HE275" s="338"/>
      <c r="HF275" s="338"/>
      <c r="HG275" s="338"/>
      <c r="HN275" s="68"/>
      <c r="HO275" s="68"/>
      <c r="HP275" s="68"/>
      <c r="HQ275" s="336"/>
      <c r="HR275" s="68"/>
      <c r="HS275" s="68"/>
      <c r="HT275" s="10"/>
      <c r="HW275" s="338"/>
      <c r="HX275" s="338"/>
      <c r="HY275" s="338"/>
      <c r="IC275" s="338"/>
      <c r="ID275" s="338"/>
      <c r="IE275" s="338"/>
      <c r="II275" s="338"/>
      <c r="IJ275" s="338"/>
      <c r="IK275" s="338"/>
      <c r="IO275" s="338"/>
      <c r="IP275" s="338"/>
      <c r="IQ275" s="338"/>
      <c r="IX275" s="68"/>
      <c r="IY275" s="68"/>
      <c r="IZ275" s="68"/>
      <c r="JA275" s="68"/>
      <c r="JB275" s="68"/>
      <c r="JC275" s="68"/>
      <c r="JD275" s="10"/>
      <c r="JG275" s="338"/>
      <c r="JH275" s="338"/>
      <c r="JI275" s="338"/>
      <c r="JM275" s="338"/>
      <c r="JN275" s="338"/>
      <c r="JQ275" s="338"/>
      <c r="JR275" s="338"/>
      <c r="JS275" s="338"/>
      <c r="JW275" s="358"/>
      <c r="JX275" s="336"/>
      <c r="JY275" s="336"/>
      <c r="JZ275" s="336"/>
      <c r="KA275" s="336"/>
      <c r="KB275" s="336"/>
      <c r="KC275" s="336"/>
      <c r="KD275" s="336"/>
      <c r="KE275" s="336"/>
      <c r="KF275" s="336"/>
      <c r="KG275" s="337"/>
      <c r="KH275" s="338"/>
      <c r="KI275" s="338"/>
      <c r="KJ275" s="338"/>
      <c r="KK275" s="338"/>
      <c r="KL275" s="338"/>
      <c r="KM275" s="338"/>
      <c r="KN275" s="338"/>
      <c r="KO275" s="338"/>
      <c r="KP275" s="338"/>
      <c r="KQ275" s="338"/>
      <c r="KR275" s="338"/>
      <c r="KS275" s="338"/>
      <c r="KT275" s="338"/>
      <c r="KU275" s="338"/>
      <c r="KV275" s="338"/>
      <c r="KW275" s="337"/>
      <c r="KX275" s="336"/>
      <c r="KY275" s="336"/>
      <c r="KZ275" s="336"/>
      <c r="LA275" s="336"/>
      <c r="LB275" s="336"/>
      <c r="LC275" s="336"/>
      <c r="LD275" s="336"/>
      <c r="LE275" s="336"/>
      <c r="LF275" s="336"/>
      <c r="LG275" s="336"/>
      <c r="LH275" s="336"/>
      <c r="LI275" s="336"/>
      <c r="LJ275" s="336"/>
      <c r="LK275" s="336"/>
      <c r="LL275" s="336"/>
      <c r="LM275" s="336"/>
      <c r="LN275" s="336"/>
      <c r="LO275" s="336"/>
      <c r="LP275" s="336"/>
      <c r="LQ275" s="337"/>
      <c r="MN275" s="10"/>
      <c r="OA275" s="10"/>
    </row>
    <row r="276" spans="1:391" s="370" customFormat="1" x14ac:dyDescent="0.25">
      <c r="A276" s="68"/>
      <c r="B276" s="10"/>
      <c r="C276" s="68"/>
      <c r="D276" s="68"/>
      <c r="E276" s="68"/>
      <c r="F276" s="68"/>
      <c r="G276" s="68"/>
      <c r="H276" s="68"/>
      <c r="I276" s="68"/>
      <c r="J276" s="68"/>
      <c r="K276" s="68"/>
      <c r="L276" s="68"/>
      <c r="M276" s="68"/>
      <c r="N276" s="68"/>
      <c r="O276" s="68"/>
      <c r="P276" s="68"/>
      <c r="Q276" s="68"/>
      <c r="R276" s="68"/>
      <c r="S276" s="68"/>
      <c r="T276" s="70"/>
      <c r="AC276" s="68"/>
      <c r="AD276" s="70"/>
      <c r="AM276" s="68"/>
      <c r="AN276" s="70"/>
      <c r="AU276" s="68"/>
      <c r="AV276" s="70"/>
      <c r="BB276" s="68"/>
      <c r="BC276" s="70"/>
      <c r="BD276" s="68"/>
      <c r="BE276" s="68"/>
      <c r="BF276" s="68"/>
      <c r="BG276" s="68"/>
      <c r="BH276" s="68"/>
      <c r="BI276" s="68"/>
      <c r="BJ276" s="70"/>
      <c r="BM276" s="68"/>
      <c r="BN276" s="70"/>
      <c r="BT276" s="68"/>
      <c r="BU276" s="70"/>
      <c r="BZ276" s="10"/>
      <c r="CF276" s="10"/>
      <c r="CI276" s="389"/>
      <c r="CJ276" s="389"/>
      <c r="CK276" s="68"/>
      <c r="CL276" s="70"/>
      <c r="CO276" s="10"/>
      <c r="CU276" s="10"/>
      <c r="DA276" s="10"/>
      <c r="DB276" s="70"/>
      <c r="DC276" s="70"/>
      <c r="DF276" s="68"/>
      <c r="DG276" s="70"/>
      <c r="DH276" s="68"/>
      <c r="DI276" s="386"/>
      <c r="DJ276" s="425"/>
      <c r="DL276" s="68"/>
      <c r="DM276" s="70"/>
      <c r="DQ276" s="68"/>
      <c r="DR276" s="70"/>
      <c r="DS276" s="338"/>
      <c r="DT276" s="338"/>
      <c r="DU276" s="338"/>
      <c r="DW276" s="338"/>
      <c r="DX276" s="338"/>
      <c r="DY276" s="338"/>
      <c r="EA276" s="338"/>
      <c r="EB276" s="338"/>
      <c r="EC276" s="338"/>
      <c r="EE276" s="338"/>
      <c r="EF276" s="338"/>
      <c r="EG276" s="338"/>
      <c r="EI276" s="336"/>
      <c r="EJ276" s="336"/>
      <c r="EK276" s="336"/>
      <c r="EL276" s="336"/>
      <c r="EM276" s="336"/>
      <c r="EN276" s="336"/>
      <c r="EO276" s="337"/>
      <c r="EP276" s="342"/>
      <c r="EQ276" s="336"/>
      <c r="ER276" s="342"/>
      <c r="ES276" s="336"/>
      <c r="ET276" s="342"/>
      <c r="EU276" s="336"/>
      <c r="EV276" s="342"/>
      <c r="EW276" s="336"/>
      <c r="EX276" s="342"/>
      <c r="EY276" s="342"/>
      <c r="EZ276" s="342"/>
      <c r="FA276" s="337"/>
      <c r="FE276" s="338"/>
      <c r="FH276" s="338"/>
      <c r="FI276" s="338"/>
      <c r="FJ276" s="338"/>
      <c r="FK276" s="338"/>
      <c r="FL276" s="338"/>
      <c r="FM276" s="337"/>
      <c r="FN276" s="336"/>
      <c r="FO276" s="336"/>
      <c r="FP276" s="336"/>
      <c r="FQ276" s="336"/>
      <c r="FR276" s="336"/>
      <c r="FS276" s="336"/>
      <c r="FT276" s="336"/>
      <c r="FU276" s="336"/>
      <c r="FV276" s="336"/>
      <c r="FW276" s="337"/>
      <c r="FX276" s="532"/>
      <c r="FY276" s="341"/>
      <c r="FZ276" s="341"/>
      <c r="GA276" s="336"/>
      <c r="GB276" s="341"/>
      <c r="GC276" s="341"/>
      <c r="GD276" s="341"/>
      <c r="GE276" s="336"/>
      <c r="GF276" s="336"/>
      <c r="GG276" s="336"/>
      <c r="GH276" s="336"/>
      <c r="GI276" s="336"/>
      <c r="GJ276" s="337"/>
      <c r="GM276" s="338"/>
      <c r="GN276" s="338"/>
      <c r="GO276" s="338"/>
      <c r="GS276" s="338"/>
      <c r="GT276" s="338"/>
      <c r="GU276" s="338"/>
      <c r="GY276" s="338"/>
      <c r="GZ276" s="338"/>
      <c r="HA276" s="338"/>
      <c r="HE276" s="338"/>
      <c r="HF276" s="338"/>
      <c r="HG276" s="338"/>
      <c r="HN276" s="68"/>
      <c r="HO276" s="68"/>
      <c r="HP276" s="68"/>
      <c r="HQ276" s="336"/>
      <c r="HR276" s="68"/>
      <c r="HS276" s="68"/>
      <c r="HT276" s="10"/>
      <c r="HW276" s="338"/>
      <c r="HX276" s="338"/>
      <c r="HY276" s="338"/>
      <c r="IC276" s="338"/>
      <c r="ID276" s="338"/>
      <c r="IE276" s="338"/>
      <c r="II276" s="338"/>
      <c r="IJ276" s="338"/>
      <c r="IK276" s="338"/>
      <c r="IO276" s="338"/>
      <c r="IP276" s="338"/>
      <c r="IQ276" s="338"/>
      <c r="IX276" s="68"/>
      <c r="IY276" s="68"/>
      <c r="IZ276" s="68"/>
      <c r="JA276" s="68"/>
      <c r="JB276" s="68"/>
      <c r="JC276" s="68"/>
      <c r="JD276" s="10"/>
      <c r="JG276" s="338"/>
      <c r="JH276" s="338"/>
      <c r="JI276" s="338"/>
      <c r="JM276" s="338"/>
      <c r="JN276" s="338"/>
      <c r="JQ276" s="338"/>
      <c r="JR276" s="338"/>
      <c r="JS276" s="338"/>
      <c r="JW276" s="358"/>
      <c r="JX276" s="336"/>
      <c r="JY276" s="336"/>
      <c r="JZ276" s="336"/>
      <c r="KA276" s="336"/>
      <c r="KB276" s="336"/>
      <c r="KC276" s="336"/>
      <c r="KD276" s="336"/>
      <c r="KE276" s="336"/>
      <c r="KF276" s="336"/>
      <c r="KG276" s="337"/>
      <c r="KH276" s="338"/>
      <c r="KI276" s="338"/>
      <c r="KJ276" s="338"/>
      <c r="KK276" s="338"/>
      <c r="KL276" s="338"/>
      <c r="KM276" s="338"/>
      <c r="KN276" s="338"/>
      <c r="KO276" s="338"/>
      <c r="KP276" s="338"/>
      <c r="KQ276" s="338"/>
      <c r="KR276" s="338"/>
      <c r="KS276" s="338"/>
      <c r="KT276" s="338"/>
      <c r="KU276" s="338"/>
      <c r="KV276" s="338"/>
      <c r="KW276" s="337"/>
      <c r="KX276" s="336"/>
      <c r="KY276" s="336"/>
      <c r="KZ276" s="336"/>
      <c r="LA276" s="336"/>
      <c r="LB276" s="336"/>
      <c r="LC276" s="336"/>
      <c r="LD276" s="336"/>
      <c r="LE276" s="336"/>
      <c r="LF276" s="336"/>
      <c r="LG276" s="336"/>
      <c r="LH276" s="336"/>
      <c r="LI276" s="336"/>
      <c r="LJ276" s="336"/>
      <c r="LK276" s="336"/>
      <c r="LL276" s="336"/>
      <c r="LM276" s="336"/>
      <c r="LN276" s="336"/>
      <c r="LO276" s="336"/>
      <c r="LP276" s="336"/>
      <c r="LQ276" s="337"/>
      <c r="MN276" s="10"/>
      <c r="OA276" s="10"/>
    </row>
    <row r="277" spans="1:391" s="370" customFormat="1" x14ac:dyDescent="0.25">
      <c r="A277" s="68"/>
      <c r="B277" s="10"/>
      <c r="C277" s="68"/>
      <c r="D277" s="68"/>
      <c r="E277" s="68"/>
      <c r="F277" s="68"/>
      <c r="G277" s="68"/>
      <c r="H277" s="68"/>
      <c r="I277" s="68"/>
      <c r="J277" s="68"/>
      <c r="K277" s="68"/>
      <c r="L277" s="68"/>
      <c r="M277" s="68"/>
      <c r="N277" s="68"/>
      <c r="O277" s="68"/>
      <c r="P277" s="68"/>
      <c r="Q277" s="68"/>
      <c r="R277" s="68"/>
      <c r="S277" s="68"/>
      <c r="T277" s="70"/>
      <c r="AC277" s="68"/>
      <c r="AD277" s="70"/>
      <c r="AM277" s="68"/>
      <c r="AN277" s="70"/>
      <c r="AU277" s="68"/>
      <c r="AV277" s="70"/>
      <c r="BB277" s="68"/>
      <c r="BC277" s="70"/>
      <c r="BD277" s="68"/>
      <c r="BE277" s="68"/>
      <c r="BF277" s="68"/>
      <c r="BG277" s="68"/>
      <c r="BH277" s="68"/>
      <c r="BI277" s="68"/>
      <c r="BJ277" s="70"/>
      <c r="BM277" s="68"/>
      <c r="BN277" s="70"/>
      <c r="BT277" s="68"/>
      <c r="BU277" s="70"/>
      <c r="BZ277" s="10"/>
      <c r="CF277" s="10"/>
      <c r="CI277" s="389"/>
      <c r="CJ277" s="389"/>
      <c r="CK277" s="68"/>
      <c r="CL277" s="70"/>
      <c r="CO277" s="10"/>
      <c r="CU277" s="10"/>
      <c r="DA277" s="10"/>
      <c r="DB277" s="70"/>
      <c r="DC277" s="70"/>
      <c r="DF277" s="68"/>
      <c r="DG277" s="70"/>
      <c r="DH277" s="68"/>
      <c r="DI277" s="386"/>
      <c r="DJ277" s="425"/>
      <c r="DL277" s="68"/>
      <c r="DM277" s="70"/>
      <c r="DQ277" s="68"/>
      <c r="DR277" s="70"/>
      <c r="DS277" s="338"/>
      <c r="DT277" s="338"/>
      <c r="DU277" s="338"/>
      <c r="DW277" s="338"/>
      <c r="DX277" s="338"/>
      <c r="DY277" s="338"/>
      <c r="EA277" s="338"/>
      <c r="EB277" s="338"/>
      <c r="EC277" s="338"/>
      <c r="EE277" s="338"/>
      <c r="EF277" s="338"/>
      <c r="EG277" s="338"/>
      <c r="EI277" s="336"/>
      <c r="EJ277" s="336"/>
      <c r="EK277" s="336"/>
      <c r="EL277" s="336"/>
      <c r="EM277" s="336"/>
      <c r="EN277" s="336"/>
      <c r="EO277" s="337"/>
      <c r="EP277" s="342"/>
      <c r="EQ277" s="336"/>
      <c r="ER277" s="342"/>
      <c r="ES277" s="336"/>
      <c r="ET277" s="342"/>
      <c r="EU277" s="336"/>
      <c r="EV277" s="342"/>
      <c r="EW277" s="336"/>
      <c r="EX277" s="342"/>
      <c r="EY277" s="342"/>
      <c r="EZ277" s="342"/>
      <c r="FA277" s="337"/>
      <c r="FE277" s="338"/>
      <c r="FH277" s="338"/>
      <c r="FI277" s="338"/>
      <c r="FJ277" s="338"/>
      <c r="FK277" s="338"/>
      <c r="FL277" s="338"/>
      <c r="FM277" s="337"/>
      <c r="FN277" s="336"/>
      <c r="FO277" s="336"/>
      <c r="FP277" s="336"/>
      <c r="FQ277" s="336"/>
      <c r="FR277" s="336"/>
      <c r="FS277" s="336"/>
      <c r="FT277" s="336"/>
      <c r="FU277" s="336"/>
      <c r="FV277" s="336"/>
      <c r="FW277" s="337"/>
      <c r="FX277" s="532"/>
      <c r="FY277" s="341"/>
      <c r="FZ277" s="341"/>
      <c r="GA277" s="336"/>
      <c r="GB277" s="341"/>
      <c r="GC277" s="341"/>
      <c r="GD277" s="341"/>
      <c r="GE277" s="336"/>
      <c r="GF277" s="336"/>
      <c r="GG277" s="336"/>
      <c r="GH277" s="336"/>
      <c r="GI277" s="336"/>
      <c r="GJ277" s="337"/>
      <c r="GM277" s="338"/>
      <c r="GN277" s="338"/>
      <c r="GO277" s="338"/>
      <c r="GS277" s="338"/>
      <c r="GT277" s="338"/>
      <c r="GU277" s="338"/>
      <c r="GY277" s="338"/>
      <c r="GZ277" s="338"/>
      <c r="HA277" s="338"/>
      <c r="HE277" s="338"/>
      <c r="HF277" s="338"/>
      <c r="HG277" s="338"/>
      <c r="HN277" s="68"/>
      <c r="HO277" s="68"/>
      <c r="HP277" s="68"/>
      <c r="HQ277" s="336"/>
      <c r="HR277" s="68"/>
      <c r="HS277" s="68"/>
      <c r="HT277" s="10"/>
      <c r="HW277" s="338"/>
      <c r="HX277" s="338"/>
      <c r="HY277" s="338"/>
      <c r="IC277" s="338"/>
      <c r="ID277" s="338"/>
      <c r="IE277" s="338"/>
      <c r="II277" s="338"/>
      <c r="IJ277" s="338"/>
      <c r="IK277" s="338"/>
      <c r="IO277" s="338"/>
      <c r="IP277" s="338"/>
      <c r="IQ277" s="338"/>
      <c r="IX277" s="68"/>
      <c r="IY277" s="68"/>
      <c r="IZ277" s="68"/>
      <c r="JA277" s="68"/>
      <c r="JB277" s="68"/>
      <c r="JC277" s="68"/>
      <c r="JD277" s="10"/>
      <c r="JG277" s="338"/>
      <c r="JH277" s="338"/>
      <c r="JI277" s="338"/>
      <c r="JM277" s="338"/>
      <c r="JN277" s="338"/>
      <c r="JQ277" s="338"/>
      <c r="JR277" s="338"/>
      <c r="JS277" s="338"/>
      <c r="JW277" s="358"/>
      <c r="JX277" s="336"/>
      <c r="JY277" s="336"/>
      <c r="JZ277" s="336"/>
      <c r="KA277" s="336"/>
      <c r="KB277" s="336"/>
      <c r="KC277" s="336"/>
      <c r="KD277" s="336"/>
      <c r="KE277" s="336"/>
      <c r="KF277" s="336"/>
      <c r="KG277" s="337"/>
      <c r="KH277" s="338"/>
      <c r="KI277" s="338"/>
      <c r="KJ277" s="338"/>
      <c r="KK277" s="338"/>
      <c r="KL277" s="338"/>
      <c r="KM277" s="338"/>
      <c r="KN277" s="338"/>
      <c r="KO277" s="338"/>
      <c r="KP277" s="338"/>
      <c r="KQ277" s="338"/>
      <c r="KR277" s="338"/>
      <c r="KS277" s="338"/>
      <c r="KT277" s="338"/>
      <c r="KU277" s="338"/>
      <c r="KV277" s="338"/>
      <c r="KW277" s="337"/>
      <c r="KX277" s="336"/>
      <c r="KY277" s="336"/>
      <c r="KZ277" s="336"/>
      <c r="LA277" s="336"/>
      <c r="LB277" s="336"/>
      <c r="LC277" s="336"/>
      <c r="LD277" s="336"/>
      <c r="LE277" s="336"/>
      <c r="LF277" s="336"/>
      <c r="LG277" s="336"/>
      <c r="LH277" s="336"/>
      <c r="LI277" s="336"/>
      <c r="LJ277" s="336"/>
      <c r="LK277" s="336"/>
      <c r="LL277" s="336"/>
      <c r="LM277" s="336"/>
      <c r="LN277" s="336"/>
      <c r="LO277" s="336"/>
      <c r="LP277" s="336"/>
      <c r="LQ277" s="337"/>
      <c r="MN277" s="10"/>
      <c r="OA277" s="10"/>
    </row>
    <row r="278" spans="1:391" s="370" customFormat="1" x14ac:dyDescent="0.25">
      <c r="A278" s="68"/>
      <c r="B278" s="10"/>
      <c r="C278" s="68"/>
      <c r="D278" s="68"/>
      <c r="E278" s="68"/>
      <c r="F278" s="68"/>
      <c r="G278" s="68"/>
      <c r="H278" s="68"/>
      <c r="I278" s="68"/>
      <c r="J278" s="68"/>
      <c r="K278" s="68"/>
      <c r="L278" s="68"/>
      <c r="M278" s="68"/>
      <c r="N278" s="68"/>
      <c r="O278" s="68"/>
      <c r="P278" s="68"/>
      <c r="Q278" s="68"/>
      <c r="R278" s="68"/>
      <c r="S278" s="68"/>
      <c r="T278" s="70"/>
      <c r="AC278" s="68"/>
      <c r="AD278" s="70"/>
      <c r="AM278" s="68"/>
      <c r="AN278" s="70"/>
      <c r="AU278" s="68"/>
      <c r="AV278" s="70"/>
      <c r="BB278" s="68"/>
      <c r="BC278" s="70"/>
      <c r="BD278" s="68"/>
      <c r="BE278" s="68"/>
      <c r="BF278" s="68"/>
      <c r="BG278" s="68"/>
      <c r="BH278" s="68"/>
      <c r="BI278" s="68"/>
      <c r="BJ278" s="70"/>
      <c r="BM278" s="68"/>
      <c r="BN278" s="70"/>
      <c r="BT278" s="68"/>
      <c r="BU278" s="70"/>
      <c r="BZ278" s="10"/>
      <c r="CF278" s="10"/>
      <c r="CI278" s="389"/>
      <c r="CJ278" s="389"/>
      <c r="CK278" s="68"/>
      <c r="CL278" s="70"/>
      <c r="CO278" s="10"/>
      <c r="CU278" s="10"/>
      <c r="DA278" s="10"/>
      <c r="DB278" s="70"/>
      <c r="DC278" s="70"/>
      <c r="DF278" s="68"/>
      <c r="DG278" s="70"/>
      <c r="DH278" s="68"/>
      <c r="DI278" s="386"/>
      <c r="DJ278" s="425"/>
      <c r="DL278" s="68"/>
      <c r="DM278" s="70"/>
      <c r="DQ278" s="68"/>
      <c r="DR278" s="70"/>
      <c r="DS278" s="338"/>
      <c r="DT278" s="338"/>
      <c r="DU278" s="338"/>
      <c r="DW278" s="338"/>
      <c r="DX278" s="338"/>
      <c r="DY278" s="338"/>
      <c r="EA278" s="338"/>
      <c r="EB278" s="338"/>
      <c r="EC278" s="338"/>
      <c r="EE278" s="338"/>
      <c r="EF278" s="338"/>
      <c r="EG278" s="338"/>
      <c r="EI278" s="336"/>
      <c r="EJ278" s="336"/>
      <c r="EK278" s="336"/>
      <c r="EL278" s="336"/>
      <c r="EM278" s="336"/>
      <c r="EN278" s="336"/>
      <c r="EO278" s="337"/>
      <c r="EP278" s="342"/>
      <c r="EQ278" s="336"/>
      <c r="ER278" s="342"/>
      <c r="ES278" s="336"/>
      <c r="ET278" s="342"/>
      <c r="EU278" s="336"/>
      <c r="EV278" s="342"/>
      <c r="EW278" s="336"/>
      <c r="EX278" s="342"/>
      <c r="EY278" s="342"/>
      <c r="EZ278" s="342"/>
      <c r="FA278" s="337"/>
      <c r="FE278" s="338"/>
      <c r="FH278" s="338"/>
      <c r="FI278" s="338"/>
      <c r="FJ278" s="338"/>
      <c r="FK278" s="338"/>
      <c r="FL278" s="338"/>
      <c r="FM278" s="337"/>
      <c r="FN278" s="336"/>
      <c r="FO278" s="336"/>
      <c r="FP278" s="336"/>
      <c r="FQ278" s="336"/>
      <c r="FR278" s="336"/>
      <c r="FS278" s="336"/>
      <c r="FT278" s="336"/>
      <c r="FU278" s="336"/>
      <c r="FV278" s="336"/>
      <c r="FW278" s="337"/>
      <c r="FX278" s="532"/>
      <c r="FY278" s="341"/>
      <c r="FZ278" s="341"/>
      <c r="GA278" s="336"/>
      <c r="GB278" s="341"/>
      <c r="GC278" s="341"/>
      <c r="GD278" s="341"/>
      <c r="GE278" s="336"/>
      <c r="GF278" s="336"/>
      <c r="GG278" s="336"/>
      <c r="GH278" s="336"/>
      <c r="GI278" s="336"/>
      <c r="GJ278" s="337"/>
      <c r="GM278" s="338"/>
      <c r="GN278" s="338"/>
      <c r="GO278" s="338"/>
      <c r="GS278" s="338"/>
      <c r="GT278" s="338"/>
      <c r="GU278" s="338"/>
      <c r="GY278" s="338"/>
      <c r="GZ278" s="338"/>
      <c r="HA278" s="338"/>
      <c r="HE278" s="338"/>
      <c r="HF278" s="338"/>
      <c r="HG278" s="338"/>
      <c r="HN278" s="68"/>
      <c r="HO278" s="68"/>
      <c r="HP278" s="68"/>
      <c r="HQ278" s="336"/>
      <c r="HR278" s="68"/>
      <c r="HS278" s="68"/>
      <c r="HT278" s="10"/>
      <c r="HW278" s="338"/>
      <c r="HX278" s="338"/>
      <c r="HY278" s="338"/>
      <c r="IC278" s="338"/>
      <c r="ID278" s="338"/>
      <c r="IE278" s="338"/>
      <c r="II278" s="338"/>
      <c r="IJ278" s="338"/>
      <c r="IK278" s="338"/>
      <c r="IO278" s="338"/>
      <c r="IP278" s="338"/>
      <c r="IQ278" s="338"/>
      <c r="IX278" s="68"/>
      <c r="IY278" s="68"/>
      <c r="IZ278" s="68"/>
      <c r="JA278" s="68"/>
      <c r="JB278" s="68"/>
      <c r="JC278" s="68"/>
      <c r="JD278" s="10"/>
      <c r="JG278" s="338"/>
      <c r="JH278" s="338"/>
      <c r="JI278" s="338"/>
      <c r="JM278" s="338"/>
      <c r="JN278" s="338"/>
      <c r="JQ278" s="338"/>
      <c r="JR278" s="338"/>
      <c r="JS278" s="338"/>
      <c r="JW278" s="358"/>
      <c r="JX278" s="336"/>
      <c r="JY278" s="336"/>
      <c r="JZ278" s="336"/>
      <c r="KA278" s="336"/>
      <c r="KB278" s="336"/>
      <c r="KC278" s="336"/>
      <c r="KD278" s="336"/>
      <c r="KE278" s="336"/>
      <c r="KF278" s="336"/>
      <c r="KG278" s="337"/>
      <c r="KH278" s="338"/>
      <c r="KI278" s="338"/>
      <c r="KJ278" s="338"/>
      <c r="KK278" s="338"/>
      <c r="KL278" s="338"/>
      <c r="KM278" s="338"/>
      <c r="KN278" s="338"/>
      <c r="KO278" s="338"/>
      <c r="KP278" s="338"/>
      <c r="KQ278" s="338"/>
      <c r="KR278" s="338"/>
      <c r="KS278" s="338"/>
      <c r="KT278" s="338"/>
      <c r="KU278" s="338"/>
      <c r="KV278" s="338"/>
      <c r="KW278" s="337"/>
      <c r="KX278" s="336"/>
      <c r="KY278" s="336"/>
      <c r="KZ278" s="336"/>
      <c r="LA278" s="336"/>
      <c r="LB278" s="336"/>
      <c r="LC278" s="336"/>
      <c r="LD278" s="336"/>
      <c r="LE278" s="336"/>
      <c r="LF278" s="336"/>
      <c r="LG278" s="336"/>
      <c r="LH278" s="336"/>
      <c r="LI278" s="336"/>
      <c r="LJ278" s="336"/>
      <c r="LK278" s="336"/>
      <c r="LL278" s="336"/>
      <c r="LM278" s="336"/>
      <c r="LN278" s="336"/>
      <c r="LO278" s="336"/>
      <c r="LP278" s="336"/>
      <c r="LQ278" s="337"/>
      <c r="MN278" s="10"/>
      <c r="OA278" s="10"/>
    </row>
    <row r="279" spans="1:391" s="370" customFormat="1" x14ac:dyDescent="0.25">
      <c r="A279" s="68"/>
      <c r="B279" s="10"/>
      <c r="C279" s="68"/>
      <c r="D279" s="68"/>
      <c r="E279" s="68"/>
      <c r="F279" s="68"/>
      <c r="G279" s="68"/>
      <c r="H279" s="68"/>
      <c r="I279" s="68"/>
      <c r="J279" s="68"/>
      <c r="K279" s="68"/>
      <c r="L279" s="68"/>
      <c r="M279" s="68"/>
      <c r="N279" s="68"/>
      <c r="O279" s="68"/>
      <c r="P279" s="68"/>
      <c r="Q279" s="68"/>
      <c r="R279" s="68"/>
      <c r="S279" s="68"/>
      <c r="T279" s="70"/>
      <c r="AC279" s="68"/>
      <c r="AD279" s="70"/>
      <c r="AM279" s="68"/>
      <c r="AN279" s="70"/>
      <c r="AU279" s="68"/>
      <c r="AV279" s="70"/>
      <c r="BB279" s="68"/>
      <c r="BC279" s="70"/>
      <c r="BD279" s="68"/>
      <c r="BE279" s="68"/>
      <c r="BF279" s="68"/>
      <c r="BG279" s="68"/>
      <c r="BH279" s="68"/>
      <c r="BI279" s="68"/>
      <c r="BJ279" s="70"/>
      <c r="BM279" s="68"/>
      <c r="BN279" s="70"/>
      <c r="BT279" s="68"/>
      <c r="BU279" s="70"/>
      <c r="BZ279" s="10"/>
      <c r="CF279" s="10"/>
      <c r="CI279" s="389"/>
      <c r="CJ279" s="389"/>
      <c r="CK279" s="68"/>
      <c r="CL279" s="70"/>
      <c r="CO279" s="10"/>
      <c r="CU279" s="10"/>
      <c r="DA279" s="10"/>
      <c r="DB279" s="70"/>
      <c r="DC279" s="70"/>
      <c r="DF279" s="68"/>
      <c r="DG279" s="70"/>
      <c r="DH279" s="68"/>
      <c r="DI279" s="386"/>
      <c r="DJ279" s="425"/>
      <c r="DL279" s="68"/>
      <c r="DM279" s="70"/>
      <c r="DQ279" s="68"/>
      <c r="DR279" s="70"/>
      <c r="DS279" s="338"/>
      <c r="DT279" s="338"/>
      <c r="DU279" s="338"/>
      <c r="DW279" s="338"/>
      <c r="DX279" s="338"/>
      <c r="DY279" s="338"/>
      <c r="EA279" s="338"/>
      <c r="EB279" s="338"/>
      <c r="EC279" s="338"/>
      <c r="EE279" s="338"/>
      <c r="EF279" s="338"/>
      <c r="EG279" s="338"/>
      <c r="EI279" s="336"/>
      <c r="EJ279" s="336"/>
      <c r="EK279" s="336"/>
      <c r="EL279" s="336"/>
      <c r="EM279" s="336"/>
      <c r="EN279" s="336"/>
      <c r="EO279" s="337"/>
      <c r="EP279" s="342"/>
      <c r="EQ279" s="336"/>
      <c r="ER279" s="342"/>
      <c r="ES279" s="336"/>
      <c r="ET279" s="342"/>
      <c r="EU279" s="336"/>
      <c r="EV279" s="342"/>
      <c r="EW279" s="336"/>
      <c r="EX279" s="342"/>
      <c r="EY279" s="342"/>
      <c r="EZ279" s="342"/>
      <c r="FA279" s="337"/>
      <c r="FE279" s="338"/>
      <c r="FH279" s="338"/>
      <c r="FI279" s="338"/>
      <c r="FJ279" s="338"/>
      <c r="FK279" s="338"/>
      <c r="FL279" s="338"/>
      <c r="FM279" s="337"/>
      <c r="FN279" s="336"/>
      <c r="FO279" s="336"/>
      <c r="FP279" s="336"/>
      <c r="FQ279" s="336"/>
      <c r="FR279" s="336"/>
      <c r="FS279" s="336"/>
      <c r="FT279" s="336"/>
      <c r="FU279" s="336"/>
      <c r="FV279" s="336"/>
      <c r="FW279" s="337"/>
      <c r="FX279" s="532"/>
      <c r="FY279" s="341"/>
      <c r="FZ279" s="341"/>
      <c r="GA279" s="336"/>
      <c r="GB279" s="341"/>
      <c r="GC279" s="341"/>
      <c r="GD279" s="341"/>
      <c r="GE279" s="336"/>
      <c r="GF279" s="336"/>
      <c r="GG279" s="336"/>
      <c r="GH279" s="336"/>
      <c r="GI279" s="336"/>
      <c r="GJ279" s="337"/>
      <c r="GM279" s="338"/>
      <c r="GN279" s="338"/>
      <c r="GO279" s="338"/>
      <c r="GS279" s="338"/>
      <c r="GT279" s="338"/>
      <c r="GU279" s="338"/>
      <c r="GY279" s="338"/>
      <c r="GZ279" s="338"/>
      <c r="HA279" s="338"/>
      <c r="HE279" s="338"/>
      <c r="HF279" s="338"/>
      <c r="HG279" s="338"/>
      <c r="HN279" s="68"/>
      <c r="HO279" s="68"/>
      <c r="HP279" s="68"/>
      <c r="HQ279" s="336"/>
      <c r="HR279" s="68"/>
      <c r="HS279" s="68"/>
      <c r="HT279" s="10"/>
      <c r="HW279" s="338"/>
      <c r="HX279" s="338"/>
      <c r="HY279" s="338"/>
      <c r="IC279" s="338"/>
      <c r="ID279" s="338"/>
      <c r="IE279" s="338"/>
      <c r="II279" s="338"/>
      <c r="IJ279" s="338"/>
      <c r="IK279" s="338"/>
      <c r="IO279" s="338"/>
      <c r="IP279" s="338"/>
      <c r="IQ279" s="338"/>
      <c r="IX279" s="68"/>
      <c r="IY279" s="68"/>
      <c r="IZ279" s="68"/>
      <c r="JA279" s="68"/>
      <c r="JB279" s="68"/>
      <c r="JC279" s="68"/>
      <c r="JD279" s="10"/>
      <c r="JG279" s="338"/>
      <c r="JH279" s="338"/>
      <c r="JI279" s="338"/>
      <c r="JM279" s="338"/>
      <c r="JN279" s="338"/>
      <c r="JQ279" s="338"/>
      <c r="JR279" s="338"/>
      <c r="JS279" s="338"/>
      <c r="JW279" s="358"/>
      <c r="JX279" s="336"/>
      <c r="JY279" s="336"/>
      <c r="JZ279" s="336"/>
      <c r="KA279" s="336"/>
      <c r="KB279" s="336"/>
      <c r="KC279" s="336"/>
      <c r="KD279" s="336"/>
      <c r="KE279" s="336"/>
      <c r="KF279" s="336"/>
      <c r="KG279" s="337"/>
      <c r="KH279" s="338"/>
      <c r="KI279" s="338"/>
      <c r="KJ279" s="338"/>
      <c r="KK279" s="338"/>
      <c r="KL279" s="338"/>
      <c r="KM279" s="338"/>
      <c r="KN279" s="338"/>
      <c r="KO279" s="338"/>
      <c r="KP279" s="338"/>
      <c r="KQ279" s="338"/>
      <c r="KR279" s="338"/>
      <c r="KS279" s="338"/>
      <c r="KT279" s="338"/>
      <c r="KU279" s="338"/>
      <c r="KV279" s="338"/>
      <c r="KW279" s="337"/>
      <c r="KX279" s="336"/>
      <c r="KY279" s="336"/>
      <c r="KZ279" s="336"/>
      <c r="LA279" s="336"/>
      <c r="LB279" s="336"/>
      <c r="LC279" s="336"/>
      <c r="LD279" s="336"/>
      <c r="LE279" s="336"/>
      <c r="LF279" s="336"/>
      <c r="LG279" s="336"/>
      <c r="LH279" s="336"/>
      <c r="LI279" s="336"/>
      <c r="LJ279" s="336"/>
      <c r="LK279" s="336"/>
      <c r="LL279" s="336"/>
      <c r="LM279" s="336"/>
      <c r="LN279" s="336"/>
      <c r="LO279" s="336"/>
      <c r="LP279" s="336"/>
      <c r="LQ279" s="337"/>
      <c r="MN279" s="10"/>
      <c r="OA279" s="10"/>
    </row>
    <row r="280" spans="1:391" s="370" customFormat="1" x14ac:dyDescent="0.25">
      <c r="A280" s="68"/>
      <c r="B280" s="10"/>
      <c r="C280" s="68"/>
      <c r="D280" s="68"/>
      <c r="E280" s="68"/>
      <c r="F280" s="68"/>
      <c r="G280" s="68"/>
      <c r="H280" s="68"/>
      <c r="I280" s="68"/>
      <c r="J280" s="68"/>
      <c r="K280" s="68"/>
      <c r="L280" s="68"/>
      <c r="M280" s="68"/>
      <c r="N280" s="68"/>
      <c r="O280" s="68"/>
      <c r="P280" s="68"/>
      <c r="Q280" s="68"/>
      <c r="R280" s="68"/>
      <c r="S280" s="68"/>
      <c r="T280" s="70"/>
      <c r="AC280" s="68"/>
      <c r="AD280" s="70"/>
      <c r="AM280" s="68"/>
      <c r="AN280" s="70"/>
      <c r="AU280" s="68"/>
      <c r="AV280" s="70"/>
      <c r="BB280" s="68"/>
      <c r="BC280" s="70"/>
      <c r="BD280" s="68"/>
      <c r="BE280" s="68"/>
      <c r="BF280" s="68"/>
      <c r="BG280" s="68"/>
      <c r="BH280" s="68"/>
      <c r="BI280" s="68"/>
      <c r="BJ280" s="70"/>
      <c r="BM280" s="68"/>
      <c r="BN280" s="70"/>
      <c r="BT280" s="68"/>
      <c r="BU280" s="70"/>
      <c r="BZ280" s="10"/>
      <c r="CF280" s="10"/>
      <c r="CI280" s="389"/>
      <c r="CJ280" s="389"/>
      <c r="CK280" s="68"/>
      <c r="CL280" s="70"/>
      <c r="CO280" s="10"/>
      <c r="CU280" s="10"/>
      <c r="DA280" s="10"/>
      <c r="DB280" s="70"/>
      <c r="DC280" s="70"/>
      <c r="DF280" s="68"/>
      <c r="DG280" s="70"/>
      <c r="DH280" s="68"/>
      <c r="DI280" s="386"/>
      <c r="DJ280" s="425"/>
      <c r="DL280" s="68"/>
      <c r="DM280" s="70"/>
      <c r="DQ280" s="68"/>
      <c r="DR280" s="70"/>
      <c r="DS280" s="338"/>
      <c r="DT280" s="338"/>
      <c r="DU280" s="338"/>
      <c r="DW280" s="338"/>
      <c r="DX280" s="338"/>
      <c r="DY280" s="338"/>
      <c r="EA280" s="338"/>
      <c r="EB280" s="338"/>
      <c r="EC280" s="338"/>
      <c r="EE280" s="338"/>
      <c r="EF280" s="338"/>
      <c r="EG280" s="338"/>
      <c r="EI280" s="336"/>
      <c r="EJ280" s="336"/>
      <c r="EK280" s="336"/>
      <c r="EL280" s="336"/>
      <c r="EM280" s="336"/>
      <c r="EN280" s="336"/>
      <c r="EO280" s="337"/>
      <c r="EP280" s="342"/>
      <c r="EQ280" s="336"/>
      <c r="ER280" s="342"/>
      <c r="ES280" s="336"/>
      <c r="ET280" s="342"/>
      <c r="EU280" s="336"/>
      <c r="EV280" s="342"/>
      <c r="EW280" s="336"/>
      <c r="EX280" s="342"/>
      <c r="EY280" s="342"/>
      <c r="EZ280" s="342"/>
      <c r="FA280" s="337"/>
      <c r="FE280" s="338"/>
      <c r="FH280" s="338"/>
      <c r="FI280" s="338"/>
      <c r="FJ280" s="338"/>
      <c r="FK280" s="338"/>
      <c r="FL280" s="338"/>
      <c r="FM280" s="337"/>
      <c r="FN280" s="336"/>
      <c r="FO280" s="336"/>
      <c r="FP280" s="336"/>
      <c r="FQ280" s="336"/>
      <c r="FR280" s="336"/>
      <c r="FS280" s="336"/>
      <c r="FT280" s="336"/>
      <c r="FU280" s="336"/>
      <c r="FV280" s="336"/>
      <c r="FW280" s="337"/>
      <c r="FX280" s="532"/>
      <c r="FY280" s="341"/>
      <c r="FZ280" s="341"/>
      <c r="GA280" s="336"/>
      <c r="GB280" s="341"/>
      <c r="GC280" s="341"/>
      <c r="GD280" s="341"/>
      <c r="GE280" s="336"/>
      <c r="GF280" s="336"/>
      <c r="GG280" s="336"/>
      <c r="GH280" s="336"/>
      <c r="GI280" s="336"/>
      <c r="GJ280" s="337"/>
      <c r="GM280" s="338"/>
      <c r="GN280" s="338"/>
      <c r="GO280" s="338"/>
      <c r="GS280" s="338"/>
      <c r="GT280" s="338"/>
      <c r="GU280" s="338"/>
      <c r="GY280" s="338"/>
      <c r="GZ280" s="338"/>
      <c r="HA280" s="338"/>
      <c r="HE280" s="338"/>
      <c r="HF280" s="338"/>
      <c r="HG280" s="338"/>
      <c r="HN280" s="68"/>
      <c r="HO280" s="68"/>
      <c r="HP280" s="68"/>
      <c r="HQ280" s="336"/>
      <c r="HR280" s="68"/>
      <c r="HS280" s="68"/>
      <c r="HT280" s="10"/>
      <c r="HW280" s="338"/>
      <c r="HX280" s="338"/>
      <c r="HY280" s="338"/>
      <c r="IC280" s="338"/>
      <c r="ID280" s="338"/>
      <c r="IE280" s="338"/>
      <c r="II280" s="338"/>
      <c r="IJ280" s="338"/>
      <c r="IK280" s="338"/>
      <c r="IO280" s="338"/>
      <c r="IP280" s="338"/>
      <c r="IQ280" s="338"/>
      <c r="IX280" s="68"/>
      <c r="IY280" s="68"/>
      <c r="IZ280" s="68"/>
      <c r="JA280" s="68"/>
      <c r="JB280" s="68"/>
      <c r="JC280" s="68"/>
      <c r="JD280" s="10"/>
      <c r="JG280" s="338"/>
      <c r="JH280" s="338"/>
      <c r="JI280" s="338"/>
      <c r="JM280" s="338"/>
      <c r="JN280" s="338"/>
      <c r="JQ280" s="338"/>
      <c r="JR280" s="338"/>
      <c r="JS280" s="338"/>
      <c r="JW280" s="358"/>
      <c r="JX280" s="336"/>
      <c r="JY280" s="336"/>
      <c r="JZ280" s="336"/>
      <c r="KA280" s="336"/>
      <c r="KB280" s="336"/>
      <c r="KC280" s="336"/>
      <c r="KD280" s="336"/>
      <c r="KE280" s="336"/>
      <c r="KF280" s="336"/>
      <c r="KG280" s="337"/>
      <c r="KH280" s="338"/>
      <c r="KI280" s="338"/>
      <c r="KJ280" s="338"/>
      <c r="KK280" s="338"/>
      <c r="KL280" s="338"/>
      <c r="KM280" s="338"/>
      <c r="KN280" s="338"/>
      <c r="KO280" s="338"/>
      <c r="KP280" s="338"/>
      <c r="KQ280" s="338"/>
      <c r="KR280" s="338"/>
      <c r="KS280" s="338"/>
      <c r="KT280" s="338"/>
      <c r="KU280" s="338"/>
      <c r="KV280" s="338"/>
      <c r="KW280" s="337"/>
      <c r="KX280" s="336"/>
      <c r="KY280" s="336"/>
      <c r="KZ280" s="336"/>
      <c r="LA280" s="336"/>
      <c r="LB280" s="336"/>
      <c r="LC280" s="336"/>
      <c r="LD280" s="336"/>
      <c r="LE280" s="336"/>
      <c r="LF280" s="336"/>
      <c r="LG280" s="336"/>
      <c r="LH280" s="336"/>
      <c r="LI280" s="336"/>
      <c r="LJ280" s="336"/>
      <c r="LK280" s="336"/>
      <c r="LL280" s="336"/>
      <c r="LM280" s="336"/>
      <c r="LN280" s="336"/>
      <c r="LO280" s="336"/>
      <c r="LP280" s="336"/>
      <c r="LQ280" s="337"/>
      <c r="MN280" s="10"/>
      <c r="OA280" s="10"/>
    </row>
    <row r="281" spans="1:391" s="370" customFormat="1" x14ac:dyDescent="0.25">
      <c r="A281" s="68"/>
      <c r="B281" s="10"/>
      <c r="C281" s="68"/>
      <c r="D281" s="68"/>
      <c r="E281" s="68"/>
      <c r="F281" s="68"/>
      <c r="G281" s="68"/>
      <c r="H281" s="68"/>
      <c r="I281" s="68"/>
      <c r="J281" s="68"/>
      <c r="K281" s="68"/>
      <c r="L281" s="68"/>
      <c r="M281" s="68"/>
      <c r="N281" s="68"/>
      <c r="O281" s="68"/>
      <c r="P281" s="68"/>
      <c r="Q281" s="68"/>
      <c r="R281" s="68"/>
      <c r="S281" s="68"/>
      <c r="T281" s="70"/>
      <c r="AC281" s="68"/>
      <c r="AD281" s="70"/>
      <c r="AM281" s="68"/>
      <c r="AN281" s="70"/>
      <c r="AU281" s="68"/>
      <c r="AV281" s="70"/>
      <c r="BB281" s="68"/>
      <c r="BC281" s="70"/>
      <c r="BD281" s="68"/>
      <c r="BE281" s="68"/>
      <c r="BF281" s="68"/>
      <c r="BG281" s="68"/>
      <c r="BH281" s="68"/>
      <c r="BI281" s="68"/>
      <c r="BJ281" s="70"/>
      <c r="BM281" s="68"/>
      <c r="BN281" s="70"/>
      <c r="BT281" s="68"/>
      <c r="BU281" s="70"/>
      <c r="BZ281" s="10"/>
      <c r="CF281" s="10"/>
      <c r="CI281" s="389"/>
      <c r="CJ281" s="389"/>
      <c r="CK281" s="68"/>
      <c r="CL281" s="70"/>
      <c r="CO281" s="10"/>
      <c r="CU281" s="10"/>
      <c r="DA281" s="10"/>
      <c r="DB281" s="70"/>
      <c r="DC281" s="70"/>
      <c r="DF281" s="68"/>
      <c r="DG281" s="70"/>
      <c r="DH281" s="68"/>
      <c r="DI281" s="386"/>
      <c r="DJ281" s="425"/>
      <c r="DL281" s="68"/>
      <c r="DM281" s="70"/>
      <c r="DQ281" s="68"/>
      <c r="DR281" s="70"/>
      <c r="DS281" s="338"/>
      <c r="DT281" s="338"/>
      <c r="DU281" s="338"/>
      <c r="DW281" s="338"/>
      <c r="DX281" s="338"/>
      <c r="DY281" s="338"/>
      <c r="EA281" s="338"/>
      <c r="EB281" s="338"/>
      <c r="EC281" s="338"/>
      <c r="EE281" s="338"/>
      <c r="EF281" s="338"/>
      <c r="EG281" s="338"/>
      <c r="EI281" s="336"/>
      <c r="EJ281" s="336"/>
      <c r="EK281" s="336"/>
      <c r="EL281" s="336"/>
      <c r="EM281" s="336"/>
      <c r="EN281" s="336"/>
      <c r="EO281" s="337"/>
      <c r="EP281" s="342"/>
      <c r="EQ281" s="336"/>
      <c r="ER281" s="342"/>
      <c r="ES281" s="336"/>
      <c r="ET281" s="342"/>
      <c r="EU281" s="336"/>
      <c r="EV281" s="342"/>
      <c r="EW281" s="336"/>
      <c r="EX281" s="342"/>
      <c r="EY281" s="342"/>
      <c r="EZ281" s="342"/>
      <c r="FA281" s="337"/>
      <c r="FE281" s="338"/>
      <c r="FH281" s="338"/>
      <c r="FI281" s="338"/>
      <c r="FJ281" s="338"/>
      <c r="FK281" s="338"/>
      <c r="FL281" s="338"/>
      <c r="FM281" s="337"/>
      <c r="FN281" s="336"/>
      <c r="FO281" s="336"/>
      <c r="FP281" s="336"/>
      <c r="FQ281" s="336"/>
      <c r="FR281" s="336"/>
      <c r="FS281" s="336"/>
      <c r="FT281" s="336"/>
      <c r="FU281" s="336"/>
      <c r="FV281" s="336"/>
      <c r="FW281" s="337"/>
      <c r="FX281" s="532"/>
      <c r="FY281" s="341"/>
      <c r="FZ281" s="341"/>
      <c r="GA281" s="336"/>
      <c r="GB281" s="341"/>
      <c r="GC281" s="341"/>
      <c r="GD281" s="341"/>
      <c r="GE281" s="336"/>
      <c r="GF281" s="336"/>
      <c r="GG281" s="336"/>
      <c r="GH281" s="336"/>
      <c r="GI281" s="336"/>
      <c r="GJ281" s="337"/>
      <c r="GM281" s="338"/>
      <c r="GN281" s="338"/>
      <c r="GO281" s="338"/>
      <c r="GS281" s="338"/>
      <c r="GT281" s="338"/>
      <c r="GU281" s="338"/>
      <c r="GY281" s="338"/>
      <c r="GZ281" s="338"/>
      <c r="HA281" s="338"/>
      <c r="HE281" s="338"/>
      <c r="HF281" s="338"/>
      <c r="HG281" s="338"/>
      <c r="HN281" s="68"/>
      <c r="HO281" s="68"/>
      <c r="HP281" s="68"/>
      <c r="HQ281" s="336"/>
      <c r="HR281" s="68"/>
      <c r="HS281" s="68"/>
      <c r="HT281" s="10"/>
      <c r="HW281" s="338"/>
      <c r="HX281" s="338"/>
      <c r="HY281" s="338"/>
      <c r="IC281" s="338"/>
      <c r="ID281" s="338"/>
      <c r="IE281" s="338"/>
      <c r="II281" s="338"/>
      <c r="IJ281" s="338"/>
      <c r="IK281" s="338"/>
      <c r="IO281" s="338"/>
      <c r="IP281" s="338"/>
      <c r="IQ281" s="338"/>
      <c r="IX281" s="68"/>
      <c r="IY281" s="68"/>
      <c r="IZ281" s="68"/>
      <c r="JA281" s="68"/>
      <c r="JB281" s="68"/>
      <c r="JC281" s="68"/>
      <c r="JD281" s="10"/>
      <c r="JG281" s="338"/>
      <c r="JH281" s="338"/>
      <c r="JI281" s="338"/>
      <c r="JM281" s="338"/>
      <c r="JN281" s="338"/>
      <c r="JQ281" s="338"/>
      <c r="JR281" s="338"/>
      <c r="JS281" s="338"/>
      <c r="JW281" s="358"/>
      <c r="JX281" s="336"/>
      <c r="JY281" s="336"/>
      <c r="JZ281" s="336"/>
      <c r="KA281" s="336"/>
      <c r="KB281" s="336"/>
      <c r="KC281" s="336"/>
      <c r="KD281" s="336"/>
      <c r="KE281" s="336"/>
      <c r="KF281" s="336"/>
      <c r="KG281" s="337"/>
      <c r="KH281" s="338"/>
      <c r="KI281" s="338"/>
      <c r="KJ281" s="338"/>
      <c r="KK281" s="338"/>
      <c r="KL281" s="338"/>
      <c r="KM281" s="338"/>
      <c r="KN281" s="338"/>
      <c r="KO281" s="338"/>
      <c r="KP281" s="338"/>
      <c r="KQ281" s="338"/>
      <c r="KR281" s="338"/>
      <c r="KS281" s="338"/>
      <c r="KT281" s="338"/>
      <c r="KU281" s="338"/>
      <c r="KV281" s="338"/>
      <c r="KW281" s="337"/>
      <c r="KX281" s="336"/>
      <c r="KY281" s="336"/>
      <c r="KZ281" s="336"/>
      <c r="LA281" s="336"/>
      <c r="LB281" s="336"/>
      <c r="LC281" s="336"/>
      <c r="LD281" s="336"/>
      <c r="LE281" s="336"/>
      <c r="LF281" s="336"/>
      <c r="LG281" s="336"/>
      <c r="LH281" s="336"/>
      <c r="LI281" s="336"/>
      <c r="LJ281" s="336"/>
      <c r="LK281" s="336"/>
      <c r="LL281" s="336"/>
      <c r="LM281" s="336"/>
      <c r="LN281" s="336"/>
      <c r="LO281" s="336"/>
      <c r="LP281" s="336"/>
      <c r="LQ281" s="337"/>
      <c r="MN281" s="10"/>
      <c r="OA281" s="10"/>
    </row>
    <row r="282" spans="1:391" s="370" customFormat="1" x14ac:dyDescent="0.25">
      <c r="A282" s="68"/>
      <c r="B282" s="10"/>
      <c r="C282" s="68"/>
      <c r="D282" s="68"/>
      <c r="E282" s="68"/>
      <c r="F282" s="68"/>
      <c r="G282" s="68"/>
      <c r="H282" s="68"/>
      <c r="I282" s="68"/>
      <c r="J282" s="68"/>
      <c r="K282" s="68"/>
      <c r="L282" s="68"/>
      <c r="M282" s="68"/>
      <c r="N282" s="68"/>
      <c r="O282" s="68"/>
      <c r="P282" s="68"/>
      <c r="Q282" s="68"/>
      <c r="R282" s="68"/>
      <c r="S282" s="68"/>
      <c r="T282" s="70"/>
      <c r="AC282" s="68"/>
      <c r="AD282" s="70"/>
      <c r="AM282" s="68"/>
      <c r="AN282" s="70"/>
      <c r="AU282" s="68"/>
      <c r="AV282" s="70"/>
      <c r="BB282" s="68"/>
      <c r="BC282" s="70"/>
      <c r="BD282" s="68"/>
      <c r="BE282" s="68"/>
      <c r="BF282" s="68"/>
      <c r="BG282" s="68"/>
      <c r="BH282" s="68"/>
      <c r="BI282" s="68"/>
      <c r="BJ282" s="70"/>
      <c r="BM282" s="68"/>
      <c r="BN282" s="70"/>
      <c r="BT282" s="68"/>
      <c r="BU282" s="70"/>
      <c r="BZ282" s="10"/>
      <c r="CF282" s="10"/>
      <c r="CI282" s="389"/>
      <c r="CJ282" s="389"/>
      <c r="CK282" s="68"/>
      <c r="CL282" s="70"/>
      <c r="CO282" s="10"/>
      <c r="CU282" s="10"/>
      <c r="DA282" s="10"/>
      <c r="DB282" s="70"/>
      <c r="DC282" s="70"/>
      <c r="DF282" s="68"/>
      <c r="DG282" s="70"/>
      <c r="DH282" s="68"/>
      <c r="DI282" s="386"/>
      <c r="DJ282" s="425"/>
      <c r="DL282" s="68"/>
      <c r="DM282" s="70"/>
      <c r="DQ282" s="68"/>
      <c r="DR282" s="70"/>
      <c r="DS282" s="338"/>
      <c r="DT282" s="338"/>
      <c r="DU282" s="338"/>
      <c r="DW282" s="338"/>
      <c r="DX282" s="338"/>
      <c r="DY282" s="338"/>
      <c r="EA282" s="338"/>
      <c r="EB282" s="338"/>
      <c r="EC282" s="338"/>
      <c r="EE282" s="338"/>
      <c r="EF282" s="338"/>
      <c r="EG282" s="338"/>
      <c r="EI282" s="336"/>
      <c r="EJ282" s="336"/>
      <c r="EK282" s="336"/>
      <c r="EL282" s="336"/>
      <c r="EM282" s="336"/>
      <c r="EN282" s="336"/>
      <c r="EO282" s="337"/>
      <c r="EP282" s="342"/>
      <c r="EQ282" s="336"/>
      <c r="ER282" s="342"/>
      <c r="ES282" s="336"/>
      <c r="ET282" s="342"/>
      <c r="EU282" s="336"/>
      <c r="EV282" s="342"/>
      <c r="EW282" s="336"/>
      <c r="EX282" s="342"/>
      <c r="EY282" s="342"/>
      <c r="EZ282" s="342"/>
      <c r="FA282" s="337"/>
      <c r="FE282" s="338"/>
      <c r="FH282" s="338"/>
      <c r="FI282" s="338"/>
      <c r="FJ282" s="338"/>
      <c r="FK282" s="338"/>
      <c r="FL282" s="338"/>
      <c r="FM282" s="337"/>
      <c r="FN282" s="336"/>
      <c r="FO282" s="336"/>
      <c r="FP282" s="336"/>
      <c r="FQ282" s="336"/>
      <c r="FR282" s="336"/>
      <c r="FS282" s="336"/>
      <c r="FT282" s="336"/>
      <c r="FU282" s="336"/>
      <c r="FV282" s="336"/>
      <c r="FW282" s="337"/>
      <c r="FX282" s="532"/>
      <c r="FY282" s="341"/>
      <c r="FZ282" s="341"/>
      <c r="GA282" s="336"/>
      <c r="GB282" s="341"/>
      <c r="GC282" s="341"/>
      <c r="GD282" s="341"/>
      <c r="GE282" s="336"/>
      <c r="GF282" s="336"/>
      <c r="GG282" s="336"/>
      <c r="GH282" s="336"/>
      <c r="GI282" s="336"/>
      <c r="GJ282" s="337"/>
      <c r="GM282" s="338"/>
      <c r="GN282" s="338"/>
      <c r="GO282" s="338"/>
      <c r="GS282" s="338"/>
      <c r="GT282" s="338"/>
      <c r="GU282" s="338"/>
      <c r="GY282" s="338"/>
      <c r="GZ282" s="338"/>
      <c r="HA282" s="338"/>
      <c r="HE282" s="338"/>
      <c r="HF282" s="338"/>
      <c r="HG282" s="338"/>
      <c r="HN282" s="68"/>
      <c r="HO282" s="68"/>
      <c r="HP282" s="68"/>
      <c r="HQ282" s="336"/>
      <c r="HR282" s="68"/>
      <c r="HS282" s="68"/>
      <c r="HT282" s="10"/>
      <c r="HW282" s="338"/>
      <c r="HX282" s="338"/>
      <c r="HY282" s="338"/>
      <c r="IC282" s="338"/>
      <c r="ID282" s="338"/>
      <c r="IE282" s="338"/>
      <c r="II282" s="338"/>
      <c r="IJ282" s="338"/>
      <c r="IK282" s="338"/>
      <c r="IO282" s="338"/>
      <c r="IP282" s="338"/>
      <c r="IQ282" s="338"/>
      <c r="IX282" s="68"/>
      <c r="IY282" s="68"/>
      <c r="IZ282" s="68"/>
      <c r="JA282" s="68"/>
      <c r="JB282" s="68"/>
      <c r="JC282" s="68"/>
      <c r="JD282" s="10"/>
      <c r="JG282" s="338"/>
      <c r="JH282" s="338"/>
      <c r="JI282" s="338"/>
      <c r="JM282" s="338"/>
      <c r="JN282" s="338"/>
      <c r="JQ282" s="338"/>
      <c r="JR282" s="338"/>
      <c r="JS282" s="338"/>
      <c r="JW282" s="358"/>
      <c r="JX282" s="336"/>
      <c r="JY282" s="336"/>
      <c r="JZ282" s="336"/>
      <c r="KA282" s="336"/>
      <c r="KB282" s="336"/>
      <c r="KC282" s="336"/>
      <c r="KD282" s="336"/>
      <c r="KE282" s="336"/>
      <c r="KF282" s="336"/>
      <c r="KG282" s="337"/>
      <c r="KH282" s="338"/>
      <c r="KI282" s="338"/>
      <c r="KJ282" s="338"/>
      <c r="KK282" s="338"/>
      <c r="KL282" s="338"/>
      <c r="KM282" s="338"/>
      <c r="KN282" s="338"/>
      <c r="KO282" s="338"/>
      <c r="KP282" s="338"/>
      <c r="KQ282" s="338"/>
      <c r="KR282" s="338"/>
      <c r="KS282" s="338"/>
      <c r="KT282" s="338"/>
      <c r="KU282" s="338"/>
      <c r="KV282" s="338"/>
      <c r="KW282" s="337"/>
      <c r="KX282" s="336"/>
      <c r="KY282" s="336"/>
      <c r="KZ282" s="336"/>
      <c r="LA282" s="336"/>
      <c r="LB282" s="336"/>
      <c r="LC282" s="336"/>
      <c r="LD282" s="336"/>
      <c r="LE282" s="336"/>
      <c r="LF282" s="336"/>
      <c r="LG282" s="336"/>
      <c r="LH282" s="336"/>
      <c r="LI282" s="336"/>
      <c r="LJ282" s="336"/>
      <c r="LK282" s="336"/>
      <c r="LL282" s="336"/>
      <c r="LM282" s="336"/>
      <c r="LN282" s="336"/>
      <c r="LO282" s="336"/>
      <c r="LP282" s="336"/>
      <c r="LQ282" s="337"/>
      <c r="MN282" s="10"/>
      <c r="OA282" s="10"/>
    </row>
    <row r="283" spans="1:391" s="370" customFormat="1" x14ac:dyDescent="0.25">
      <c r="A283" s="68"/>
      <c r="B283" s="10"/>
      <c r="C283" s="68"/>
      <c r="D283" s="68"/>
      <c r="E283" s="68"/>
      <c r="F283" s="68"/>
      <c r="G283" s="68"/>
      <c r="H283" s="68"/>
      <c r="I283" s="68"/>
      <c r="J283" s="68"/>
      <c r="K283" s="68"/>
      <c r="L283" s="68"/>
      <c r="M283" s="68"/>
      <c r="N283" s="68"/>
      <c r="O283" s="68"/>
      <c r="P283" s="68"/>
      <c r="Q283" s="68"/>
      <c r="R283" s="68"/>
      <c r="S283" s="68"/>
      <c r="T283" s="70"/>
      <c r="AC283" s="68"/>
      <c r="AD283" s="70"/>
      <c r="AM283" s="68"/>
      <c r="AN283" s="70"/>
      <c r="AU283" s="68"/>
      <c r="AV283" s="70"/>
      <c r="BB283" s="68"/>
      <c r="BC283" s="70"/>
      <c r="BD283" s="68"/>
      <c r="BE283" s="68"/>
      <c r="BF283" s="68"/>
      <c r="BG283" s="68"/>
      <c r="BH283" s="68"/>
      <c r="BI283" s="68"/>
      <c r="BJ283" s="70"/>
      <c r="BM283" s="68"/>
      <c r="BN283" s="70"/>
      <c r="BT283" s="68"/>
      <c r="BU283" s="70"/>
      <c r="BZ283" s="10"/>
      <c r="CF283" s="10"/>
      <c r="CI283" s="389"/>
      <c r="CJ283" s="389"/>
      <c r="CK283" s="68"/>
      <c r="CL283" s="70"/>
      <c r="CO283" s="10"/>
      <c r="CU283" s="10"/>
      <c r="DA283" s="10"/>
      <c r="DB283" s="70"/>
      <c r="DC283" s="70"/>
      <c r="DF283" s="68"/>
      <c r="DG283" s="70"/>
      <c r="DH283" s="68"/>
      <c r="DI283" s="386"/>
      <c r="DJ283" s="425"/>
      <c r="DL283" s="68"/>
      <c r="DM283" s="70"/>
      <c r="DQ283" s="68"/>
      <c r="DR283" s="70"/>
      <c r="DS283" s="338"/>
      <c r="DT283" s="338"/>
      <c r="DU283" s="338"/>
      <c r="DW283" s="338"/>
      <c r="DX283" s="338"/>
      <c r="DY283" s="338"/>
      <c r="EA283" s="338"/>
      <c r="EB283" s="338"/>
      <c r="EC283" s="338"/>
      <c r="EE283" s="338"/>
      <c r="EF283" s="338"/>
      <c r="EG283" s="338"/>
      <c r="EI283" s="336"/>
      <c r="EJ283" s="336"/>
      <c r="EK283" s="336"/>
      <c r="EL283" s="336"/>
      <c r="EM283" s="336"/>
      <c r="EN283" s="336"/>
      <c r="EO283" s="337"/>
      <c r="EP283" s="342"/>
      <c r="EQ283" s="336"/>
      <c r="ER283" s="342"/>
      <c r="ES283" s="336"/>
      <c r="ET283" s="342"/>
      <c r="EU283" s="336"/>
      <c r="EV283" s="342"/>
      <c r="EW283" s="336"/>
      <c r="EX283" s="342"/>
      <c r="EY283" s="342"/>
      <c r="EZ283" s="342"/>
      <c r="FA283" s="337"/>
      <c r="FE283" s="338"/>
      <c r="FH283" s="338"/>
      <c r="FI283" s="338"/>
      <c r="FJ283" s="338"/>
      <c r="FK283" s="338"/>
      <c r="FL283" s="338"/>
      <c r="FM283" s="337"/>
      <c r="FN283" s="336"/>
      <c r="FO283" s="336"/>
      <c r="FP283" s="336"/>
      <c r="FQ283" s="336"/>
      <c r="FR283" s="336"/>
      <c r="FS283" s="336"/>
      <c r="FT283" s="336"/>
      <c r="FU283" s="336"/>
      <c r="FV283" s="336"/>
      <c r="FW283" s="337"/>
      <c r="FX283" s="532"/>
      <c r="FY283" s="341"/>
      <c r="FZ283" s="341"/>
      <c r="GA283" s="336"/>
      <c r="GB283" s="341"/>
      <c r="GC283" s="341"/>
      <c r="GD283" s="341"/>
      <c r="GE283" s="336"/>
      <c r="GF283" s="336"/>
      <c r="GG283" s="336"/>
      <c r="GH283" s="336"/>
      <c r="GI283" s="336"/>
      <c r="GJ283" s="337"/>
      <c r="GM283" s="338"/>
      <c r="GN283" s="338"/>
      <c r="GO283" s="338"/>
      <c r="GS283" s="338"/>
      <c r="GT283" s="338"/>
      <c r="GU283" s="338"/>
      <c r="GY283" s="338"/>
      <c r="GZ283" s="338"/>
      <c r="HA283" s="338"/>
      <c r="HE283" s="338"/>
      <c r="HF283" s="338"/>
      <c r="HG283" s="338"/>
      <c r="HN283" s="68"/>
      <c r="HO283" s="68"/>
      <c r="HP283" s="68"/>
      <c r="HQ283" s="336"/>
      <c r="HR283" s="68"/>
      <c r="HS283" s="68"/>
      <c r="HT283" s="10"/>
      <c r="HW283" s="338"/>
      <c r="HX283" s="338"/>
      <c r="HY283" s="338"/>
      <c r="IC283" s="338"/>
      <c r="ID283" s="338"/>
      <c r="IE283" s="338"/>
      <c r="II283" s="338"/>
      <c r="IJ283" s="338"/>
      <c r="IK283" s="338"/>
      <c r="IO283" s="338"/>
      <c r="IP283" s="338"/>
      <c r="IQ283" s="338"/>
      <c r="IX283" s="68"/>
      <c r="IY283" s="68"/>
      <c r="IZ283" s="68"/>
      <c r="JA283" s="68"/>
      <c r="JB283" s="68"/>
      <c r="JC283" s="68"/>
      <c r="JD283" s="10"/>
      <c r="JG283" s="338"/>
      <c r="JH283" s="338"/>
      <c r="JI283" s="338"/>
      <c r="JM283" s="338"/>
      <c r="JN283" s="338"/>
      <c r="JQ283" s="338"/>
      <c r="JR283" s="338"/>
      <c r="JS283" s="338"/>
      <c r="JW283" s="358"/>
      <c r="JX283" s="336"/>
      <c r="JY283" s="336"/>
      <c r="JZ283" s="336"/>
      <c r="KA283" s="336"/>
      <c r="KB283" s="336"/>
      <c r="KC283" s="336"/>
      <c r="KD283" s="336"/>
      <c r="KE283" s="336"/>
      <c r="KF283" s="336"/>
      <c r="KG283" s="337"/>
      <c r="KH283" s="338"/>
      <c r="KI283" s="338"/>
      <c r="KJ283" s="338"/>
      <c r="KK283" s="338"/>
      <c r="KL283" s="338"/>
      <c r="KM283" s="338"/>
      <c r="KN283" s="338"/>
      <c r="KO283" s="338"/>
      <c r="KP283" s="338"/>
      <c r="KQ283" s="338"/>
      <c r="KR283" s="338"/>
      <c r="KS283" s="338"/>
      <c r="KT283" s="338"/>
      <c r="KU283" s="338"/>
      <c r="KV283" s="338"/>
      <c r="KW283" s="337"/>
      <c r="KX283" s="336"/>
      <c r="KY283" s="336"/>
      <c r="KZ283" s="336"/>
      <c r="LA283" s="336"/>
      <c r="LB283" s="336"/>
      <c r="LC283" s="336"/>
      <c r="LD283" s="336"/>
      <c r="LE283" s="336"/>
      <c r="LF283" s="336"/>
      <c r="LG283" s="336"/>
      <c r="LH283" s="336"/>
      <c r="LI283" s="336"/>
      <c r="LJ283" s="336"/>
      <c r="LK283" s="336"/>
      <c r="LL283" s="336"/>
      <c r="LM283" s="336"/>
      <c r="LN283" s="336"/>
      <c r="LO283" s="336"/>
      <c r="LP283" s="336"/>
      <c r="LQ283" s="337"/>
      <c r="MN283" s="10"/>
      <c r="OA283" s="10"/>
    </row>
    <row r="284" spans="1:391" s="370" customFormat="1" x14ac:dyDescent="0.25">
      <c r="A284" s="68"/>
      <c r="B284" s="10"/>
      <c r="C284" s="68"/>
      <c r="D284" s="68"/>
      <c r="E284" s="68"/>
      <c r="F284" s="68"/>
      <c r="G284" s="68"/>
      <c r="H284" s="68"/>
      <c r="I284" s="68"/>
      <c r="J284" s="68"/>
      <c r="K284" s="68"/>
      <c r="L284" s="68"/>
      <c r="M284" s="68"/>
      <c r="N284" s="68"/>
      <c r="O284" s="68"/>
      <c r="P284" s="68"/>
      <c r="Q284" s="68"/>
      <c r="R284" s="68"/>
      <c r="S284" s="68"/>
      <c r="T284" s="70"/>
      <c r="AC284" s="68"/>
      <c r="AD284" s="70"/>
      <c r="AM284" s="68"/>
      <c r="AN284" s="70"/>
      <c r="AU284" s="68"/>
      <c r="AV284" s="70"/>
      <c r="BB284" s="68"/>
      <c r="BC284" s="70"/>
      <c r="BD284" s="68"/>
      <c r="BE284" s="68"/>
      <c r="BF284" s="68"/>
      <c r="BG284" s="68"/>
      <c r="BH284" s="68"/>
      <c r="BI284" s="68"/>
      <c r="BJ284" s="70"/>
      <c r="BM284" s="68"/>
      <c r="BN284" s="70"/>
      <c r="BT284" s="68"/>
      <c r="BU284" s="70"/>
      <c r="BZ284" s="10"/>
      <c r="CF284" s="10"/>
      <c r="CI284" s="389"/>
      <c r="CJ284" s="389"/>
      <c r="CK284" s="68"/>
      <c r="CL284" s="70"/>
      <c r="CO284" s="10"/>
      <c r="CU284" s="10"/>
      <c r="DA284" s="10"/>
      <c r="DB284" s="70"/>
      <c r="DC284" s="70"/>
      <c r="DF284" s="68"/>
      <c r="DG284" s="70"/>
      <c r="DH284" s="68"/>
      <c r="DI284" s="386"/>
      <c r="DJ284" s="425"/>
      <c r="DL284" s="68"/>
      <c r="DM284" s="70"/>
      <c r="DQ284" s="68"/>
      <c r="DR284" s="70"/>
      <c r="DS284" s="338"/>
      <c r="DT284" s="338"/>
      <c r="DU284" s="338"/>
      <c r="DW284" s="338"/>
      <c r="DX284" s="338"/>
      <c r="DY284" s="338"/>
      <c r="EA284" s="338"/>
      <c r="EB284" s="338"/>
      <c r="EC284" s="338"/>
      <c r="EE284" s="338"/>
      <c r="EF284" s="338"/>
      <c r="EG284" s="338"/>
      <c r="EI284" s="336"/>
      <c r="EJ284" s="336"/>
      <c r="EK284" s="336"/>
      <c r="EL284" s="336"/>
      <c r="EM284" s="336"/>
      <c r="EN284" s="336"/>
      <c r="EO284" s="337"/>
      <c r="EP284" s="342"/>
      <c r="EQ284" s="336"/>
      <c r="ER284" s="342"/>
      <c r="ES284" s="336"/>
      <c r="ET284" s="342"/>
      <c r="EU284" s="336"/>
      <c r="EV284" s="342"/>
      <c r="EW284" s="336"/>
      <c r="EX284" s="342"/>
      <c r="EY284" s="342"/>
      <c r="EZ284" s="342"/>
      <c r="FA284" s="337"/>
      <c r="FE284" s="338"/>
      <c r="FH284" s="338"/>
      <c r="FI284" s="338"/>
      <c r="FJ284" s="338"/>
      <c r="FK284" s="338"/>
      <c r="FL284" s="338"/>
      <c r="FM284" s="337"/>
      <c r="FN284" s="336"/>
      <c r="FO284" s="336"/>
      <c r="FP284" s="336"/>
      <c r="FQ284" s="336"/>
      <c r="FR284" s="336"/>
      <c r="FS284" s="336"/>
      <c r="FT284" s="336"/>
      <c r="FU284" s="336"/>
      <c r="FV284" s="336"/>
      <c r="FW284" s="337"/>
      <c r="FX284" s="532"/>
      <c r="FY284" s="341"/>
      <c r="FZ284" s="341"/>
      <c r="GA284" s="336"/>
      <c r="GB284" s="341"/>
      <c r="GC284" s="341"/>
      <c r="GD284" s="341"/>
      <c r="GE284" s="336"/>
      <c r="GF284" s="336"/>
      <c r="GG284" s="336"/>
      <c r="GH284" s="336"/>
      <c r="GI284" s="336"/>
      <c r="GJ284" s="337"/>
      <c r="GM284" s="338"/>
      <c r="GN284" s="338"/>
      <c r="GO284" s="338"/>
      <c r="GS284" s="338"/>
      <c r="GT284" s="338"/>
      <c r="GU284" s="338"/>
      <c r="GY284" s="338"/>
      <c r="GZ284" s="338"/>
      <c r="HA284" s="338"/>
      <c r="HE284" s="338"/>
      <c r="HF284" s="338"/>
      <c r="HG284" s="338"/>
      <c r="HN284" s="68"/>
      <c r="HO284" s="68"/>
      <c r="HP284" s="68"/>
      <c r="HQ284" s="336"/>
      <c r="HR284" s="68"/>
      <c r="HS284" s="68"/>
      <c r="HT284" s="10"/>
      <c r="HW284" s="338"/>
      <c r="HX284" s="338"/>
      <c r="HY284" s="338"/>
      <c r="IC284" s="338"/>
      <c r="ID284" s="338"/>
      <c r="IE284" s="338"/>
      <c r="II284" s="338"/>
      <c r="IJ284" s="338"/>
      <c r="IK284" s="338"/>
      <c r="IO284" s="338"/>
      <c r="IP284" s="338"/>
      <c r="IQ284" s="338"/>
      <c r="IX284" s="68"/>
      <c r="IY284" s="68"/>
      <c r="IZ284" s="68"/>
      <c r="JA284" s="68"/>
      <c r="JB284" s="68"/>
      <c r="JC284" s="68"/>
      <c r="JD284" s="10"/>
      <c r="JG284" s="338"/>
      <c r="JH284" s="338"/>
      <c r="JI284" s="338"/>
      <c r="JM284" s="338"/>
      <c r="JN284" s="338"/>
      <c r="JQ284" s="338"/>
      <c r="JR284" s="338"/>
      <c r="JS284" s="338"/>
      <c r="JW284" s="358"/>
      <c r="JX284" s="336"/>
      <c r="JY284" s="336"/>
      <c r="JZ284" s="336"/>
      <c r="KA284" s="336"/>
      <c r="KB284" s="336"/>
      <c r="KC284" s="336"/>
      <c r="KD284" s="336"/>
      <c r="KE284" s="336"/>
      <c r="KF284" s="336"/>
      <c r="KG284" s="337"/>
      <c r="KH284" s="338"/>
      <c r="KI284" s="338"/>
      <c r="KJ284" s="338"/>
      <c r="KK284" s="338"/>
      <c r="KL284" s="338"/>
      <c r="KM284" s="338"/>
      <c r="KN284" s="338"/>
      <c r="KO284" s="338"/>
      <c r="KP284" s="338"/>
      <c r="KQ284" s="338"/>
      <c r="KR284" s="338"/>
      <c r="KS284" s="338"/>
      <c r="KT284" s="338"/>
      <c r="KU284" s="338"/>
      <c r="KV284" s="338"/>
      <c r="KW284" s="337"/>
      <c r="KX284" s="336"/>
      <c r="KY284" s="336"/>
      <c r="KZ284" s="336"/>
      <c r="LA284" s="336"/>
      <c r="LB284" s="336"/>
      <c r="LC284" s="336"/>
      <c r="LD284" s="336"/>
      <c r="LE284" s="336"/>
      <c r="LF284" s="336"/>
      <c r="LG284" s="336"/>
      <c r="LH284" s="336"/>
      <c r="LI284" s="336"/>
      <c r="LJ284" s="336"/>
      <c r="LK284" s="336"/>
      <c r="LL284" s="336"/>
      <c r="LM284" s="336"/>
      <c r="LN284" s="336"/>
      <c r="LO284" s="336"/>
      <c r="LP284" s="336"/>
      <c r="LQ284" s="337"/>
      <c r="MN284" s="10"/>
      <c r="OA284" s="10"/>
    </row>
    <row r="285" spans="1:391" s="370" customFormat="1" x14ac:dyDescent="0.25">
      <c r="A285" s="68"/>
      <c r="B285" s="10"/>
      <c r="C285" s="68"/>
      <c r="D285" s="68"/>
      <c r="E285" s="68"/>
      <c r="F285" s="68"/>
      <c r="G285" s="68"/>
      <c r="H285" s="68"/>
      <c r="I285" s="68"/>
      <c r="J285" s="68"/>
      <c r="K285" s="68"/>
      <c r="L285" s="68"/>
      <c r="M285" s="68"/>
      <c r="N285" s="68"/>
      <c r="O285" s="68"/>
      <c r="P285" s="68"/>
      <c r="Q285" s="68"/>
      <c r="R285" s="68"/>
      <c r="S285" s="68"/>
      <c r="T285" s="70"/>
      <c r="AC285" s="68"/>
      <c r="AD285" s="70"/>
      <c r="AM285" s="68"/>
      <c r="AN285" s="70"/>
      <c r="AU285" s="68"/>
      <c r="AV285" s="70"/>
      <c r="BB285" s="68"/>
      <c r="BC285" s="70"/>
      <c r="BD285" s="68"/>
      <c r="BE285" s="68"/>
      <c r="BF285" s="68"/>
      <c r="BG285" s="68"/>
      <c r="BH285" s="68"/>
      <c r="BI285" s="68"/>
      <c r="BJ285" s="70"/>
      <c r="BM285" s="68"/>
      <c r="BN285" s="70"/>
      <c r="BT285" s="68"/>
      <c r="BU285" s="70"/>
      <c r="BZ285" s="10"/>
      <c r="CF285" s="10"/>
      <c r="CI285" s="389"/>
      <c r="CJ285" s="389"/>
      <c r="CK285" s="68"/>
      <c r="CL285" s="70"/>
      <c r="CO285" s="10"/>
      <c r="CU285" s="10"/>
      <c r="DA285" s="10"/>
      <c r="DB285" s="70"/>
      <c r="DC285" s="70"/>
      <c r="DF285" s="68"/>
      <c r="DG285" s="70"/>
      <c r="DH285" s="68"/>
      <c r="DI285" s="386"/>
      <c r="DJ285" s="425"/>
      <c r="DL285" s="68"/>
      <c r="DM285" s="70"/>
      <c r="DQ285" s="68"/>
      <c r="DR285" s="70"/>
      <c r="DS285" s="338"/>
      <c r="DT285" s="338"/>
      <c r="DU285" s="338"/>
      <c r="DW285" s="338"/>
      <c r="DX285" s="338"/>
      <c r="DY285" s="338"/>
      <c r="EA285" s="338"/>
      <c r="EB285" s="338"/>
      <c r="EC285" s="338"/>
      <c r="EE285" s="338"/>
      <c r="EF285" s="338"/>
      <c r="EG285" s="338"/>
      <c r="EI285" s="336"/>
      <c r="EJ285" s="336"/>
      <c r="EK285" s="336"/>
      <c r="EL285" s="336"/>
      <c r="EM285" s="336"/>
      <c r="EN285" s="336"/>
      <c r="EO285" s="337"/>
      <c r="EP285" s="342"/>
      <c r="EQ285" s="336"/>
      <c r="ER285" s="342"/>
      <c r="ES285" s="336"/>
      <c r="ET285" s="342"/>
      <c r="EU285" s="336"/>
      <c r="EV285" s="342"/>
      <c r="EW285" s="336"/>
      <c r="EX285" s="342"/>
      <c r="EY285" s="342"/>
      <c r="EZ285" s="342"/>
      <c r="FA285" s="337"/>
      <c r="FE285" s="338"/>
      <c r="FH285" s="338"/>
      <c r="FI285" s="338"/>
      <c r="FJ285" s="338"/>
      <c r="FK285" s="338"/>
      <c r="FL285" s="338"/>
      <c r="FM285" s="337"/>
      <c r="FN285" s="336"/>
      <c r="FO285" s="336"/>
      <c r="FP285" s="336"/>
      <c r="FQ285" s="336"/>
      <c r="FR285" s="336"/>
      <c r="FS285" s="336"/>
      <c r="FT285" s="336"/>
      <c r="FU285" s="336"/>
      <c r="FV285" s="336"/>
      <c r="FW285" s="337"/>
      <c r="FX285" s="532"/>
      <c r="FY285" s="341"/>
      <c r="FZ285" s="341"/>
      <c r="GA285" s="336"/>
      <c r="GB285" s="341"/>
      <c r="GC285" s="341"/>
      <c r="GD285" s="341"/>
      <c r="GE285" s="336"/>
      <c r="GF285" s="336"/>
      <c r="GG285" s="336"/>
      <c r="GH285" s="336"/>
      <c r="GI285" s="336"/>
      <c r="GJ285" s="337"/>
      <c r="GM285" s="338"/>
      <c r="GN285" s="338"/>
      <c r="GO285" s="338"/>
      <c r="GS285" s="338"/>
      <c r="GT285" s="338"/>
      <c r="GU285" s="338"/>
      <c r="GY285" s="338"/>
      <c r="GZ285" s="338"/>
      <c r="HA285" s="338"/>
      <c r="HE285" s="338"/>
      <c r="HF285" s="338"/>
      <c r="HG285" s="338"/>
      <c r="HN285" s="68"/>
      <c r="HO285" s="68"/>
      <c r="HP285" s="68"/>
      <c r="HQ285" s="336"/>
      <c r="HR285" s="68"/>
      <c r="HS285" s="68"/>
      <c r="HT285" s="10"/>
      <c r="HW285" s="338"/>
      <c r="HX285" s="338"/>
      <c r="HY285" s="338"/>
      <c r="IC285" s="338"/>
      <c r="ID285" s="338"/>
      <c r="IE285" s="338"/>
      <c r="II285" s="338"/>
      <c r="IJ285" s="338"/>
      <c r="IK285" s="338"/>
      <c r="IO285" s="338"/>
      <c r="IP285" s="338"/>
      <c r="IQ285" s="338"/>
      <c r="IX285" s="68"/>
      <c r="IY285" s="68"/>
      <c r="IZ285" s="68"/>
      <c r="JA285" s="68"/>
      <c r="JB285" s="68"/>
      <c r="JC285" s="68"/>
      <c r="JD285" s="10"/>
      <c r="JG285" s="338"/>
      <c r="JH285" s="338"/>
      <c r="JI285" s="338"/>
      <c r="JM285" s="338"/>
      <c r="JN285" s="338"/>
      <c r="JQ285" s="338"/>
      <c r="JR285" s="338"/>
      <c r="JS285" s="338"/>
      <c r="JW285" s="358"/>
      <c r="JX285" s="336"/>
      <c r="JY285" s="336"/>
      <c r="JZ285" s="336"/>
      <c r="KA285" s="336"/>
      <c r="KB285" s="336"/>
      <c r="KC285" s="336"/>
      <c r="KD285" s="336"/>
      <c r="KE285" s="336"/>
      <c r="KF285" s="336"/>
      <c r="KG285" s="337"/>
      <c r="KH285" s="338"/>
      <c r="KI285" s="338"/>
      <c r="KJ285" s="338"/>
      <c r="KK285" s="338"/>
      <c r="KL285" s="338"/>
      <c r="KM285" s="338"/>
      <c r="KN285" s="338"/>
      <c r="KO285" s="338"/>
      <c r="KP285" s="338"/>
      <c r="KQ285" s="338"/>
      <c r="KR285" s="338"/>
      <c r="KS285" s="338"/>
      <c r="KT285" s="338"/>
      <c r="KU285" s="338"/>
      <c r="KV285" s="338"/>
      <c r="KW285" s="337"/>
      <c r="KX285" s="336"/>
      <c r="KY285" s="336"/>
      <c r="KZ285" s="336"/>
      <c r="LA285" s="336"/>
      <c r="LB285" s="336"/>
      <c r="LC285" s="336"/>
      <c r="LD285" s="336"/>
      <c r="LE285" s="336"/>
      <c r="LF285" s="336"/>
      <c r="LG285" s="336"/>
      <c r="LH285" s="336"/>
      <c r="LI285" s="336"/>
      <c r="LJ285" s="336"/>
      <c r="LK285" s="336"/>
      <c r="LL285" s="336"/>
      <c r="LM285" s="336"/>
      <c r="LN285" s="336"/>
      <c r="LO285" s="336"/>
      <c r="LP285" s="336"/>
      <c r="LQ285" s="337"/>
      <c r="MN285" s="10"/>
      <c r="OA285" s="10"/>
    </row>
    <row r="286" spans="1:391" s="370" customFormat="1" x14ac:dyDescent="0.25">
      <c r="A286" s="68"/>
      <c r="B286" s="10"/>
      <c r="C286" s="68"/>
      <c r="D286" s="68"/>
      <c r="E286" s="68"/>
      <c r="F286" s="68"/>
      <c r="G286" s="68"/>
      <c r="H286" s="68"/>
      <c r="I286" s="68"/>
      <c r="J286" s="68"/>
      <c r="K286" s="68"/>
      <c r="L286" s="68"/>
      <c r="M286" s="68"/>
      <c r="N286" s="68"/>
      <c r="O286" s="68"/>
      <c r="P286" s="68"/>
      <c r="Q286" s="68"/>
      <c r="R286" s="68"/>
      <c r="S286" s="68"/>
      <c r="T286" s="70"/>
      <c r="AC286" s="68"/>
      <c r="AD286" s="70"/>
      <c r="AM286" s="68"/>
      <c r="AN286" s="70"/>
      <c r="AU286" s="68"/>
      <c r="AV286" s="70"/>
      <c r="BB286" s="68"/>
      <c r="BC286" s="70"/>
      <c r="BD286" s="68"/>
      <c r="BE286" s="68"/>
      <c r="BF286" s="68"/>
      <c r="BG286" s="68"/>
      <c r="BH286" s="68"/>
      <c r="BI286" s="68"/>
      <c r="BJ286" s="70"/>
      <c r="BM286" s="68"/>
      <c r="BN286" s="70"/>
      <c r="BT286" s="68"/>
      <c r="BU286" s="70"/>
      <c r="BZ286" s="10"/>
      <c r="CF286" s="10"/>
      <c r="CI286" s="389"/>
      <c r="CJ286" s="389"/>
      <c r="CK286" s="68"/>
      <c r="CL286" s="70"/>
      <c r="CO286" s="10"/>
      <c r="CU286" s="10"/>
      <c r="DA286" s="10"/>
      <c r="DB286" s="70"/>
      <c r="DC286" s="70"/>
      <c r="DF286" s="68"/>
      <c r="DG286" s="70"/>
      <c r="DH286" s="68"/>
      <c r="DI286" s="386"/>
      <c r="DJ286" s="425"/>
      <c r="DL286" s="68"/>
      <c r="DM286" s="70"/>
      <c r="DQ286" s="68"/>
      <c r="DR286" s="70"/>
      <c r="DS286" s="338"/>
      <c r="DT286" s="338"/>
      <c r="DU286" s="338"/>
      <c r="DW286" s="338"/>
      <c r="DX286" s="338"/>
      <c r="DY286" s="338"/>
      <c r="EA286" s="338"/>
      <c r="EB286" s="338"/>
      <c r="EC286" s="338"/>
      <c r="EE286" s="338"/>
      <c r="EF286" s="338"/>
      <c r="EG286" s="338"/>
      <c r="EI286" s="336"/>
      <c r="EJ286" s="336"/>
      <c r="EK286" s="336"/>
      <c r="EL286" s="336"/>
      <c r="EM286" s="336"/>
      <c r="EN286" s="336"/>
      <c r="EO286" s="337"/>
      <c r="EP286" s="342"/>
      <c r="EQ286" s="336"/>
      <c r="ER286" s="342"/>
      <c r="ES286" s="336"/>
      <c r="ET286" s="342"/>
      <c r="EU286" s="336"/>
      <c r="EV286" s="342"/>
      <c r="EW286" s="336"/>
      <c r="EX286" s="342"/>
      <c r="EY286" s="342"/>
      <c r="EZ286" s="342"/>
      <c r="FA286" s="337"/>
      <c r="FE286" s="338"/>
      <c r="FH286" s="338"/>
      <c r="FI286" s="338"/>
      <c r="FJ286" s="338"/>
      <c r="FK286" s="338"/>
      <c r="FL286" s="338"/>
      <c r="FM286" s="337"/>
      <c r="FN286" s="336"/>
      <c r="FO286" s="336"/>
      <c r="FP286" s="336"/>
      <c r="FQ286" s="336"/>
      <c r="FR286" s="336"/>
      <c r="FS286" s="336"/>
      <c r="FT286" s="336"/>
      <c r="FU286" s="336"/>
      <c r="FV286" s="336"/>
      <c r="FW286" s="337"/>
      <c r="FX286" s="532"/>
      <c r="FY286" s="341"/>
      <c r="FZ286" s="341"/>
      <c r="GA286" s="336"/>
      <c r="GB286" s="341"/>
      <c r="GC286" s="341"/>
      <c r="GD286" s="341"/>
      <c r="GE286" s="336"/>
      <c r="GF286" s="336"/>
      <c r="GG286" s="336"/>
      <c r="GH286" s="336"/>
      <c r="GI286" s="336"/>
      <c r="GJ286" s="337"/>
      <c r="GM286" s="338"/>
      <c r="GN286" s="338"/>
      <c r="GO286" s="338"/>
      <c r="GS286" s="338"/>
      <c r="GT286" s="338"/>
      <c r="GU286" s="338"/>
      <c r="GY286" s="338"/>
      <c r="GZ286" s="338"/>
      <c r="HA286" s="338"/>
      <c r="HE286" s="338"/>
      <c r="HF286" s="338"/>
      <c r="HG286" s="338"/>
      <c r="HN286" s="68"/>
      <c r="HO286" s="68"/>
      <c r="HP286" s="68"/>
      <c r="HQ286" s="336"/>
      <c r="HR286" s="68"/>
      <c r="HS286" s="68"/>
      <c r="HT286" s="10"/>
      <c r="HW286" s="338"/>
      <c r="HX286" s="338"/>
      <c r="HY286" s="338"/>
      <c r="IC286" s="338"/>
      <c r="ID286" s="338"/>
      <c r="IE286" s="338"/>
      <c r="II286" s="338"/>
      <c r="IJ286" s="338"/>
      <c r="IK286" s="338"/>
      <c r="IO286" s="338"/>
      <c r="IP286" s="338"/>
      <c r="IQ286" s="338"/>
      <c r="IX286" s="68"/>
      <c r="IY286" s="68"/>
      <c r="IZ286" s="68"/>
      <c r="JA286" s="68"/>
      <c r="JB286" s="68"/>
      <c r="JC286" s="68"/>
      <c r="JD286" s="10"/>
      <c r="JG286" s="338"/>
      <c r="JH286" s="338"/>
      <c r="JI286" s="338"/>
      <c r="JM286" s="338"/>
      <c r="JN286" s="338"/>
      <c r="JQ286" s="338"/>
      <c r="JR286" s="338"/>
      <c r="JS286" s="338"/>
      <c r="JW286" s="358"/>
      <c r="JX286" s="336"/>
      <c r="JY286" s="336"/>
      <c r="JZ286" s="336"/>
      <c r="KA286" s="336"/>
      <c r="KB286" s="336"/>
      <c r="KC286" s="336"/>
      <c r="KD286" s="336"/>
      <c r="KE286" s="336"/>
      <c r="KF286" s="336"/>
      <c r="KG286" s="337"/>
      <c r="KH286" s="338"/>
      <c r="KI286" s="338"/>
      <c r="KJ286" s="338"/>
      <c r="KK286" s="338"/>
      <c r="KL286" s="338"/>
      <c r="KM286" s="338"/>
      <c r="KN286" s="338"/>
      <c r="KO286" s="338"/>
      <c r="KP286" s="338"/>
      <c r="KQ286" s="338"/>
      <c r="KR286" s="338"/>
      <c r="KS286" s="338"/>
      <c r="KT286" s="338"/>
      <c r="KU286" s="338"/>
      <c r="KV286" s="338"/>
      <c r="KW286" s="337"/>
      <c r="KX286" s="336"/>
      <c r="KY286" s="336"/>
      <c r="KZ286" s="336"/>
      <c r="LA286" s="336"/>
      <c r="LB286" s="336"/>
      <c r="LC286" s="336"/>
      <c r="LD286" s="336"/>
      <c r="LE286" s="336"/>
      <c r="LF286" s="336"/>
      <c r="LG286" s="336"/>
      <c r="LH286" s="336"/>
      <c r="LI286" s="336"/>
      <c r="LJ286" s="336"/>
      <c r="LK286" s="336"/>
      <c r="LL286" s="336"/>
      <c r="LM286" s="336"/>
      <c r="LN286" s="336"/>
      <c r="LO286" s="336"/>
      <c r="LP286" s="336"/>
      <c r="LQ286" s="337"/>
      <c r="MN286" s="10"/>
      <c r="OA286" s="10"/>
    </row>
    <row r="287" spans="1:391" s="370" customFormat="1" x14ac:dyDescent="0.25">
      <c r="A287" s="68"/>
      <c r="B287" s="10"/>
      <c r="C287" s="68"/>
      <c r="D287" s="68"/>
      <c r="E287" s="68"/>
      <c r="F287" s="68"/>
      <c r="G287" s="68"/>
      <c r="H287" s="68"/>
      <c r="I287" s="68"/>
      <c r="J287" s="68"/>
      <c r="K287" s="68"/>
      <c r="L287" s="68"/>
      <c r="M287" s="68"/>
      <c r="N287" s="68"/>
      <c r="O287" s="68"/>
      <c r="P287" s="68"/>
      <c r="Q287" s="68"/>
      <c r="R287" s="68"/>
      <c r="S287" s="68"/>
      <c r="T287" s="70"/>
      <c r="AC287" s="68"/>
      <c r="AD287" s="70"/>
      <c r="AM287" s="68"/>
      <c r="AN287" s="70"/>
      <c r="AU287" s="68"/>
      <c r="AV287" s="70"/>
      <c r="BB287" s="68"/>
      <c r="BC287" s="70"/>
      <c r="BD287" s="68"/>
      <c r="BE287" s="68"/>
      <c r="BF287" s="68"/>
      <c r="BG287" s="68"/>
      <c r="BH287" s="68"/>
      <c r="BI287" s="68"/>
      <c r="BJ287" s="70"/>
      <c r="BM287" s="68"/>
      <c r="BN287" s="70"/>
      <c r="BT287" s="68"/>
      <c r="BU287" s="70"/>
      <c r="BZ287" s="10"/>
      <c r="CF287" s="10"/>
      <c r="CI287" s="389"/>
      <c r="CJ287" s="389"/>
      <c r="CK287" s="68"/>
      <c r="CL287" s="70"/>
      <c r="CO287" s="10"/>
      <c r="CU287" s="10"/>
      <c r="DA287" s="10"/>
      <c r="DB287" s="70"/>
      <c r="DC287" s="70"/>
      <c r="DF287" s="68"/>
      <c r="DG287" s="70"/>
      <c r="DH287" s="68"/>
      <c r="DI287" s="386"/>
      <c r="DJ287" s="425"/>
      <c r="DL287" s="68"/>
      <c r="DM287" s="70"/>
      <c r="DQ287" s="68"/>
      <c r="DR287" s="70"/>
      <c r="DS287" s="338"/>
      <c r="DT287" s="338"/>
      <c r="DU287" s="338"/>
      <c r="DW287" s="338"/>
      <c r="DX287" s="338"/>
      <c r="DY287" s="338"/>
      <c r="EA287" s="338"/>
      <c r="EB287" s="338"/>
      <c r="EC287" s="338"/>
      <c r="EE287" s="338"/>
      <c r="EF287" s="338"/>
      <c r="EG287" s="338"/>
      <c r="EI287" s="336"/>
      <c r="EJ287" s="336"/>
      <c r="EK287" s="336"/>
      <c r="EL287" s="336"/>
      <c r="EM287" s="336"/>
      <c r="EN287" s="336"/>
      <c r="EO287" s="337"/>
      <c r="EP287" s="342"/>
      <c r="EQ287" s="336"/>
      <c r="ER287" s="342"/>
      <c r="ES287" s="336"/>
      <c r="ET287" s="342"/>
      <c r="EU287" s="336"/>
      <c r="EV287" s="342"/>
      <c r="EW287" s="336"/>
      <c r="EX287" s="342"/>
      <c r="EY287" s="342"/>
      <c r="EZ287" s="342"/>
      <c r="FA287" s="337"/>
      <c r="FE287" s="338"/>
      <c r="FH287" s="338"/>
      <c r="FI287" s="338"/>
      <c r="FJ287" s="338"/>
      <c r="FK287" s="338"/>
      <c r="FL287" s="338"/>
      <c r="FM287" s="337"/>
      <c r="FN287" s="336"/>
      <c r="FO287" s="336"/>
      <c r="FP287" s="336"/>
      <c r="FQ287" s="336"/>
      <c r="FR287" s="336"/>
      <c r="FS287" s="336"/>
      <c r="FT287" s="336"/>
      <c r="FU287" s="336"/>
      <c r="FV287" s="336"/>
      <c r="FW287" s="337"/>
      <c r="FX287" s="532"/>
      <c r="FY287" s="341"/>
      <c r="FZ287" s="341"/>
      <c r="GA287" s="336"/>
      <c r="GB287" s="341"/>
      <c r="GC287" s="341"/>
      <c r="GD287" s="341"/>
      <c r="GE287" s="336"/>
      <c r="GF287" s="336"/>
      <c r="GG287" s="336"/>
      <c r="GH287" s="336"/>
      <c r="GI287" s="336"/>
      <c r="GJ287" s="337"/>
      <c r="GM287" s="338"/>
      <c r="GN287" s="338"/>
      <c r="GO287" s="338"/>
      <c r="GS287" s="338"/>
      <c r="GT287" s="338"/>
      <c r="GU287" s="338"/>
      <c r="GY287" s="338"/>
      <c r="GZ287" s="338"/>
      <c r="HA287" s="338"/>
      <c r="HE287" s="338"/>
      <c r="HF287" s="338"/>
      <c r="HG287" s="338"/>
      <c r="HN287" s="68"/>
      <c r="HO287" s="68"/>
      <c r="HP287" s="68"/>
      <c r="HQ287" s="336"/>
      <c r="HR287" s="68"/>
      <c r="HS287" s="68"/>
      <c r="HT287" s="10"/>
      <c r="HW287" s="338"/>
      <c r="HX287" s="338"/>
      <c r="HY287" s="338"/>
      <c r="IC287" s="338"/>
      <c r="ID287" s="338"/>
      <c r="IE287" s="338"/>
      <c r="II287" s="338"/>
      <c r="IJ287" s="338"/>
      <c r="IK287" s="338"/>
      <c r="IO287" s="338"/>
      <c r="IP287" s="338"/>
      <c r="IQ287" s="338"/>
      <c r="IX287" s="68"/>
      <c r="IY287" s="68"/>
      <c r="IZ287" s="68"/>
      <c r="JA287" s="68"/>
      <c r="JB287" s="68"/>
      <c r="JC287" s="68"/>
      <c r="JD287" s="10"/>
      <c r="JG287" s="338"/>
      <c r="JH287" s="338"/>
      <c r="JI287" s="338"/>
      <c r="JM287" s="338"/>
      <c r="JN287" s="338"/>
      <c r="JQ287" s="338"/>
      <c r="JR287" s="338"/>
      <c r="JS287" s="338"/>
      <c r="JW287" s="358"/>
      <c r="JX287" s="336"/>
      <c r="JY287" s="336"/>
      <c r="JZ287" s="336"/>
      <c r="KA287" s="336"/>
      <c r="KB287" s="336"/>
      <c r="KC287" s="336"/>
      <c r="KD287" s="336"/>
      <c r="KE287" s="336"/>
      <c r="KF287" s="336"/>
      <c r="KG287" s="337"/>
      <c r="KH287" s="338"/>
      <c r="KI287" s="338"/>
      <c r="KJ287" s="338"/>
      <c r="KK287" s="338"/>
      <c r="KL287" s="338"/>
      <c r="KM287" s="338"/>
      <c r="KN287" s="338"/>
      <c r="KO287" s="338"/>
      <c r="KP287" s="338"/>
      <c r="KQ287" s="338"/>
      <c r="KR287" s="338"/>
      <c r="KS287" s="338"/>
      <c r="KT287" s="338"/>
      <c r="KU287" s="338"/>
      <c r="KV287" s="338"/>
      <c r="KW287" s="337"/>
      <c r="KX287" s="336"/>
      <c r="KY287" s="336"/>
      <c r="KZ287" s="336"/>
      <c r="LA287" s="336"/>
      <c r="LB287" s="336"/>
      <c r="LC287" s="336"/>
      <c r="LD287" s="336"/>
      <c r="LE287" s="336"/>
      <c r="LF287" s="336"/>
      <c r="LG287" s="336"/>
      <c r="LH287" s="336"/>
      <c r="LI287" s="336"/>
      <c r="LJ287" s="336"/>
      <c r="LK287" s="336"/>
      <c r="LL287" s="336"/>
      <c r="LM287" s="336"/>
      <c r="LN287" s="336"/>
      <c r="LO287" s="336"/>
      <c r="LP287" s="336"/>
      <c r="LQ287" s="337"/>
      <c r="MN287" s="10"/>
      <c r="OA287" s="10"/>
    </row>
    <row r="288" spans="1:391" s="370" customFormat="1" x14ac:dyDescent="0.25">
      <c r="A288" s="68"/>
      <c r="B288" s="10"/>
      <c r="C288" s="68"/>
      <c r="D288" s="68"/>
      <c r="E288" s="68"/>
      <c r="F288" s="68"/>
      <c r="G288" s="68"/>
      <c r="H288" s="68"/>
      <c r="I288" s="68"/>
      <c r="J288" s="68"/>
      <c r="K288" s="68"/>
      <c r="L288" s="68"/>
      <c r="M288" s="68"/>
      <c r="N288" s="68"/>
      <c r="O288" s="68"/>
      <c r="P288" s="68"/>
      <c r="Q288" s="68"/>
      <c r="R288" s="68"/>
      <c r="S288" s="68"/>
      <c r="T288" s="70"/>
      <c r="AC288" s="68"/>
      <c r="AD288" s="70"/>
      <c r="AM288" s="68"/>
      <c r="AN288" s="70"/>
      <c r="AU288" s="68"/>
      <c r="AV288" s="70"/>
      <c r="BB288" s="68"/>
      <c r="BC288" s="70"/>
      <c r="BD288" s="68"/>
      <c r="BE288" s="68"/>
      <c r="BF288" s="68"/>
      <c r="BG288" s="68"/>
      <c r="BH288" s="68"/>
      <c r="BI288" s="68"/>
      <c r="BJ288" s="70"/>
      <c r="BM288" s="68"/>
      <c r="BN288" s="70"/>
      <c r="BT288" s="68"/>
      <c r="BU288" s="70"/>
      <c r="BZ288" s="10"/>
      <c r="CF288" s="10"/>
      <c r="CI288" s="389"/>
      <c r="CJ288" s="389"/>
      <c r="CK288" s="68"/>
      <c r="CL288" s="70"/>
      <c r="CO288" s="10"/>
      <c r="CU288" s="10"/>
      <c r="DA288" s="10"/>
      <c r="DB288" s="70"/>
      <c r="DC288" s="70"/>
      <c r="DF288" s="68"/>
      <c r="DG288" s="70"/>
      <c r="DH288" s="68"/>
      <c r="DI288" s="386"/>
      <c r="DJ288" s="425"/>
      <c r="DL288" s="68"/>
      <c r="DM288" s="70"/>
      <c r="DQ288" s="68"/>
      <c r="DR288" s="70"/>
      <c r="DS288" s="338"/>
      <c r="DT288" s="338"/>
      <c r="DU288" s="338"/>
      <c r="DW288" s="338"/>
      <c r="DX288" s="338"/>
      <c r="DY288" s="338"/>
      <c r="EA288" s="338"/>
      <c r="EB288" s="338"/>
      <c r="EC288" s="338"/>
      <c r="EE288" s="338"/>
      <c r="EF288" s="338"/>
      <c r="EG288" s="338"/>
      <c r="EI288" s="336"/>
      <c r="EJ288" s="336"/>
      <c r="EK288" s="336"/>
      <c r="EL288" s="336"/>
      <c r="EM288" s="336"/>
      <c r="EN288" s="336"/>
      <c r="EO288" s="337"/>
      <c r="EP288" s="342"/>
      <c r="EQ288" s="336"/>
      <c r="ER288" s="342"/>
      <c r="ES288" s="336"/>
      <c r="ET288" s="342"/>
      <c r="EU288" s="336"/>
      <c r="EV288" s="342"/>
      <c r="EW288" s="336"/>
      <c r="EX288" s="342"/>
      <c r="EY288" s="342"/>
      <c r="EZ288" s="342"/>
      <c r="FA288" s="337"/>
      <c r="FE288" s="338"/>
      <c r="FH288" s="338"/>
      <c r="FI288" s="338"/>
      <c r="FJ288" s="338"/>
      <c r="FK288" s="338"/>
      <c r="FL288" s="338"/>
      <c r="FM288" s="337"/>
      <c r="FN288" s="336"/>
      <c r="FO288" s="336"/>
      <c r="FP288" s="336"/>
      <c r="FQ288" s="336"/>
      <c r="FR288" s="336"/>
      <c r="FS288" s="336"/>
      <c r="FT288" s="336"/>
      <c r="FU288" s="336"/>
      <c r="FV288" s="336"/>
      <c r="FW288" s="337"/>
      <c r="FX288" s="532"/>
      <c r="FY288" s="341"/>
      <c r="FZ288" s="341"/>
      <c r="GA288" s="336"/>
      <c r="GB288" s="341"/>
      <c r="GC288" s="341"/>
      <c r="GD288" s="341"/>
      <c r="GE288" s="336"/>
      <c r="GF288" s="336"/>
      <c r="GG288" s="336"/>
      <c r="GH288" s="336"/>
      <c r="GI288" s="336"/>
      <c r="GJ288" s="337"/>
      <c r="GM288" s="338"/>
      <c r="GN288" s="338"/>
      <c r="GO288" s="338"/>
      <c r="GS288" s="338"/>
      <c r="GT288" s="338"/>
      <c r="GU288" s="338"/>
      <c r="GY288" s="338"/>
      <c r="GZ288" s="338"/>
      <c r="HA288" s="338"/>
      <c r="HE288" s="338"/>
      <c r="HF288" s="338"/>
      <c r="HG288" s="338"/>
      <c r="HN288" s="68"/>
      <c r="HO288" s="68"/>
      <c r="HP288" s="68"/>
      <c r="HQ288" s="336"/>
      <c r="HR288" s="68"/>
      <c r="HS288" s="68"/>
      <c r="HT288" s="10"/>
      <c r="HW288" s="338"/>
      <c r="HX288" s="338"/>
      <c r="HY288" s="338"/>
      <c r="IC288" s="338"/>
      <c r="ID288" s="338"/>
      <c r="IE288" s="338"/>
      <c r="II288" s="338"/>
      <c r="IJ288" s="338"/>
      <c r="IK288" s="338"/>
      <c r="IO288" s="338"/>
      <c r="IP288" s="338"/>
      <c r="IQ288" s="338"/>
      <c r="IX288" s="68"/>
      <c r="IY288" s="68"/>
      <c r="IZ288" s="68"/>
      <c r="JA288" s="68"/>
      <c r="JB288" s="68"/>
      <c r="JC288" s="68"/>
      <c r="JD288" s="10"/>
      <c r="JG288" s="338"/>
      <c r="JH288" s="338"/>
      <c r="JI288" s="338"/>
      <c r="JM288" s="338"/>
      <c r="JN288" s="338"/>
      <c r="JQ288" s="338"/>
      <c r="JR288" s="338"/>
      <c r="JS288" s="338"/>
      <c r="JW288" s="358"/>
      <c r="JX288" s="336"/>
      <c r="JY288" s="336"/>
      <c r="JZ288" s="336"/>
      <c r="KA288" s="336"/>
      <c r="KB288" s="336"/>
      <c r="KC288" s="336"/>
      <c r="KD288" s="336"/>
      <c r="KE288" s="336"/>
      <c r="KF288" s="336"/>
      <c r="KG288" s="337"/>
      <c r="KH288" s="338"/>
      <c r="KI288" s="338"/>
      <c r="KJ288" s="338"/>
      <c r="KK288" s="338"/>
      <c r="KL288" s="338"/>
      <c r="KM288" s="338"/>
      <c r="KN288" s="338"/>
      <c r="KO288" s="338"/>
      <c r="KP288" s="338"/>
      <c r="KQ288" s="338"/>
      <c r="KR288" s="338"/>
      <c r="KS288" s="338"/>
      <c r="KT288" s="338"/>
      <c r="KU288" s="338"/>
      <c r="KV288" s="338"/>
      <c r="KW288" s="337"/>
      <c r="KX288" s="336"/>
      <c r="KY288" s="336"/>
      <c r="KZ288" s="336"/>
      <c r="LA288" s="336"/>
      <c r="LB288" s="336"/>
      <c r="LC288" s="336"/>
      <c r="LD288" s="336"/>
      <c r="LE288" s="336"/>
      <c r="LF288" s="336"/>
      <c r="LG288" s="336"/>
      <c r="LH288" s="336"/>
      <c r="LI288" s="336"/>
      <c r="LJ288" s="336"/>
      <c r="LK288" s="336"/>
      <c r="LL288" s="336"/>
      <c r="LM288" s="336"/>
      <c r="LN288" s="336"/>
      <c r="LO288" s="336"/>
      <c r="LP288" s="336"/>
      <c r="LQ288" s="337"/>
      <c r="MN288" s="10"/>
      <c r="OA288" s="10"/>
    </row>
    <row r="289" spans="1:391" s="370" customFormat="1" x14ac:dyDescent="0.25">
      <c r="A289" s="68"/>
      <c r="B289" s="10"/>
      <c r="C289" s="68"/>
      <c r="D289" s="68"/>
      <c r="E289" s="68"/>
      <c r="F289" s="68"/>
      <c r="G289" s="68"/>
      <c r="H289" s="68"/>
      <c r="I289" s="68"/>
      <c r="J289" s="68"/>
      <c r="K289" s="68"/>
      <c r="L289" s="68"/>
      <c r="M289" s="68"/>
      <c r="N289" s="68"/>
      <c r="O289" s="68"/>
      <c r="P289" s="68"/>
      <c r="Q289" s="68"/>
      <c r="R289" s="68"/>
      <c r="S289" s="68"/>
      <c r="T289" s="70"/>
      <c r="AC289" s="68"/>
      <c r="AD289" s="70"/>
      <c r="AM289" s="68"/>
      <c r="AN289" s="70"/>
      <c r="AU289" s="68"/>
      <c r="AV289" s="70"/>
      <c r="BB289" s="68"/>
      <c r="BC289" s="70"/>
      <c r="BD289" s="68"/>
      <c r="BE289" s="68"/>
      <c r="BF289" s="68"/>
      <c r="BG289" s="68"/>
      <c r="BH289" s="68"/>
      <c r="BI289" s="68"/>
      <c r="BJ289" s="70"/>
      <c r="BM289" s="68"/>
      <c r="BN289" s="70"/>
      <c r="BT289" s="68"/>
      <c r="BU289" s="70"/>
      <c r="BZ289" s="10"/>
      <c r="CF289" s="10"/>
      <c r="CI289" s="389"/>
      <c r="CJ289" s="389"/>
      <c r="CK289" s="68"/>
      <c r="CL289" s="70"/>
      <c r="CO289" s="10"/>
      <c r="CU289" s="10"/>
      <c r="DA289" s="10"/>
      <c r="DB289" s="70"/>
      <c r="DC289" s="70"/>
      <c r="DF289" s="68"/>
      <c r="DG289" s="70"/>
      <c r="DH289" s="68"/>
      <c r="DI289" s="386"/>
      <c r="DJ289" s="425"/>
      <c r="DL289" s="68"/>
      <c r="DM289" s="70"/>
      <c r="DQ289" s="68"/>
      <c r="DR289" s="70"/>
      <c r="DS289" s="338"/>
      <c r="DT289" s="338"/>
      <c r="DU289" s="338"/>
      <c r="DW289" s="338"/>
      <c r="DX289" s="338"/>
      <c r="DY289" s="338"/>
      <c r="EA289" s="338"/>
      <c r="EB289" s="338"/>
      <c r="EC289" s="338"/>
      <c r="EE289" s="338"/>
      <c r="EF289" s="338"/>
      <c r="EG289" s="338"/>
      <c r="EI289" s="336"/>
      <c r="EJ289" s="336"/>
      <c r="EK289" s="336"/>
      <c r="EL289" s="336"/>
      <c r="EM289" s="336"/>
      <c r="EN289" s="336"/>
      <c r="EO289" s="337"/>
      <c r="EP289" s="342"/>
      <c r="EQ289" s="336"/>
      <c r="ER289" s="342"/>
      <c r="ES289" s="336"/>
      <c r="ET289" s="342"/>
      <c r="EU289" s="336"/>
      <c r="EV289" s="342"/>
      <c r="EW289" s="336"/>
      <c r="EX289" s="342"/>
      <c r="EY289" s="342"/>
      <c r="EZ289" s="342"/>
      <c r="FA289" s="337"/>
      <c r="FE289" s="338"/>
      <c r="FH289" s="338"/>
      <c r="FI289" s="338"/>
      <c r="FJ289" s="338"/>
      <c r="FK289" s="338"/>
      <c r="FL289" s="338"/>
      <c r="FM289" s="337"/>
      <c r="FN289" s="336"/>
      <c r="FO289" s="336"/>
      <c r="FP289" s="336"/>
      <c r="FQ289" s="336"/>
      <c r="FR289" s="336"/>
      <c r="FS289" s="336"/>
      <c r="FT289" s="336"/>
      <c r="FU289" s="336"/>
      <c r="FV289" s="336"/>
      <c r="FW289" s="337"/>
      <c r="FX289" s="532"/>
      <c r="FY289" s="341"/>
      <c r="FZ289" s="341"/>
      <c r="GA289" s="336"/>
      <c r="GB289" s="341"/>
      <c r="GC289" s="341"/>
      <c r="GD289" s="341"/>
      <c r="GE289" s="336"/>
      <c r="GF289" s="336"/>
      <c r="GG289" s="336"/>
      <c r="GH289" s="336"/>
      <c r="GI289" s="336"/>
      <c r="GJ289" s="337"/>
      <c r="GM289" s="338"/>
      <c r="GN289" s="338"/>
      <c r="GO289" s="338"/>
      <c r="GS289" s="338"/>
      <c r="GT289" s="338"/>
      <c r="GU289" s="338"/>
      <c r="GY289" s="338"/>
      <c r="GZ289" s="338"/>
      <c r="HA289" s="338"/>
      <c r="HE289" s="338"/>
      <c r="HF289" s="338"/>
      <c r="HG289" s="338"/>
      <c r="HN289" s="68"/>
      <c r="HO289" s="68"/>
      <c r="HP289" s="68"/>
      <c r="HQ289" s="336"/>
      <c r="HR289" s="68"/>
      <c r="HS289" s="68"/>
      <c r="HT289" s="10"/>
      <c r="HW289" s="338"/>
      <c r="HX289" s="338"/>
      <c r="HY289" s="338"/>
      <c r="IC289" s="338"/>
      <c r="ID289" s="338"/>
      <c r="IE289" s="338"/>
      <c r="II289" s="338"/>
      <c r="IJ289" s="338"/>
      <c r="IK289" s="338"/>
      <c r="IO289" s="338"/>
      <c r="IP289" s="338"/>
      <c r="IQ289" s="338"/>
      <c r="IX289" s="68"/>
      <c r="IY289" s="68"/>
      <c r="IZ289" s="68"/>
      <c r="JA289" s="68"/>
      <c r="JB289" s="68"/>
      <c r="JC289" s="68"/>
      <c r="JD289" s="10"/>
      <c r="JG289" s="338"/>
      <c r="JH289" s="338"/>
      <c r="JI289" s="338"/>
      <c r="JM289" s="338"/>
      <c r="JN289" s="338"/>
      <c r="JQ289" s="338"/>
      <c r="JR289" s="338"/>
      <c r="JS289" s="338"/>
      <c r="JW289" s="358"/>
      <c r="JX289" s="336"/>
      <c r="JY289" s="336"/>
      <c r="JZ289" s="336"/>
      <c r="KA289" s="336"/>
      <c r="KB289" s="336"/>
      <c r="KC289" s="336"/>
      <c r="KD289" s="336"/>
      <c r="KE289" s="336"/>
      <c r="KF289" s="336"/>
      <c r="KG289" s="337"/>
      <c r="KH289" s="338"/>
      <c r="KI289" s="338"/>
      <c r="KJ289" s="338"/>
      <c r="KK289" s="338"/>
      <c r="KL289" s="338"/>
      <c r="KM289" s="338"/>
      <c r="KN289" s="338"/>
      <c r="KO289" s="338"/>
      <c r="KP289" s="338"/>
      <c r="KQ289" s="338"/>
      <c r="KR289" s="338"/>
      <c r="KS289" s="338"/>
      <c r="KT289" s="338"/>
      <c r="KU289" s="338"/>
      <c r="KV289" s="338"/>
      <c r="KW289" s="337"/>
      <c r="KX289" s="336"/>
      <c r="KY289" s="336"/>
      <c r="KZ289" s="336"/>
      <c r="LA289" s="336"/>
      <c r="LB289" s="336"/>
      <c r="LC289" s="336"/>
      <c r="LD289" s="336"/>
      <c r="LE289" s="336"/>
      <c r="LF289" s="336"/>
      <c r="LG289" s="336"/>
      <c r="LH289" s="336"/>
      <c r="LI289" s="336"/>
      <c r="LJ289" s="336"/>
      <c r="LK289" s="336"/>
      <c r="LL289" s="336"/>
      <c r="LM289" s="336"/>
      <c r="LN289" s="336"/>
      <c r="LO289" s="336"/>
      <c r="LP289" s="336"/>
      <c r="LQ289" s="337"/>
      <c r="MN289" s="10"/>
      <c r="OA289" s="10"/>
    </row>
    <row r="290" spans="1:391" s="370" customFormat="1" x14ac:dyDescent="0.25">
      <c r="A290" s="68"/>
      <c r="B290" s="10"/>
      <c r="C290" s="68"/>
      <c r="D290" s="68"/>
      <c r="E290" s="68"/>
      <c r="F290" s="68"/>
      <c r="G290" s="68"/>
      <c r="H290" s="68"/>
      <c r="I290" s="68"/>
      <c r="J290" s="68"/>
      <c r="K290" s="68"/>
      <c r="L290" s="68"/>
      <c r="M290" s="68"/>
      <c r="N290" s="68"/>
      <c r="O290" s="68"/>
      <c r="P290" s="68"/>
      <c r="Q290" s="68"/>
      <c r="R290" s="68"/>
      <c r="S290" s="68"/>
      <c r="T290" s="70"/>
      <c r="AC290" s="68"/>
      <c r="AD290" s="70"/>
      <c r="AM290" s="68"/>
      <c r="AN290" s="70"/>
      <c r="AU290" s="68"/>
      <c r="AV290" s="70"/>
      <c r="BB290" s="68"/>
      <c r="BC290" s="70"/>
      <c r="BD290" s="68"/>
      <c r="BE290" s="68"/>
      <c r="BF290" s="68"/>
      <c r="BG290" s="68"/>
      <c r="BH290" s="68"/>
      <c r="BI290" s="68"/>
      <c r="BJ290" s="70"/>
      <c r="BM290" s="68"/>
      <c r="BN290" s="70"/>
      <c r="BT290" s="68"/>
      <c r="BU290" s="70"/>
      <c r="BZ290" s="10"/>
      <c r="CF290" s="10"/>
      <c r="CI290" s="389"/>
      <c r="CJ290" s="389"/>
      <c r="CK290" s="68"/>
      <c r="CL290" s="70"/>
      <c r="CO290" s="10"/>
      <c r="CU290" s="10"/>
      <c r="DA290" s="10"/>
      <c r="DB290" s="70"/>
      <c r="DC290" s="70"/>
      <c r="DF290" s="68"/>
      <c r="DG290" s="70"/>
      <c r="DH290" s="68"/>
      <c r="DI290" s="386"/>
      <c r="DJ290" s="425"/>
      <c r="DL290" s="68"/>
      <c r="DM290" s="70"/>
      <c r="DQ290" s="68"/>
      <c r="DR290" s="70"/>
      <c r="DS290" s="338"/>
      <c r="DT290" s="338"/>
      <c r="DU290" s="338"/>
      <c r="DW290" s="338"/>
      <c r="DX290" s="338"/>
      <c r="DY290" s="338"/>
      <c r="EA290" s="338"/>
      <c r="EB290" s="338"/>
      <c r="EC290" s="338"/>
      <c r="EE290" s="338"/>
      <c r="EF290" s="338"/>
      <c r="EG290" s="338"/>
      <c r="EI290" s="336"/>
      <c r="EJ290" s="336"/>
      <c r="EK290" s="336"/>
      <c r="EL290" s="336"/>
      <c r="EM290" s="336"/>
      <c r="EN290" s="336"/>
      <c r="EO290" s="337"/>
      <c r="EP290" s="342"/>
      <c r="EQ290" s="336"/>
      <c r="ER290" s="342"/>
      <c r="ES290" s="336"/>
      <c r="ET290" s="342"/>
      <c r="EU290" s="336"/>
      <c r="EV290" s="342"/>
      <c r="EW290" s="336"/>
      <c r="EX290" s="342"/>
      <c r="EY290" s="342"/>
      <c r="EZ290" s="342"/>
      <c r="FA290" s="337"/>
      <c r="FE290" s="338"/>
      <c r="FH290" s="338"/>
      <c r="FI290" s="338"/>
      <c r="FJ290" s="338"/>
      <c r="FK290" s="338"/>
      <c r="FL290" s="338"/>
      <c r="FM290" s="337"/>
      <c r="FN290" s="336"/>
      <c r="FO290" s="336"/>
      <c r="FP290" s="336"/>
      <c r="FQ290" s="336"/>
      <c r="FR290" s="336"/>
      <c r="FS290" s="336"/>
      <c r="FT290" s="336"/>
      <c r="FU290" s="336"/>
      <c r="FV290" s="336"/>
      <c r="FW290" s="337"/>
      <c r="FX290" s="532"/>
      <c r="FY290" s="341"/>
      <c r="FZ290" s="341"/>
      <c r="GA290" s="336"/>
      <c r="GB290" s="341"/>
      <c r="GC290" s="341"/>
      <c r="GD290" s="341"/>
      <c r="GE290" s="336"/>
      <c r="GF290" s="336"/>
      <c r="GG290" s="336"/>
      <c r="GH290" s="336"/>
      <c r="GI290" s="336"/>
      <c r="GJ290" s="337"/>
      <c r="GM290" s="338"/>
      <c r="GN290" s="338"/>
      <c r="GO290" s="338"/>
      <c r="GS290" s="338"/>
      <c r="GT290" s="338"/>
      <c r="GU290" s="338"/>
      <c r="GY290" s="338"/>
      <c r="GZ290" s="338"/>
      <c r="HA290" s="338"/>
      <c r="HE290" s="338"/>
      <c r="HF290" s="338"/>
      <c r="HG290" s="338"/>
      <c r="HN290" s="68"/>
      <c r="HO290" s="68"/>
      <c r="HP290" s="68"/>
      <c r="HQ290" s="336"/>
      <c r="HR290" s="68"/>
      <c r="HS290" s="68"/>
      <c r="HT290" s="10"/>
      <c r="HW290" s="338"/>
      <c r="HX290" s="338"/>
      <c r="HY290" s="338"/>
      <c r="IC290" s="338"/>
      <c r="ID290" s="338"/>
      <c r="IE290" s="338"/>
      <c r="II290" s="338"/>
      <c r="IJ290" s="338"/>
      <c r="IK290" s="338"/>
      <c r="IO290" s="338"/>
      <c r="IP290" s="338"/>
      <c r="IQ290" s="338"/>
      <c r="IX290" s="68"/>
      <c r="IY290" s="68"/>
      <c r="IZ290" s="68"/>
      <c r="JA290" s="68"/>
      <c r="JB290" s="68"/>
      <c r="JC290" s="68"/>
      <c r="JD290" s="10"/>
      <c r="JG290" s="338"/>
      <c r="JH290" s="338"/>
      <c r="JI290" s="338"/>
      <c r="JM290" s="338"/>
      <c r="JN290" s="338"/>
      <c r="JQ290" s="338"/>
      <c r="JR290" s="338"/>
      <c r="JS290" s="338"/>
      <c r="JW290" s="358"/>
      <c r="JX290" s="336"/>
      <c r="JY290" s="336"/>
      <c r="JZ290" s="336"/>
      <c r="KA290" s="336"/>
      <c r="KB290" s="336"/>
      <c r="KC290" s="336"/>
      <c r="KD290" s="336"/>
      <c r="KE290" s="336"/>
      <c r="KF290" s="336"/>
      <c r="KG290" s="337"/>
      <c r="KH290" s="338"/>
      <c r="KI290" s="338"/>
      <c r="KJ290" s="338"/>
      <c r="KK290" s="338"/>
      <c r="KL290" s="338"/>
      <c r="KM290" s="338"/>
      <c r="KN290" s="338"/>
      <c r="KO290" s="338"/>
      <c r="KP290" s="338"/>
      <c r="KQ290" s="338"/>
      <c r="KR290" s="338"/>
      <c r="KS290" s="338"/>
      <c r="KT290" s="338"/>
      <c r="KU290" s="338"/>
      <c r="KV290" s="338"/>
      <c r="KW290" s="337"/>
      <c r="KX290" s="336"/>
      <c r="KY290" s="336"/>
      <c r="KZ290" s="336"/>
      <c r="LA290" s="336"/>
      <c r="LB290" s="336"/>
      <c r="LC290" s="336"/>
      <c r="LD290" s="336"/>
      <c r="LE290" s="336"/>
      <c r="LF290" s="336"/>
      <c r="LG290" s="336"/>
      <c r="LH290" s="336"/>
      <c r="LI290" s="336"/>
      <c r="LJ290" s="336"/>
      <c r="LK290" s="336"/>
      <c r="LL290" s="336"/>
      <c r="LM290" s="336"/>
      <c r="LN290" s="336"/>
      <c r="LO290" s="336"/>
      <c r="LP290" s="336"/>
      <c r="LQ290" s="337"/>
      <c r="MN290" s="10"/>
      <c r="OA290" s="10"/>
    </row>
    <row r="291" spans="1:391" s="370" customFormat="1" x14ac:dyDescent="0.25">
      <c r="A291" s="68"/>
      <c r="B291" s="10"/>
      <c r="C291" s="68"/>
      <c r="D291" s="68"/>
      <c r="E291" s="68"/>
      <c r="F291" s="68"/>
      <c r="G291" s="68"/>
      <c r="H291" s="68"/>
      <c r="I291" s="68"/>
      <c r="J291" s="68"/>
      <c r="K291" s="68"/>
      <c r="L291" s="68"/>
      <c r="M291" s="68"/>
      <c r="N291" s="68"/>
      <c r="O291" s="68"/>
      <c r="P291" s="68"/>
      <c r="Q291" s="68"/>
      <c r="R291" s="68"/>
      <c r="S291" s="68"/>
      <c r="T291" s="70"/>
      <c r="AC291" s="68"/>
      <c r="AD291" s="70"/>
      <c r="AM291" s="68"/>
      <c r="AN291" s="70"/>
      <c r="AU291" s="68"/>
      <c r="AV291" s="70"/>
      <c r="BB291" s="68"/>
      <c r="BC291" s="70"/>
      <c r="BD291" s="68"/>
      <c r="BE291" s="68"/>
      <c r="BF291" s="68"/>
      <c r="BG291" s="68"/>
      <c r="BH291" s="68"/>
      <c r="BI291" s="68"/>
      <c r="BJ291" s="70"/>
      <c r="BM291" s="68"/>
      <c r="BN291" s="70"/>
      <c r="BT291" s="68"/>
      <c r="BU291" s="70"/>
      <c r="BZ291" s="10"/>
      <c r="CF291" s="10"/>
      <c r="CI291" s="389"/>
      <c r="CJ291" s="389"/>
      <c r="CK291" s="68"/>
      <c r="CL291" s="70"/>
      <c r="CO291" s="10"/>
      <c r="CU291" s="10"/>
      <c r="DA291" s="10"/>
      <c r="DB291" s="70"/>
      <c r="DC291" s="70"/>
      <c r="DF291" s="68"/>
      <c r="DG291" s="70"/>
      <c r="DH291" s="68"/>
      <c r="DI291" s="386"/>
      <c r="DJ291" s="425"/>
      <c r="DL291" s="68"/>
      <c r="DM291" s="70"/>
      <c r="DQ291" s="68"/>
      <c r="DR291" s="70"/>
      <c r="DS291" s="338"/>
      <c r="DT291" s="338"/>
      <c r="DU291" s="338"/>
      <c r="DW291" s="338"/>
      <c r="DX291" s="338"/>
      <c r="DY291" s="338"/>
      <c r="EA291" s="338"/>
      <c r="EB291" s="338"/>
      <c r="EC291" s="338"/>
      <c r="EE291" s="338"/>
      <c r="EF291" s="338"/>
      <c r="EG291" s="338"/>
      <c r="EI291" s="336"/>
      <c r="EJ291" s="336"/>
      <c r="EK291" s="336"/>
      <c r="EL291" s="336"/>
      <c r="EM291" s="336"/>
      <c r="EN291" s="336"/>
      <c r="EO291" s="337"/>
      <c r="EP291" s="342"/>
      <c r="EQ291" s="336"/>
      <c r="ER291" s="342"/>
      <c r="ES291" s="336"/>
      <c r="ET291" s="342"/>
      <c r="EU291" s="336"/>
      <c r="EV291" s="342"/>
      <c r="EW291" s="336"/>
      <c r="EX291" s="342"/>
      <c r="EY291" s="342"/>
      <c r="EZ291" s="342"/>
      <c r="FA291" s="337"/>
      <c r="FE291" s="338"/>
      <c r="FH291" s="338"/>
      <c r="FI291" s="338"/>
      <c r="FJ291" s="338"/>
      <c r="FK291" s="338"/>
      <c r="FL291" s="338"/>
      <c r="FM291" s="337"/>
      <c r="FN291" s="336"/>
      <c r="FO291" s="336"/>
      <c r="FP291" s="336"/>
      <c r="FQ291" s="336"/>
      <c r="FR291" s="336"/>
      <c r="FS291" s="336"/>
      <c r="FT291" s="336"/>
      <c r="FU291" s="336"/>
      <c r="FV291" s="336"/>
      <c r="FW291" s="337"/>
      <c r="FX291" s="532"/>
      <c r="FY291" s="341"/>
      <c r="FZ291" s="341"/>
      <c r="GA291" s="336"/>
      <c r="GB291" s="341"/>
      <c r="GC291" s="341"/>
      <c r="GD291" s="341"/>
      <c r="GE291" s="336"/>
      <c r="GF291" s="336"/>
      <c r="GG291" s="336"/>
      <c r="GH291" s="336"/>
      <c r="GI291" s="336"/>
      <c r="GJ291" s="337"/>
      <c r="GM291" s="338"/>
      <c r="GN291" s="338"/>
      <c r="GO291" s="338"/>
      <c r="GS291" s="338"/>
      <c r="GT291" s="338"/>
      <c r="GU291" s="338"/>
      <c r="GY291" s="338"/>
      <c r="GZ291" s="338"/>
      <c r="HA291" s="338"/>
      <c r="HE291" s="338"/>
      <c r="HF291" s="338"/>
      <c r="HG291" s="338"/>
      <c r="HN291" s="68"/>
      <c r="HO291" s="68"/>
      <c r="HP291" s="68"/>
      <c r="HQ291" s="336"/>
      <c r="HR291" s="68"/>
      <c r="HS291" s="68"/>
      <c r="HT291" s="10"/>
      <c r="HW291" s="338"/>
      <c r="HX291" s="338"/>
      <c r="HY291" s="338"/>
      <c r="IC291" s="338"/>
      <c r="ID291" s="338"/>
      <c r="IE291" s="338"/>
      <c r="II291" s="338"/>
      <c r="IJ291" s="338"/>
      <c r="IK291" s="338"/>
      <c r="IO291" s="338"/>
      <c r="IP291" s="338"/>
      <c r="IQ291" s="338"/>
      <c r="IX291" s="68"/>
      <c r="IY291" s="68"/>
      <c r="IZ291" s="68"/>
      <c r="JA291" s="68"/>
      <c r="JB291" s="68"/>
      <c r="JC291" s="68"/>
      <c r="JD291" s="10"/>
      <c r="JG291" s="338"/>
      <c r="JH291" s="338"/>
      <c r="JI291" s="338"/>
      <c r="JM291" s="338"/>
      <c r="JN291" s="338"/>
      <c r="JQ291" s="338"/>
      <c r="JR291" s="338"/>
      <c r="JS291" s="338"/>
      <c r="JW291" s="358"/>
      <c r="JX291" s="336"/>
      <c r="JY291" s="336"/>
      <c r="JZ291" s="336"/>
      <c r="KA291" s="336"/>
      <c r="KB291" s="336"/>
      <c r="KC291" s="336"/>
      <c r="KD291" s="336"/>
      <c r="KE291" s="336"/>
      <c r="KF291" s="336"/>
      <c r="KG291" s="337"/>
      <c r="KH291" s="338"/>
      <c r="KI291" s="338"/>
      <c r="KJ291" s="338"/>
      <c r="KK291" s="338"/>
      <c r="KL291" s="338"/>
      <c r="KM291" s="338"/>
      <c r="KN291" s="338"/>
      <c r="KO291" s="338"/>
      <c r="KP291" s="338"/>
      <c r="KQ291" s="338"/>
      <c r="KR291" s="338"/>
      <c r="KS291" s="338"/>
      <c r="KT291" s="338"/>
      <c r="KU291" s="338"/>
      <c r="KV291" s="338"/>
      <c r="KW291" s="337"/>
      <c r="KX291" s="336"/>
      <c r="KY291" s="336"/>
      <c r="KZ291" s="336"/>
      <c r="LA291" s="336"/>
      <c r="LB291" s="336"/>
      <c r="LC291" s="336"/>
      <c r="LD291" s="336"/>
      <c r="LE291" s="336"/>
      <c r="LF291" s="336"/>
      <c r="LG291" s="336"/>
      <c r="LH291" s="336"/>
      <c r="LI291" s="336"/>
      <c r="LJ291" s="336"/>
      <c r="LK291" s="336"/>
      <c r="LL291" s="336"/>
      <c r="LM291" s="336"/>
      <c r="LN291" s="336"/>
      <c r="LO291" s="336"/>
      <c r="LP291" s="336"/>
      <c r="LQ291" s="337"/>
      <c r="MN291" s="10"/>
      <c r="OA291" s="10"/>
    </row>
    <row r="292" spans="1:391" s="370" customFormat="1" x14ac:dyDescent="0.25">
      <c r="A292" s="68"/>
      <c r="B292" s="10"/>
      <c r="C292" s="68"/>
      <c r="D292" s="68"/>
      <c r="E292" s="68"/>
      <c r="F292" s="68"/>
      <c r="G292" s="68"/>
      <c r="H292" s="68"/>
      <c r="I292" s="68"/>
      <c r="J292" s="68"/>
      <c r="K292" s="68"/>
      <c r="L292" s="68"/>
      <c r="M292" s="68"/>
      <c r="N292" s="68"/>
      <c r="O292" s="68"/>
      <c r="P292" s="68"/>
      <c r="Q292" s="68"/>
      <c r="R292" s="68"/>
      <c r="S292" s="68"/>
      <c r="T292" s="70"/>
      <c r="AC292" s="68"/>
      <c r="AD292" s="70"/>
      <c r="AM292" s="68"/>
      <c r="AN292" s="70"/>
      <c r="AU292" s="68"/>
      <c r="AV292" s="70"/>
      <c r="BB292" s="68"/>
      <c r="BC292" s="70"/>
      <c r="BD292" s="68"/>
      <c r="BE292" s="68"/>
      <c r="BF292" s="68"/>
      <c r="BG292" s="68"/>
      <c r="BH292" s="68"/>
      <c r="BI292" s="68"/>
      <c r="BJ292" s="70"/>
      <c r="BM292" s="68"/>
      <c r="BN292" s="70"/>
      <c r="BT292" s="68"/>
      <c r="BU292" s="70"/>
      <c r="BZ292" s="10"/>
      <c r="CF292" s="10"/>
      <c r="CI292" s="389"/>
      <c r="CJ292" s="389"/>
      <c r="CK292" s="68"/>
      <c r="CL292" s="70"/>
      <c r="CO292" s="10"/>
      <c r="CU292" s="10"/>
      <c r="DA292" s="10"/>
      <c r="DB292" s="70"/>
      <c r="DC292" s="70"/>
      <c r="DF292" s="68"/>
      <c r="DG292" s="70"/>
      <c r="DH292" s="68"/>
      <c r="DI292" s="386"/>
      <c r="DJ292" s="425"/>
      <c r="DL292" s="68"/>
      <c r="DM292" s="70"/>
      <c r="DQ292" s="68"/>
      <c r="DR292" s="70"/>
      <c r="DS292" s="338"/>
      <c r="DT292" s="338"/>
      <c r="DU292" s="338"/>
      <c r="DW292" s="338"/>
      <c r="DX292" s="338"/>
      <c r="DY292" s="338"/>
      <c r="EA292" s="338"/>
      <c r="EB292" s="338"/>
      <c r="EC292" s="338"/>
      <c r="EE292" s="338"/>
      <c r="EF292" s="338"/>
      <c r="EG292" s="338"/>
      <c r="EI292" s="336"/>
      <c r="EJ292" s="336"/>
      <c r="EK292" s="336"/>
      <c r="EL292" s="336"/>
      <c r="EM292" s="336"/>
      <c r="EN292" s="336"/>
      <c r="EO292" s="337"/>
      <c r="EP292" s="342"/>
      <c r="EQ292" s="336"/>
      <c r="ER292" s="342"/>
      <c r="ES292" s="336"/>
      <c r="ET292" s="342"/>
      <c r="EU292" s="336"/>
      <c r="EV292" s="342"/>
      <c r="EW292" s="336"/>
      <c r="EX292" s="342"/>
      <c r="EY292" s="342"/>
      <c r="EZ292" s="342"/>
      <c r="FA292" s="337"/>
      <c r="FE292" s="338"/>
      <c r="FH292" s="338"/>
      <c r="FI292" s="338"/>
      <c r="FJ292" s="338"/>
      <c r="FK292" s="338"/>
      <c r="FL292" s="338"/>
      <c r="FM292" s="337"/>
      <c r="FN292" s="336"/>
      <c r="FO292" s="336"/>
      <c r="FP292" s="336"/>
      <c r="FQ292" s="336"/>
      <c r="FR292" s="336"/>
      <c r="FS292" s="336"/>
      <c r="FT292" s="336"/>
      <c r="FU292" s="336"/>
      <c r="FV292" s="336"/>
      <c r="FW292" s="337"/>
      <c r="FX292" s="532"/>
      <c r="FY292" s="341"/>
      <c r="FZ292" s="341"/>
      <c r="GA292" s="336"/>
      <c r="GB292" s="341"/>
      <c r="GC292" s="341"/>
      <c r="GD292" s="341"/>
      <c r="GE292" s="336"/>
      <c r="GF292" s="336"/>
      <c r="GG292" s="336"/>
      <c r="GH292" s="336"/>
      <c r="GI292" s="336"/>
      <c r="GJ292" s="337"/>
      <c r="GM292" s="338"/>
      <c r="GN292" s="338"/>
      <c r="GO292" s="338"/>
      <c r="GS292" s="338"/>
      <c r="GT292" s="338"/>
      <c r="GU292" s="338"/>
      <c r="GY292" s="338"/>
      <c r="GZ292" s="338"/>
      <c r="HA292" s="338"/>
      <c r="HE292" s="338"/>
      <c r="HF292" s="338"/>
      <c r="HG292" s="338"/>
      <c r="HN292" s="68"/>
      <c r="HO292" s="68"/>
      <c r="HP292" s="68"/>
      <c r="HQ292" s="336"/>
      <c r="HR292" s="68"/>
      <c r="HS292" s="68"/>
      <c r="HT292" s="10"/>
      <c r="HW292" s="338"/>
      <c r="HX292" s="338"/>
      <c r="HY292" s="338"/>
      <c r="IC292" s="338"/>
      <c r="ID292" s="338"/>
      <c r="IE292" s="338"/>
      <c r="II292" s="338"/>
      <c r="IJ292" s="338"/>
      <c r="IK292" s="338"/>
      <c r="IO292" s="338"/>
      <c r="IP292" s="338"/>
      <c r="IQ292" s="338"/>
      <c r="IX292" s="68"/>
      <c r="IY292" s="68"/>
      <c r="IZ292" s="68"/>
      <c r="JA292" s="68"/>
      <c r="JB292" s="68"/>
      <c r="JC292" s="68"/>
      <c r="JD292" s="10"/>
      <c r="JG292" s="338"/>
      <c r="JH292" s="338"/>
      <c r="JI292" s="338"/>
      <c r="JM292" s="338"/>
      <c r="JN292" s="338"/>
      <c r="JQ292" s="338"/>
      <c r="JR292" s="338"/>
      <c r="JS292" s="338"/>
      <c r="JW292" s="358"/>
      <c r="JX292" s="336"/>
      <c r="JY292" s="336"/>
      <c r="JZ292" s="336"/>
      <c r="KA292" s="336"/>
      <c r="KB292" s="336"/>
      <c r="KC292" s="336"/>
      <c r="KD292" s="336"/>
      <c r="KE292" s="336"/>
      <c r="KF292" s="336"/>
      <c r="KG292" s="337"/>
      <c r="KH292" s="338"/>
      <c r="KI292" s="338"/>
      <c r="KJ292" s="338"/>
      <c r="KK292" s="338"/>
      <c r="KL292" s="338"/>
      <c r="KM292" s="338"/>
      <c r="KN292" s="338"/>
      <c r="KO292" s="338"/>
      <c r="KP292" s="338"/>
      <c r="KQ292" s="338"/>
      <c r="KR292" s="338"/>
      <c r="KS292" s="338"/>
      <c r="KT292" s="338"/>
      <c r="KU292" s="338"/>
      <c r="KV292" s="338"/>
      <c r="KW292" s="337"/>
      <c r="KX292" s="336"/>
      <c r="KY292" s="336"/>
      <c r="KZ292" s="336"/>
      <c r="LA292" s="336"/>
      <c r="LB292" s="336"/>
      <c r="LC292" s="336"/>
      <c r="LD292" s="336"/>
      <c r="LE292" s="336"/>
      <c r="LF292" s="336"/>
      <c r="LG292" s="336"/>
      <c r="LH292" s="336"/>
      <c r="LI292" s="336"/>
      <c r="LJ292" s="336"/>
      <c r="LK292" s="336"/>
      <c r="LL292" s="336"/>
      <c r="LM292" s="336"/>
      <c r="LN292" s="336"/>
      <c r="LO292" s="336"/>
      <c r="LP292" s="336"/>
      <c r="LQ292" s="337"/>
      <c r="MN292" s="10"/>
      <c r="OA292" s="10"/>
    </row>
    <row r="293" spans="1:391" s="370" customFormat="1" x14ac:dyDescent="0.25">
      <c r="A293" s="68"/>
      <c r="B293" s="10"/>
      <c r="C293" s="68"/>
      <c r="D293" s="68"/>
      <c r="E293" s="68"/>
      <c r="F293" s="68"/>
      <c r="G293" s="68"/>
      <c r="H293" s="68"/>
      <c r="I293" s="68"/>
      <c r="J293" s="68"/>
      <c r="K293" s="68"/>
      <c r="L293" s="68"/>
      <c r="M293" s="68"/>
      <c r="N293" s="68"/>
      <c r="O293" s="68"/>
      <c r="P293" s="68"/>
      <c r="Q293" s="68"/>
      <c r="R293" s="68"/>
      <c r="S293" s="68"/>
      <c r="T293" s="70"/>
      <c r="AC293" s="68"/>
      <c r="AD293" s="70"/>
      <c r="AM293" s="68"/>
      <c r="AN293" s="70"/>
      <c r="AU293" s="68"/>
      <c r="AV293" s="70"/>
      <c r="BB293" s="68"/>
      <c r="BC293" s="70"/>
      <c r="BD293" s="68"/>
      <c r="BE293" s="68"/>
      <c r="BF293" s="68"/>
      <c r="BG293" s="68"/>
      <c r="BH293" s="68"/>
      <c r="BI293" s="68"/>
      <c r="BJ293" s="70"/>
      <c r="BM293" s="68"/>
      <c r="BN293" s="70"/>
      <c r="BT293" s="68"/>
      <c r="BU293" s="70"/>
      <c r="BZ293" s="10"/>
      <c r="CF293" s="10"/>
      <c r="CI293" s="389"/>
      <c r="CJ293" s="389"/>
      <c r="CK293" s="68"/>
      <c r="CL293" s="70"/>
      <c r="CO293" s="10"/>
      <c r="CU293" s="10"/>
      <c r="DA293" s="10"/>
      <c r="DB293" s="70"/>
      <c r="DC293" s="70"/>
      <c r="DF293" s="68"/>
      <c r="DG293" s="70"/>
      <c r="DH293" s="68"/>
      <c r="DI293" s="386"/>
      <c r="DJ293" s="425"/>
      <c r="DL293" s="68"/>
      <c r="DM293" s="70"/>
      <c r="DQ293" s="68"/>
      <c r="DR293" s="70"/>
      <c r="DS293" s="338"/>
      <c r="DT293" s="338"/>
      <c r="DU293" s="338"/>
      <c r="DW293" s="338"/>
      <c r="DX293" s="338"/>
      <c r="DY293" s="338"/>
      <c r="EA293" s="338"/>
      <c r="EB293" s="338"/>
      <c r="EC293" s="338"/>
      <c r="EE293" s="338"/>
      <c r="EF293" s="338"/>
      <c r="EG293" s="338"/>
      <c r="EI293" s="336"/>
      <c r="EJ293" s="336"/>
      <c r="EK293" s="336"/>
      <c r="EL293" s="336"/>
      <c r="EM293" s="336"/>
      <c r="EN293" s="336"/>
      <c r="EO293" s="337"/>
      <c r="EP293" s="342"/>
      <c r="EQ293" s="336"/>
      <c r="ER293" s="342"/>
      <c r="ES293" s="336"/>
      <c r="ET293" s="342"/>
      <c r="EU293" s="336"/>
      <c r="EV293" s="342"/>
      <c r="EW293" s="336"/>
      <c r="EX293" s="342"/>
      <c r="EY293" s="342"/>
      <c r="EZ293" s="342"/>
      <c r="FA293" s="337"/>
      <c r="FE293" s="338"/>
      <c r="FH293" s="338"/>
      <c r="FI293" s="338"/>
      <c r="FJ293" s="338"/>
      <c r="FK293" s="338"/>
      <c r="FL293" s="338"/>
      <c r="FM293" s="337"/>
      <c r="FN293" s="336"/>
      <c r="FO293" s="336"/>
      <c r="FP293" s="336"/>
      <c r="FQ293" s="336"/>
      <c r="FR293" s="336"/>
      <c r="FS293" s="336"/>
      <c r="FT293" s="336"/>
      <c r="FU293" s="336"/>
      <c r="FV293" s="336"/>
      <c r="FW293" s="337"/>
      <c r="FX293" s="532"/>
      <c r="FY293" s="341"/>
      <c r="FZ293" s="341"/>
      <c r="GA293" s="336"/>
      <c r="GB293" s="341"/>
      <c r="GC293" s="341"/>
      <c r="GD293" s="341"/>
      <c r="GE293" s="336"/>
      <c r="GF293" s="336"/>
      <c r="GG293" s="336"/>
      <c r="GH293" s="336"/>
      <c r="GI293" s="336"/>
      <c r="GJ293" s="337"/>
      <c r="GM293" s="338"/>
      <c r="GN293" s="338"/>
      <c r="GO293" s="338"/>
      <c r="GS293" s="338"/>
      <c r="GT293" s="338"/>
      <c r="GU293" s="338"/>
      <c r="GY293" s="338"/>
      <c r="GZ293" s="338"/>
      <c r="HA293" s="338"/>
      <c r="HE293" s="338"/>
      <c r="HF293" s="338"/>
      <c r="HG293" s="338"/>
      <c r="HN293" s="68"/>
      <c r="HO293" s="68"/>
      <c r="HP293" s="68"/>
      <c r="HQ293" s="336"/>
      <c r="HR293" s="68"/>
      <c r="HS293" s="68"/>
      <c r="HT293" s="10"/>
      <c r="HW293" s="338"/>
      <c r="HX293" s="338"/>
      <c r="HY293" s="338"/>
      <c r="IC293" s="338"/>
      <c r="ID293" s="338"/>
      <c r="IE293" s="338"/>
      <c r="II293" s="338"/>
      <c r="IJ293" s="338"/>
      <c r="IK293" s="338"/>
      <c r="IO293" s="338"/>
      <c r="IP293" s="338"/>
      <c r="IQ293" s="338"/>
      <c r="IX293" s="68"/>
      <c r="IY293" s="68"/>
      <c r="IZ293" s="68"/>
      <c r="JA293" s="68"/>
      <c r="JB293" s="68"/>
      <c r="JC293" s="68"/>
      <c r="JD293" s="10"/>
      <c r="JG293" s="338"/>
      <c r="JH293" s="338"/>
      <c r="JI293" s="338"/>
      <c r="JM293" s="338"/>
      <c r="JN293" s="338"/>
      <c r="JQ293" s="338"/>
      <c r="JR293" s="338"/>
      <c r="JS293" s="338"/>
      <c r="JW293" s="358"/>
      <c r="JX293" s="336"/>
      <c r="JY293" s="336"/>
      <c r="JZ293" s="336"/>
      <c r="KA293" s="336"/>
      <c r="KB293" s="336"/>
      <c r="KC293" s="336"/>
      <c r="KD293" s="336"/>
      <c r="KE293" s="336"/>
      <c r="KF293" s="336"/>
      <c r="KG293" s="337"/>
      <c r="KH293" s="338"/>
      <c r="KI293" s="338"/>
      <c r="KJ293" s="338"/>
      <c r="KK293" s="338"/>
      <c r="KL293" s="338"/>
      <c r="KM293" s="338"/>
      <c r="KN293" s="338"/>
      <c r="KO293" s="338"/>
      <c r="KP293" s="338"/>
      <c r="KQ293" s="338"/>
      <c r="KR293" s="338"/>
      <c r="KS293" s="338"/>
      <c r="KT293" s="338"/>
      <c r="KU293" s="338"/>
      <c r="KV293" s="338"/>
      <c r="KW293" s="337"/>
      <c r="KX293" s="336"/>
      <c r="KY293" s="336"/>
      <c r="KZ293" s="336"/>
      <c r="LA293" s="336"/>
      <c r="LB293" s="336"/>
      <c r="LC293" s="336"/>
      <c r="LD293" s="336"/>
      <c r="LE293" s="336"/>
      <c r="LF293" s="336"/>
      <c r="LG293" s="336"/>
      <c r="LH293" s="336"/>
      <c r="LI293" s="336"/>
      <c r="LJ293" s="336"/>
      <c r="LK293" s="336"/>
      <c r="LL293" s="336"/>
      <c r="LM293" s="336"/>
      <c r="LN293" s="336"/>
      <c r="LO293" s="336"/>
      <c r="LP293" s="336"/>
      <c r="LQ293" s="337"/>
      <c r="MN293" s="10"/>
      <c r="OA293" s="10"/>
    </row>
    <row r="294" spans="1:391" s="370" customFormat="1" x14ac:dyDescent="0.25">
      <c r="A294" s="68"/>
      <c r="B294" s="10"/>
      <c r="C294" s="68"/>
      <c r="D294" s="68"/>
      <c r="E294" s="68"/>
      <c r="F294" s="68"/>
      <c r="G294" s="68"/>
      <c r="H294" s="68"/>
      <c r="I294" s="68"/>
      <c r="J294" s="68"/>
      <c r="K294" s="68"/>
      <c r="L294" s="68"/>
      <c r="M294" s="68"/>
      <c r="N294" s="68"/>
      <c r="O294" s="68"/>
      <c r="P294" s="68"/>
      <c r="Q294" s="68"/>
      <c r="R294" s="68"/>
      <c r="S294" s="68"/>
      <c r="T294" s="70"/>
      <c r="AC294" s="68"/>
      <c r="AD294" s="70"/>
      <c r="AM294" s="68"/>
      <c r="AN294" s="70"/>
      <c r="AU294" s="68"/>
      <c r="AV294" s="70"/>
      <c r="BB294" s="68"/>
      <c r="BC294" s="70"/>
      <c r="BD294" s="68"/>
      <c r="BE294" s="68"/>
      <c r="BF294" s="68"/>
      <c r="BG294" s="68"/>
      <c r="BH294" s="68"/>
      <c r="BI294" s="68"/>
      <c r="BJ294" s="70"/>
      <c r="BM294" s="68"/>
      <c r="BN294" s="70"/>
      <c r="BT294" s="68"/>
      <c r="BU294" s="70"/>
      <c r="BZ294" s="10"/>
      <c r="CF294" s="10"/>
      <c r="CI294" s="389"/>
      <c r="CJ294" s="389"/>
      <c r="CK294" s="68"/>
      <c r="CL294" s="70"/>
      <c r="CO294" s="10"/>
      <c r="CU294" s="10"/>
      <c r="DA294" s="10"/>
      <c r="DB294" s="70"/>
      <c r="DC294" s="70"/>
      <c r="DF294" s="68"/>
      <c r="DG294" s="70"/>
      <c r="DH294" s="68"/>
      <c r="DI294" s="386"/>
      <c r="DJ294" s="425"/>
      <c r="DL294" s="68"/>
      <c r="DM294" s="70"/>
      <c r="DQ294" s="68"/>
      <c r="DR294" s="70"/>
      <c r="DS294" s="338"/>
      <c r="DT294" s="338"/>
      <c r="DU294" s="338"/>
      <c r="DW294" s="338"/>
      <c r="DX294" s="338"/>
      <c r="DY294" s="338"/>
      <c r="EA294" s="338"/>
      <c r="EB294" s="338"/>
      <c r="EC294" s="338"/>
      <c r="EE294" s="338"/>
      <c r="EF294" s="338"/>
      <c r="EG294" s="338"/>
      <c r="EI294" s="336"/>
      <c r="EJ294" s="336"/>
      <c r="EK294" s="336"/>
      <c r="EL294" s="336"/>
      <c r="EM294" s="336"/>
      <c r="EN294" s="336"/>
      <c r="EO294" s="337"/>
      <c r="EP294" s="342"/>
      <c r="EQ294" s="336"/>
      <c r="ER294" s="342"/>
      <c r="ES294" s="336"/>
      <c r="ET294" s="342"/>
      <c r="EU294" s="336"/>
      <c r="EV294" s="342"/>
      <c r="EW294" s="336"/>
      <c r="EX294" s="342"/>
      <c r="EY294" s="342"/>
      <c r="EZ294" s="342"/>
      <c r="FA294" s="337"/>
      <c r="FE294" s="338"/>
      <c r="FH294" s="338"/>
      <c r="FI294" s="338"/>
      <c r="FJ294" s="338"/>
      <c r="FK294" s="338"/>
      <c r="FL294" s="338"/>
      <c r="FM294" s="337"/>
      <c r="FN294" s="336"/>
      <c r="FO294" s="336"/>
      <c r="FP294" s="336"/>
      <c r="FQ294" s="336"/>
      <c r="FR294" s="336"/>
      <c r="FS294" s="336"/>
      <c r="FT294" s="336"/>
      <c r="FU294" s="336"/>
      <c r="FV294" s="336"/>
      <c r="FW294" s="337"/>
      <c r="FX294" s="532"/>
      <c r="FY294" s="341"/>
      <c r="FZ294" s="341"/>
      <c r="GA294" s="336"/>
      <c r="GB294" s="341"/>
      <c r="GC294" s="341"/>
      <c r="GD294" s="341"/>
      <c r="GE294" s="336"/>
      <c r="GF294" s="336"/>
      <c r="GG294" s="336"/>
      <c r="GH294" s="336"/>
      <c r="GI294" s="336"/>
      <c r="GJ294" s="337"/>
      <c r="GM294" s="338"/>
      <c r="GN294" s="338"/>
      <c r="GO294" s="338"/>
      <c r="GS294" s="338"/>
      <c r="GT294" s="338"/>
      <c r="GU294" s="338"/>
      <c r="GY294" s="338"/>
      <c r="GZ294" s="338"/>
      <c r="HA294" s="338"/>
      <c r="HE294" s="338"/>
      <c r="HF294" s="338"/>
      <c r="HG294" s="338"/>
      <c r="HN294" s="68"/>
      <c r="HO294" s="68"/>
      <c r="HP294" s="68"/>
      <c r="HQ294" s="336"/>
      <c r="HR294" s="68"/>
      <c r="HS294" s="68"/>
      <c r="HT294" s="10"/>
      <c r="HW294" s="338"/>
      <c r="HX294" s="338"/>
      <c r="HY294" s="338"/>
      <c r="IC294" s="338"/>
      <c r="ID294" s="338"/>
      <c r="IE294" s="338"/>
      <c r="II294" s="338"/>
      <c r="IJ294" s="338"/>
      <c r="IK294" s="338"/>
      <c r="IO294" s="338"/>
      <c r="IP294" s="338"/>
      <c r="IQ294" s="338"/>
      <c r="IX294" s="68"/>
      <c r="IY294" s="68"/>
      <c r="IZ294" s="68"/>
      <c r="JA294" s="68"/>
      <c r="JB294" s="68"/>
      <c r="JC294" s="68"/>
      <c r="JD294" s="10"/>
      <c r="JG294" s="338"/>
      <c r="JH294" s="338"/>
      <c r="JI294" s="338"/>
      <c r="JM294" s="338"/>
      <c r="JN294" s="338"/>
      <c r="JQ294" s="338"/>
      <c r="JR294" s="338"/>
      <c r="JS294" s="338"/>
      <c r="JW294" s="358"/>
      <c r="JX294" s="336"/>
      <c r="JY294" s="336"/>
      <c r="JZ294" s="336"/>
      <c r="KA294" s="336"/>
      <c r="KB294" s="336"/>
      <c r="KC294" s="336"/>
      <c r="KD294" s="336"/>
      <c r="KE294" s="336"/>
      <c r="KF294" s="336"/>
      <c r="KG294" s="337"/>
      <c r="KH294" s="338"/>
      <c r="KI294" s="338"/>
      <c r="KJ294" s="338"/>
      <c r="KK294" s="338"/>
      <c r="KL294" s="338"/>
      <c r="KM294" s="338"/>
      <c r="KN294" s="338"/>
      <c r="KO294" s="338"/>
      <c r="KP294" s="338"/>
      <c r="KQ294" s="338"/>
      <c r="KR294" s="338"/>
      <c r="KS294" s="338"/>
      <c r="KT294" s="338"/>
      <c r="KU294" s="338"/>
      <c r="KV294" s="338"/>
      <c r="KW294" s="337"/>
      <c r="KX294" s="336"/>
      <c r="KY294" s="336"/>
      <c r="KZ294" s="336"/>
      <c r="LA294" s="336"/>
      <c r="LB294" s="336"/>
      <c r="LC294" s="336"/>
      <c r="LD294" s="336"/>
      <c r="LE294" s="336"/>
      <c r="LF294" s="336"/>
      <c r="LG294" s="336"/>
      <c r="LH294" s="336"/>
      <c r="LI294" s="336"/>
      <c r="LJ294" s="336"/>
      <c r="LK294" s="336"/>
      <c r="LL294" s="336"/>
      <c r="LM294" s="336"/>
      <c r="LN294" s="336"/>
      <c r="LO294" s="336"/>
      <c r="LP294" s="336"/>
      <c r="LQ294" s="337"/>
      <c r="MN294" s="10"/>
      <c r="OA294" s="10"/>
    </row>
    <row r="295" spans="1:391" s="370" customFormat="1" x14ac:dyDescent="0.25">
      <c r="A295" s="68"/>
      <c r="B295" s="10"/>
      <c r="C295" s="68"/>
      <c r="D295" s="68"/>
      <c r="E295" s="68"/>
      <c r="F295" s="68"/>
      <c r="G295" s="68"/>
      <c r="H295" s="68"/>
      <c r="I295" s="68"/>
      <c r="J295" s="68"/>
      <c r="K295" s="68"/>
      <c r="L295" s="68"/>
      <c r="M295" s="68"/>
      <c r="N295" s="68"/>
      <c r="O295" s="68"/>
      <c r="P295" s="68"/>
      <c r="Q295" s="68"/>
      <c r="R295" s="68"/>
      <c r="S295" s="68"/>
      <c r="T295" s="70"/>
      <c r="AC295" s="68"/>
      <c r="AD295" s="70"/>
      <c r="AM295" s="68"/>
      <c r="AN295" s="70"/>
      <c r="AU295" s="68"/>
      <c r="AV295" s="70"/>
      <c r="BB295" s="68"/>
      <c r="BC295" s="70"/>
      <c r="BD295" s="68"/>
      <c r="BE295" s="68"/>
      <c r="BF295" s="68"/>
      <c r="BG295" s="68"/>
      <c r="BH295" s="68"/>
      <c r="BI295" s="68"/>
      <c r="BJ295" s="70"/>
      <c r="BM295" s="68"/>
      <c r="BN295" s="70"/>
      <c r="BT295" s="68"/>
      <c r="BU295" s="70"/>
      <c r="BZ295" s="10"/>
      <c r="CF295" s="10"/>
      <c r="CI295" s="389"/>
      <c r="CJ295" s="389"/>
      <c r="CK295" s="68"/>
      <c r="CL295" s="70"/>
      <c r="CO295" s="10"/>
      <c r="CU295" s="10"/>
      <c r="DA295" s="10"/>
      <c r="DB295" s="70"/>
      <c r="DC295" s="70"/>
      <c r="DF295" s="68"/>
      <c r="DG295" s="70"/>
      <c r="DH295" s="68"/>
      <c r="DI295" s="386"/>
      <c r="DJ295" s="425"/>
      <c r="DL295" s="68"/>
      <c r="DM295" s="70"/>
      <c r="DQ295" s="68"/>
      <c r="DR295" s="70"/>
      <c r="DS295" s="338"/>
      <c r="DT295" s="338"/>
      <c r="DU295" s="338"/>
      <c r="DW295" s="338"/>
      <c r="DX295" s="338"/>
      <c r="DY295" s="338"/>
      <c r="EA295" s="338"/>
      <c r="EB295" s="338"/>
      <c r="EC295" s="338"/>
      <c r="EE295" s="338"/>
      <c r="EF295" s="338"/>
      <c r="EG295" s="338"/>
      <c r="EI295" s="336"/>
      <c r="EJ295" s="336"/>
      <c r="EK295" s="336"/>
      <c r="EL295" s="336"/>
      <c r="EM295" s="336"/>
      <c r="EN295" s="336"/>
      <c r="EO295" s="337"/>
      <c r="EP295" s="342"/>
      <c r="EQ295" s="336"/>
      <c r="ER295" s="342"/>
      <c r="ES295" s="336"/>
      <c r="ET295" s="342"/>
      <c r="EU295" s="336"/>
      <c r="EV295" s="342"/>
      <c r="EW295" s="336"/>
      <c r="EX295" s="342"/>
      <c r="EY295" s="342"/>
      <c r="EZ295" s="342"/>
      <c r="FA295" s="337"/>
      <c r="FE295" s="338"/>
      <c r="FH295" s="338"/>
      <c r="FI295" s="338"/>
      <c r="FJ295" s="338"/>
      <c r="FK295" s="338"/>
      <c r="FL295" s="338"/>
      <c r="FM295" s="337"/>
      <c r="FN295" s="336"/>
      <c r="FO295" s="336"/>
      <c r="FP295" s="336"/>
      <c r="FQ295" s="336"/>
      <c r="FR295" s="336"/>
      <c r="FS295" s="336"/>
      <c r="FT295" s="336"/>
      <c r="FU295" s="336"/>
      <c r="FV295" s="336"/>
      <c r="FW295" s="337"/>
      <c r="FX295" s="532"/>
      <c r="FY295" s="341"/>
      <c r="FZ295" s="341"/>
      <c r="GA295" s="336"/>
      <c r="GB295" s="341"/>
      <c r="GC295" s="341"/>
      <c r="GD295" s="341"/>
      <c r="GE295" s="336"/>
      <c r="GF295" s="336"/>
      <c r="GG295" s="336"/>
      <c r="GH295" s="336"/>
      <c r="GI295" s="336"/>
      <c r="GJ295" s="337"/>
      <c r="GM295" s="338"/>
      <c r="GN295" s="338"/>
      <c r="GO295" s="338"/>
      <c r="GS295" s="338"/>
      <c r="GT295" s="338"/>
      <c r="GU295" s="338"/>
      <c r="GY295" s="338"/>
      <c r="GZ295" s="338"/>
      <c r="HA295" s="338"/>
      <c r="HE295" s="338"/>
      <c r="HF295" s="338"/>
      <c r="HG295" s="338"/>
      <c r="HN295" s="68"/>
      <c r="HO295" s="68"/>
      <c r="HP295" s="68"/>
      <c r="HQ295" s="336"/>
      <c r="HR295" s="68"/>
      <c r="HS295" s="68"/>
      <c r="HT295" s="10"/>
      <c r="HW295" s="338"/>
      <c r="HX295" s="338"/>
      <c r="HY295" s="338"/>
      <c r="IC295" s="338"/>
      <c r="ID295" s="338"/>
      <c r="IE295" s="338"/>
      <c r="II295" s="338"/>
      <c r="IJ295" s="338"/>
      <c r="IK295" s="338"/>
      <c r="IO295" s="338"/>
      <c r="IP295" s="338"/>
      <c r="IQ295" s="338"/>
      <c r="IX295" s="68"/>
      <c r="IY295" s="68"/>
      <c r="IZ295" s="68"/>
      <c r="JA295" s="68"/>
      <c r="JB295" s="68"/>
      <c r="JC295" s="68"/>
      <c r="JD295" s="10"/>
      <c r="JG295" s="338"/>
      <c r="JH295" s="338"/>
      <c r="JI295" s="338"/>
      <c r="JM295" s="338"/>
      <c r="JN295" s="338"/>
      <c r="JQ295" s="338"/>
      <c r="JR295" s="338"/>
      <c r="JS295" s="338"/>
      <c r="JW295" s="358"/>
      <c r="JX295" s="336"/>
      <c r="JY295" s="336"/>
      <c r="JZ295" s="336"/>
      <c r="KA295" s="336"/>
      <c r="KB295" s="336"/>
      <c r="KC295" s="336"/>
      <c r="KD295" s="336"/>
      <c r="KE295" s="336"/>
      <c r="KF295" s="336"/>
      <c r="KG295" s="337"/>
      <c r="KH295" s="338"/>
      <c r="KI295" s="338"/>
      <c r="KJ295" s="338"/>
      <c r="KK295" s="338"/>
      <c r="KL295" s="338"/>
      <c r="KM295" s="338"/>
      <c r="KN295" s="338"/>
      <c r="KO295" s="338"/>
      <c r="KP295" s="338"/>
      <c r="KQ295" s="338"/>
      <c r="KR295" s="338"/>
      <c r="KS295" s="338"/>
      <c r="KT295" s="338"/>
      <c r="KU295" s="338"/>
      <c r="KV295" s="338"/>
      <c r="KW295" s="337"/>
      <c r="KX295" s="336"/>
      <c r="KY295" s="336"/>
      <c r="KZ295" s="336"/>
      <c r="LA295" s="336"/>
      <c r="LB295" s="336"/>
      <c r="LC295" s="336"/>
      <c r="LD295" s="336"/>
      <c r="LE295" s="336"/>
      <c r="LF295" s="336"/>
      <c r="LG295" s="336"/>
      <c r="LH295" s="336"/>
      <c r="LI295" s="336"/>
      <c r="LJ295" s="336"/>
      <c r="LK295" s="336"/>
      <c r="LL295" s="336"/>
      <c r="LM295" s="336"/>
      <c r="LN295" s="336"/>
      <c r="LO295" s="336"/>
      <c r="LP295" s="336"/>
      <c r="LQ295" s="337"/>
      <c r="MN295" s="10"/>
      <c r="OA295" s="10"/>
    </row>
    <row r="296" spans="1:391" s="370" customFormat="1" x14ac:dyDescent="0.25">
      <c r="A296" s="68"/>
      <c r="B296" s="10"/>
      <c r="C296" s="68"/>
      <c r="D296" s="68"/>
      <c r="E296" s="68"/>
      <c r="F296" s="68"/>
      <c r="G296" s="68"/>
      <c r="H296" s="68"/>
      <c r="I296" s="68"/>
      <c r="J296" s="68"/>
      <c r="K296" s="68"/>
      <c r="L296" s="68"/>
      <c r="M296" s="68"/>
      <c r="N296" s="68"/>
      <c r="O296" s="68"/>
      <c r="P296" s="68"/>
      <c r="Q296" s="68"/>
      <c r="R296" s="68"/>
      <c r="S296" s="68"/>
      <c r="T296" s="70"/>
      <c r="AC296" s="68"/>
      <c r="AD296" s="70"/>
      <c r="AM296" s="68"/>
      <c r="AN296" s="70"/>
      <c r="AU296" s="68"/>
      <c r="AV296" s="70"/>
      <c r="BB296" s="68"/>
      <c r="BC296" s="70"/>
      <c r="BD296" s="68"/>
      <c r="BE296" s="68"/>
      <c r="BF296" s="68"/>
      <c r="BG296" s="68"/>
      <c r="BH296" s="68"/>
      <c r="BI296" s="68"/>
      <c r="BJ296" s="70"/>
      <c r="BM296" s="68"/>
      <c r="BN296" s="70"/>
      <c r="BT296" s="68"/>
      <c r="BU296" s="70"/>
      <c r="BZ296" s="10"/>
      <c r="CF296" s="10"/>
      <c r="CI296" s="389"/>
      <c r="CJ296" s="389"/>
      <c r="CK296" s="68"/>
      <c r="CL296" s="70"/>
      <c r="CO296" s="10"/>
      <c r="CU296" s="10"/>
      <c r="DA296" s="10"/>
      <c r="DB296" s="70"/>
      <c r="DC296" s="70"/>
      <c r="DF296" s="68"/>
      <c r="DG296" s="70"/>
      <c r="DH296" s="68"/>
      <c r="DI296" s="386"/>
      <c r="DJ296" s="425"/>
      <c r="DL296" s="68"/>
      <c r="DM296" s="70"/>
      <c r="DQ296" s="68"/>
      <c r="DR296" s="70"/>
      <c r="DS296" s="338"/>
      <c r="DT296" s="338"/>
      <c r="DU296" s="338"/>
      <c r="DW296" s="338"/>
      <c r="DX296" s="338"/>
      <c r="DY296" s="338"/>
      <c r="EA296" s="338"/>
      <c r="EB296" s="338"/>
      <c r="EC296" s="338"/>
      <c r="EE296" s="338"/>
      <c r="EF296" s="338"/>
      <c r="EG296" s="338"/>
      <c r="EI296" s="336"/>
      <c r="EJ296" s="336"/>
      <c r="EK296" s="336"/>
      <c r="EL296" s="336"/>
      <c r="EM296" s="336"/>
      <c r="EN296" s="336"/>
      <c r="EO296" s="337"/>
      <c r="EP296" s="342"/>
      <c r="EQ296" s="336"/>
      <c r="ER296" s="342"/>
      <c r="ES296" s="336"/>
      <c r="ET296" s="342"/>
      <c r="EU296" s="336"/>
      <c r="EV296" s="342"/>
      <c r="EW296" s="336"/>
      <c r="EX296" s="342"/>
      <c r="EY296" s="342"/>
      <c r="EZ296" s="342"/>
      <c r="FA296" s="337"/>
      <c r="FE296" s="338"/>
      <c r="FH296" s="338"/>
      <c r="FI296" s="338"/>
      <c r="FJ296" s="338"/>
      <c r="FK296" s="338"/>
      <c r="FL296" s="338"/>
      <c r="FM296" s="337"/>
      <c r="FN296" s="336"/>
      <c r="FO296" s="336"/>
      <c r="FP296" s="336"/>
      <c r="FQ296" s="336"/>
      <c r="FR296" s="336"/>
      <c r="FS296" s="336"/>
      <c r="FT296" s="336"/>
      <c r="FU296" s="336"/>
      <c r="FV296" s="336"/>
      <c r="FW296" s="337"/>
      <c r="FX296" s="532"/>
      <c r="FY296" s="341"/>
      <c r="FZ296" s="341"/>
      <c r="GA296" s="336"/>
      <c r="GB296" s="341"/>
      <c r="GC296" s="341"/>
      <c r="GD296" s="341"/>
      <c r="GE296" s="336"/>
      <c r="GF296" s="336"/>
      <c r="GG296" s="336"/>
      <c r="GH296" s="336"/>
      <c r="GI296" s="336"/>
      <c r="GJ296" s="337"/>
      <c r="GM296" s="338"/>
      <c r="GN296" s="338"/>
      <c r="GO296" s="338"/>
      <c r="GS296" s="338"/>
      <c r="GT296" s="338"/>
      <c r="GU296" s="338"/>
      <c r="GY296" s="338"/>
      <c r="GZ296" s="338"/>
      <c r="HA296" s="338"/>
      <c r="HE296" s="338"/>
      <c r="HF296" s="338"/>
      <c r="HG296" s="338"/>
      <c r="HN296" s="68"/>
      <c r="HO296" s="68"/>
      <c r="HP296" s="68"/>
      <c r="HQ296" s="336"/>
      <c r="HR296" s="68"/>
      <c r="HS296" s="68"/>
      <c r="HT296" s="10"/>
      <c r="HW296" s="338"/>
      <c r="HX296" s="338"/>
      <c r="HY296" s="338"/>
      <c r="IC296" s="338"/>
      <c r="ID296" s="338"/>
      <c r="IE296" s="338"/>
      <c r="II296" s="338"/>
      <c r="IJ296" s="338"/>
      <c r="IK296" s="338"/>
      <c r="IO296" s="338"/>
      <c r="IP296" s="338"/>
      <c r="IQ296" s="338"/>
      <c r="IX296" s="68"/>
      <c r="IY296" s="68"/>
      <c r="IZ296" s="68"/>
      <c r="JA296" s="68"/>
      <c r="JB296" s="68"/>
      <c r="JC296" s="68"/>
      <c r="JD296" s="10"/>
      <c r="JG296" s="338"/>
      <c r="JH296" s="338"/>
      <c r="JI296" s="338"/>
      <c r="JM296" s="338"/>
      <c r="JN296" s="338"/>
      <c r="JQ296" s="338"/>
      <c r="JR296" s="338"/>
      <c r="JS296" s="338"/>
      <c r="JW296" s="358"/>
      <c r="JX296" s="336"/>
      <c r="JY296" s="336"/>
      <c r="JZ296" s="336"/>
      <c r="KA296" s="336"/>
      <c r="KB296" s="336"/>
      <c r="KC296" s="336"/>
      <c r="KD296" s="336"/>
      <c r="KE296" s="336"/>
      <c r="KF296" s="336"/>
      <c r="KG296" s="337"/>
      <c r="KH296" s="338"/>
      <c r="KI296" s="338"/>
      <c r="KJ296" s="338"/>
      <c r="KK296" s="338"/>
      <c r="KL296" s="338"/>
      <c r="KM296" s="338"/>
      <c r="KN296" s="338"/>
      <c r="KO296" s="338"/>
      <c r="KP296" s="338"/>
      <c r="KQ296" s="338"/>
      <c r="KR296" s="338"/>
      <c r="KS296" s="338"/>
      <c r="KT296" s="338"/>
      <c r="KU296" s="338"/>
      <c r="KV296" s="338"/>
      <c r="KW296" s="337"/>
      <c r="KX296" s="336"/>
      <c r="KY296" s="336"/>
      <c r="KZ296" s="336"/>
      <c r="LA296" s="336"/>
      <c r="LB296" s="336"/>
      <c r="LC296" s="336"/>
      <c r="LD296" s="336"/>
      <c r="LE296" s="336"/>
      <c r="LF296" s="336"/>
      <c r="LG296" s="336"/>
      <c r="LH296" s="336"/>
      <c r="LI296" s="336"/>
      <c r="LJ296" s="336"/>
      <c r="LK296" s="336"/>
      <c r="LL296" s="336"/>
      <c r="LM296" s="336"/>
      <c r="LN296" s="336"/>
      <c r="LO296" s="336"/>
      <c r="LP296" s="336"/>
      <c r="LQ296" s="337"/>
      <c r="MN296" s="10"/>
      <c r="OA296" s="10"/>
    </row>
    <row r="297" spans="1:391" s="370" customFormat="1" x14ac:dyDescent="0.25">
      <c r="A297" s="68"/>
      <c r="B297" s="10"/>
      <c r="C297" s="68"/>
      <c r="D297" s="68"/>
      <c r="E297" s="68"/>
      <c r="F297" s="68"/>
      <c r="G297" s="68"/>
      <c r="H297" s="68"/>
      <c r="I297" s="68"/>
      <c r="J297" s="68"/>
      <c r="K297" s="68"/>
      <c r="L297" s="68"/>
      <c r="M297" s="68"/>
      <c r="N297" s="68"/>
      <c r="O297" s="68"/>
      <c r="P297" s="68"/>
      <c r="Q297" s="68"/>
      <c r="R297" s="68"/>
      <c r="S297" s="68"/>
      <c r="T297" s="70"/>
      <c r="AC297" s="68"/>
      <c r="AD297" s="70"/>
      <c r="AM297" s="68"/>
      <c r="AN297" s="70"/>
      <c r="AU297" s="68"/>
      <c r="AV297" s="70"/>
      <c r="BB297" s="68"/>
      <c r="BC297" s="70"/>
      <c r="BD297" s="68"/>
      <c r="BE297" s="68"/>
      <c r="BF297" s="68"/>
      <c r="BG297" s="68"/>
      <c r="BH297" s="68"/>
      <c r="BI297" s="68"/>
      <c r="BJ297" s="70"/>
      <c r="BM297" s="68"/>
      <c r="BN297" s="70"/>
      <c r="BT297" s="68"/>
      <c r="BU297" s="70"/>
      <c r="BZ297" s="10"/>
      <c r="CF297" s="10"/>
      <c r="CI297" s="389"/>
      <c r="CJ297" s="389"/>
      <c r="CK297" s="68"/>
      <c r="CL297" s="70"/>
      <c r="CO297" s="10"/>
      <c r="CU297" s="10"/>
      <c r="DA297" s="10"/>
      <c r="DB297" s="70"/>
      <c r="DC297" s="70"/>
      <c r="DF297" s="68"/>
      <c r="DG297" s="70"/>
      <c r="DH297" s="68"/>
      <c r="DI297" s="386"/>
      <c r="DJ297" s="425"/>
      <c r="DL297" s="68"/>
      <c r="DM297" s="70"/>
      <c r="DQ297" s="68"/>
      <c r="DR297" s="70"/>
      <c r="DS297" s="338"/>
      <c r="DT297" s="338"/>
      <c r="DU297" s="338"/>
      <c r="DW297" s="338"/>
      <c r="DX297" s="338"/>
      <c r="DY297" s="338"/>
      <c r="EA297" s="338"/>
      <c r="EB297" s="338"/>
      <c r="EC297" s="338"/>
      <c r="EE297" s="338"/>
      <c r="EF297" s="338"/>
      <c r="EG297" s="338"/>
      <c r="EI297" s="336"/>
      <c r="EJ297" s="336"/>
      <c r="EK297" s="336"/>
      <c r="EL297" s="336"/>
      <c r="EM297" s="336"/>
      <c r="EN297" s="336"/>
      <c r="EO297" s="337"/>
      <c r="EP297" s="342"/>
      <c r="EQ297" s="336"/>
      <c r="ER297" s="342"/>
      <c r="ES297" s="336"/>
      <c r="ET297" s="342"/>
      <c r="EU297" s="336"/>
      <c r="EV297" s="342"/>
      <c r="EW297" s="336"/>
      <c r="EX297" s="342"/>
      <c r="EY297" s="342"/>
      <c r="EZ297" s="342"/>
      <c r="FA297" s="337"/>
      <c r="FE297" s="338"/>
      <c r="FH297" s="338"/>
      <c r="FI297" s="338"/>
      <c r="FJ297" s="338"/>
      <c r="FK297" s="338"/>
      <c r="FL297" s="338"/>
      <c r="FM297" s="337"/>
      <c r="FN297" s="336"/>
      <c r="FO297" s="336"/>
      <c r="FP297" s="336"/>
      <c r="FQ297" s="336"/>
      <c r="FR297" s="336"/>
      <c r="FS297" s="336"/>
      <c r="FT297" s="336"/>
      <c r="FU297" s="336"/>
      <c r="FV297" s="336"/>
      <c r="FW297" s="337"/>
      <c r="FX297" s="532"/>
      <c r="FY297" s="341"/>
      <c r="FZ297" s="341"/>
      <c r="GA297" s="336"/>
      <c r="GB297" s="341"/>
      <c r="GC297" s="341"/>
      <c r="GD297" s="341"/>
      <c r="GE297" s="336"/>
      <c r="GF297" s="336"/>
      <c r="GG297" s="336"/>
      <c r="GH297" s="336"/>
      <c r="GI297" s="336"/>
      <c r="GJ297" s="337"/>
      <c r="GM297" s="338"/>
      <c r="GN297" s="338"/>
      <c r="GO297" s="338"/>
      <c r="GS297" s="338"/>
      <c r="GT297" s="338"/>
      <c r="GU297" s="338"/>
      <c r="GY297" s="338"/>
      <c r="GZ297" s="338"/>
      <c r="HA297" s="338"/>
      <c r="HE297" s="338"/>
      <c r="HF297" s="338"/>
      <c r="HG297" s="338"/>
      <c r="HN297" s="68"/>
      <c r="HO297" s="68"/>
      <c r="HP297" s="68"/>
      <c r="HQ297" s="336"/>
      <c r="HR297" s="68"/>
      <c r="HS297" s="68"/>
      <c r="HT297" s="10"/>
      <c r="HW297" s="338"/>
      <c r="HX297" s="338"/>
      <c r="HY297" s="338"/>
      <c r="IC297" s="338"/>
      <c r="ID297" s="338"/>
      <c r="IE297" s="338"/>
      <c r="II297" s="338"/>
      <c r="IJ297" s="338"/>
      <c r="IK297" s="338"/>
      <c r="IO297" s="338"/>
      <c r="IP297" s="338"/>
      <c r="IQ297" s="338"/>
      <c r="IX297" s="68"/>
      <c r="IY297" s="68"/>
      <c r="IZ297" s="68"/>
      <c r="JA297" s="68"/>
      <c r="JB297" s="68"/>
      <c r="JC297" s="68"/>
      <c r="JD297" s="10"/>
      <c r="JG297" s="338"/>
      <c r="JH297" s="338"/>
      <c r="JI297" s="338"/>
      <c r="JM297" s="338"/>
      <c r="JN297" s="338"/>
      <c r="JQ297" s="338"/>
      <c r="JR297" s="338"/>
      <c r="JS297" s="338"/>
      <c r="JW297" s="358"/>
      <c r="JX297" s="336"/>
      <c r="JY297" s="336"/>
      <c r="JZ297" s="336"/>
      <c r="KA297" s="336"/>
      <c r="KB297" s="336"/>
      <c r="KC297" s="336"/>
      <c r="KD297" s="336"/>
      <c r="KE297" s="336"/>
      <c r="KF297" s="336"/>
      <c r="KG297" s="337"/>
      <c r="KH297" s="338"/>
      <c r="KI297" s="338"/>
      <c r="KJ297" s="338"/>
      <c r="KK297" s="338"/>
      <c r="KL297" s="338"/>
      <c r="KM297" s="338"/>
      <c r="KN297" s="338"/>
      <c r="KO297" s="338"/>
      <c r="KP297" s="338"/>
      <c r="KQ297" s="338"/>
      <c r="KR297" s="338"/>
      <c r="KS297" s="338"/>
      <c r="KT297" s="338"/>
      <c r="KU297" s="338"/>
      <c r="KV297" s="338"/>
      <c r="KW297" s="337"/>
      <c r="KX297" s="336"/>
      <c r="KY297" s="336"/>
      <c r="KZ297" s="336"/>
      <c r="LA297" s="336"/>
      <c r="LB297" s="336"/>
      <c r="LC297" s="336"/>
      <c r="LD297" s="336"/>
      <c r="LE297" s="336"/>
      <c r="LF297" s="336"/>
      <c r="LG297" s="336"/>
      <c r="LH297" s="336"/>
      <c r="LI297" s="336"/>
      <c r="LJ297" s="336"/>
      <c r="LK297" s="336"/>
      <c r="LL297" s="336"/>
      <c r="LM297" s="336"/>
      <c r="LN297" s="336"/>
      <c r="LO297" s="336"/>
      <c r="LP297" s="336"/>
      <c r="LQ297" s="337"/>
      <c r="MN297" s="10"/>
      <c r="OA297" s="10"/>
    </row>
    <row r="298" spans="1:391" s="370" customFormat="1" x14ac:dyDescent="0.25">
      <c r="A298" s="68"/>
      <c r="B298" s="10"/>
      <c r="C298" s="68"/>
      <c r="D298" s="68"/>
      <c r="E298" s="68"/>
      <c r="F298" s="68"/>
      <c r="G298" s="68"/>
      <c r="H298" s="68"/>
      <c r="I298" s="68"/>
      <c r="J298" s="68"/>
      <c r="K298" s="68"/>
      <c r="L298" s="68"/>
      <c r="M298" s="68"/>
      <c r="N298" s="68"/>
      <c r="O298" s="68"/>
      <c r="P298" s="68"/>
      <c r="Q298" s="68"/>
      <c r="R298" s="68"/>
      <c r="S298" s="68"/>
      <c r="T298" s="70"/>
      <c r="AC298" s="68"/>
      <c r="AD298" s="70"/>
      <c r="AM298" s="68"/>
      <c r="AN298" s="70"/>
      <c r="AU298" s="68"/>
      <c r="AV298" s="70"/>
      <c r="BB298" s="68"/>
      <c r="BC298" s="70"/>
      <c r="BD298" s="68"/>
      <c r="BE298" s="68"/>
      <c r="BF298" s="68"/>
      <c r="BG298" s="68"/>
      <c r="BH298" s="68"/>
      <c r="BI298" s="68"/>
      <c r="BJ298" s="70"/>
      <c r="BM298" s="68"/>
      <c r="BN298" s="70"/>
      <c r="BT298" s="68"/>
      <c r="BU298" s="70"/>
      <c r="BZ298" s="10"/>
      <c r="CF298" s="10"/>
      <c r="CI298" s="389"/>
      <c r="CJ298" s="389"/>
      <c r="CK298" s="68"/>
      <c r="CL298" s="70"/>
      <c r="CO298" s="10"/>
      <c r="CU298" s="10"/>
      <c r="DA298" s="10"/>
      <c r="DB298" s="70"/>
      <c r="DC298" s="70"/>
      <c r="DF298" s="68"/>
      <c r="DG298" s="70"/>
      <c r="DH298" s="68"/>
      <c r="DI298" s="386"/>
      <c r="DJ298" s="425"/>
      <c r="DL298" s="68"/>
      <c r="DM298" s="70"/>
      <c r="DQ298" s="68"/>
      <c r="DR298" s="70"/>
      <c r="DS298" s="338"/>
      <c r="DT298" s="338"/>
      <c r="DU298" s="338"/>
      <c r="DW298" s="338"/>
      <c r="DX298" s="338"/>
      <c r="DY298" s="338"/>
      <c r="EA298" s="338"/>
      <c r="EB298" s="338"/>
      <c r="EC298" s="338"/>
      <c r="EE298" s="338"/>
      <c r="EF298" s="338"/>
      <c r="EG298" s="338"/>
      <c r="EI298" s="336"/>
      <c r="EJ298" s="336"/>
      <c r="EK298" s="336"/>
      <c r="EL298" s="336"/>
      <c r="EM298" s="336"/>
      <c r="EN298" s="336"/>
      <c r="EO298" s="337"/>
      <c r="EP298" s="342"/>
      <c r="EQ298" s="336"/>
      <c r="ER298" s="342"/>
      <c r="ES298" s="336"/>
      <c r="ET298" s="342"/>
      <c r="EU298" s="336"/>
      <c r="EV298" s="342"/>
      <c r="EW298" s="336"/>
      <c r="EX298" s="342"/>
      <c r="EY298" s="342"/>
      <c r="EZ298" s="342"/>
      <c r="FA298" s="337"/>
      <c r="FE298" s="338"/>
      <c r="FH298" s="338"/>
      <c r="FI298" s="338"/>
      <c r="FJ298" s="338"/>
      <c r="FK298" s="338"/>
      <c r="FL298" s="338"/>
      <c r="FM298" s="337"/>
      <c r="FN298" s="336"/>
      <c r="FO298" s="336"/>
      <c r="FP298" s="336"/>
      <c r="FQ298" s="336"/>
      <c r="FR298" s="336"/>
      <c r="FS298" s="336"/>
      <c r="FT298" s="336"/>
      <c r="FU298" s="336"/>
      <c r="FV298" s="336"/>
      <c r="FW298" s="337"/>
      <c r="FX298" s="532"/>
      <c r="FY298" s="341"/>
      <c r="FZ298" s="341"/>
      <c r="GA298" s="336"/>
      <c r="GB298" s="341"/>
      <c r="GC298" s="341"/>
      <c r="GD298" s="341"/>
      <c r="GE298" s="336"/>
      <c r="GF298" s="336"/>
      <c r="GG298" s="336"/>
      <c r="GH298" s="336"/>
      <c r="GI298" s="336"/>
      <c r="GJ298" s="337"/>
      <c r="GM298" s="338"/>
      <c r="GN298" s="338"/>
      <c r="GO298" s="338"/>
      <c r="GS298" s="338"/>
      <c r="GT298" s="338"/>
      <c r="GU298" s="338"/>
      <c r="GY298" s="338"/>
      <c r="GZ298" s="338"/>
      <c r="HA298" s="338"/>
      <c r="HE298" s="338"/>
      <c r="HF298" s="338"/>
      <c r="HG298" s="338"/>
      <c r="HN298" s="68"/>
      <c r="HO298" s="68"/>
      <c r="HP298" s="68"/>
      <c r="HQ298" s="336"/>
      <c r="HR298" s="68"/>
      <c r="HS298" s="68"/>
      <c r="HT298" s="10"/>
      <c r="HW298" s="338"/>
      <c r="HX298" s="338"/>
      <c r="HY298" s="338"/>
      <c r="IC298" s="338"/>
      <c r="ID298" s="338"/>
      <c r="IE298" s="338"/>
      <c r="II298" s="338"/>
      <c r="IJ298" s="338"/>
      <c r="IK298" s="338"/>
      <c r="IO298" s="338"/>
      <c r="IP298" s="338"/>
      <c r="IQ298" s="338"/>
      <c r="IX298" s="68"/>
      <c r="IY298" s="68"/>
      <c r="IZ298" s="68"/>
      <c r="JA298" s="68"/>
      <c r="JB298" s="68"/>
      <c r="JC298" s="68"/>
      <c r="JD298" s="10"/>
      <c r="JG298" s="338"/>
      <c r="JH298" s="338"/>
      <c r="JI298" s="338"/>
      <c r="JM298" s="338"/>
      <c r="JN298" s="338"/>
      <c r="JQ298" s="338"/>
      <c r="JR298" s="338"/>
      <c r="JS298" s="338"/>
      <c r="JW298" s="358"/>
      <c r="JX298" s="336"/>
      <c r="JY298" s="336"/>
      <c r="JZ298" s="336"/>
      <c r="KA298" s="336"/>
      <c r="KB298" s="336"/>
      <c r="KC298" s="336"/>
      <c r="KD298" s="336"/>
      <c r="KE298" s="336"/>
      <c r="KF298" s="336"/>
      <c r="KG298" s="337"/>
      <c r="KH298" s="338"/>
      <c r="KI298" s="338"/>
      <c r="KJ298" s="338"/>
      <c r="KK298" s="338"/>
      <c r="KL298" s="338"/>
      <c r="KM298" s="338"/>
      <c r="KN298" s="338"/>
      <c r="KO298" s="338"/>
      <c r="KP298" s="338"/>
      <c r="KQ298" s="338"/>
      <c r="KR298" s="338"/>
      <c r="KS298" s="338"/>
      <c r="KT298" s="338"/>
      <c r="KU298" s="338"/>
      <c r="KV298" s="338"/>
      <c r="KW298" s="337"/>
      <c r="KX298" s="336"/>
      <c r="KY298" s="336"/>
      <c r="KZ298" s="336"/>
      <c r="LA298" s="336"/>
      <c r="LB298" s="336"/>
      <c r="LC298" s="336"/>
      <c r="LD298" s="336"/>
      <c r="LE298" s="336"/>
      <c r="LF298" s="336"/>
      <c r="LG298" s="336"/>
      <c r="LH298" s="336"/>
      <c r="LI298" s="336"/>
      <c r="LJ298" s="336"/>
      <c r="LK298" s="336"/>
      <c r="LL298" s="336"/>
      <c r="LM298" s="336"/>
      <c r="LN298" s="336"/>
      <c r="LO298" s="336"/>
      <c r="LP298" s="336"/>
      <c r="LQ298" s="337"/>
      <c r="MN298" s="10"/>
      <c r="OA298" s="10"/>
    </row>
    <row r="299" spans="1:391" s="370" customFormat="1" x14ac:dyDescent="0.25">
      <c r="A299" s="68"/>
      <c r="B299" s="10"/>
      <c r="C299" s="68"/>
      <c r="D299" s="68"/>
      <c r="E299" s="68"/>
      <c r="F299" s="68"/>
      <c r="G299" s="68"/>
      <c r="H299" s="68"/>
      <c r="I299" s="68"/>
      <c r="J299" s="68"/>
      <c r="K299" s="68"/>
      <c r="L299" s="68"/>
      <c r="M299" s="68"/>
      <c r="N299" s="68"/>
      <c r="O299" s="68"/>
      <c r="P299" s="68"/>
      <c r="Q299" s="68"/>
      <c r="R299" s="68"/>
      <c r="S299" s="68"/>
      <c r="T299" s="70"/>
      <c r="AC299" s="68"/>
      <c r="AD299" s="70"/>
      <c r="AM299" s="68"/>
      <c r="AN299" s="70"/>
      <c r="AU299" s="68"/>
      <c r="AV299" s="70"/>
      <c r="BB299" s="68"/>
      <c r="BC299" s="70"/>
      <c r="BD299" s="68"/>
      <c r="BE299" s="68"/>
      <c r="BF299" s="68"/>
      <c r="BG299" s="68"/>
      <c r="BH299" s="68"/>
      <c r="BI299" s="68"/>
      <c r="BJ299" s="70"/>
      <c r="BM299" s="68"/>
      <c r="BN299" s="70"/>
      <c r="BT299" s="68"/>
      <c r="BU299" s="70"/>
      <c r="BZ299" s="10"/>
      <c r="CF299" s="10"/>
      <c r="CI299" s="389"/>
      <c r="CJ299" s="389"/>
      <c r="CK299" s="68"/>
      <c r="CL299" s="70"/>
      <c r="CO299" s="10"/>
      <c r="CU299" s="10"/>
      <c r="DA299" s="10"/>
      <c r="DB299" s="70"/>
      <c r="DC299" s="70"/>
      <c r="DF299" s="68"/>
      <c r="DG299" s="70"/>
      <c r="DH299" s="68"/>
      <c r="DI299" s="386"/>
      <c r="DJ299" s="425"/>
      <c r="DL299" s="68"/>
      <c r="DM299" s="70"/>
      <c r="DQ299" s="68"/>
      <c r="DR299" s="70"/>
      <c r="DS299" s="338"/>
      <c r="DT299" s="338"/>
      <c r="DU299" s="338"/>
      <c r="DW299" s="338"/>
      <c r="DX299" s="338"/>
      <c r="DY299" s="338"/>
      <c r="EA299" s="338"/>
      <c r="EB299" s="338"/>
      <c r="EC299" s="338"/>
      <c r="EE299" s="338"/>
      <c r="EF299" s="338"/>
      <c r="EG299" s="338"/>
      <c r="EI299" s="336"/>
      <c r="EJ299" s="336"/>
      <c r="EK299" s="336"/>
      <c r="EL299" s="336"/>
      <c r="EM299" s="336"/>
      <c r="EN299" s="336"/>
      <c r="EO299" s="337"/>
      <c r="EP299" s="342"/>
      <c r="EQ299" s="336"/>
      <c r="ER299" s="342"/>
      <c r="ES299" s="336"/>
      <c r="ET299" s="342"/>
      <c r="EU299" s="336"/>
      <c r="EV299" s="342"/>
      <c r="EW299" s="336"/>
      <c r="EX299" s="342"/>
      <c r="EY299" s="342"/>
      <c r="EZ299" s="342"/>
      <c r="FA299" s="337"/>
      <c r="FE299" s="338"/>
      <c r="FH299" s="338"/>
      <c r="FI299" s="338"/>
      <c r="FJ299" s="338"/>
      <c r="FK299" s="338"/>
      <c r="FL299" s="338"/>
      <c r="FM299" s="337"/>
      <c r="FN299" s="336"/>
      <c r="FO299" s="336"/>
      <c r="FP299" s="336"/>
      <c r="FQ299" s="336"/>
      <c r="FR299" s="336"/>
      <c r="FS299" s="336"/>
      <c r="FT299" s="336"/>
      <c r="FU299" s="336"/>
      <c r="FV299" s="336"/>
      <c r="FW299" s="337"/>
      <c r="FX299" s="532"/>
      <c r="FY299" s="341"/>
      <c r="FZ299" s="341"/>
      <c r="GA299" s="336"/>
      <c r="GB299" s="341"/>
      <c r="GC299" s="341"/>
      <c r="GD299" s="341"/>
      <c r="GE299" s="336"/>
      <c r="GF299" s="336"/>
      <c r="GG299" s="336"/>
      <c r="GH299" s="336"/>
      <c r="GI299" s="336"/>
      <c r="GJ299" s="337"/>
      <c r="GM299" s="338"/>
      <c r="GN299" s="338"/>
      <c r="GO299" s="338"/>
      <c r="GS299" s="338"/>
      <c r="GT299" s="338"/>
      <c r="GU299" s="338"/>
      <c r="GY299" s="338"/>
      <c r="GZ299" s="338"/>
      <c r="HA299" s="338"/>
      <c r="HE299" s="338"/>
      <c r="HF299" s="338"/>
      <c r="HG299" s="338"/>
      <c r="HN299" s="68"/>
      <c r="HO299" s="68"/>
      <c r="HP299" s="68"/>
      <c r="HQ299" s="336"/>
      <c r="HR299" s="68"/>
      <c r="HS299" s="68"/>
      <c r="HT299" s="10"/>
      <c r="HW299" s="338"/>
      <c r="HX299" s="338"/>
      <c r="HY299" s="338"/>
      <c r="IC299" s="338"/>
      <c r="ID299" s="338"/>
      <c r="IE299" s="338"/>
      <c r="II299" s="338"/>
      <c r="IJ299" s="338"/>
      <c r="IK299" s="338"/>
      <c r="IO299" s="338"/>
      <c r="IP299" s="338"/>
      <c r="IQ299" s="338"/>
      <c r="IX299" s="68"/>
      <c r="IY299" s="68"/>
      <c r="IZ299" s="68"/>
      <c r="JA299" s="68"/>
      <c r="JB299" s="68"/>
      <c r="JC299" s="68"/>
      <c r="JD299" s="10"/>
      <c r="JG299" s="338"/>
      <c r="JH299" s="338"/>
      <c r="JI299" s="338"/>
      <c r="JM299" s="338"/>
      <c r="JN299" s="338"/>
      <c r="JQ299" s="338"/>
      <c r="JR299" s="338"/>
      <c r="JS299" s="338"/>
      <c r="JW299" s="358"/>
      <c r="JX299" s="336"/>
      <c r="JY299" s="336"/>
      <c r="JZ299" s="336"/>
      <c r="KA299" s="336"/>
      <c r="KB299" s="336"/>
      <c r="KC299" s="336"/>
      <c r="KD299" s="336"/>
      <c r="KE299" s="336"/>
      <c r="KF299" s="336"/>
      <c r="KG299" s="337"/>
      <c r="KH299" s="338"/>
      <c r="KI299" s="338"/>
      <c r="KJ299" s="338"/>
      <c r="KK299" s="338"/>
      <c r="KL299" s="338"/>
      <c r="KM299" s="338"/>
      <c r="KN299" s="338"/>
      <c r="KO299" s="338"/>
      <c r="KP299" s="338"/>
      <c r="KQ299" s="338"/>
      <c r="KR299" s="338"/>
      <c r="KS299" s="338"/>
      <c r="KT299" s="338"/>
      <c r="KU299" s="338"/>
      <c r="KV299" s="338"/>
      <c r="KW299" s="337"/>
      <c r="KX299" s="336"/>
      <c r="KY299" s="336"/>
      <c r="KZ299" s="336"/>
      <c r="LA299" s="336"/>
      <c r="LB299" s="336"/>
      <c r="LC299" s="336"/>
      <c r="LD299" s="336"/>
      <c r="LE299" s="336"/>
      <c r="LF299" s="336"/>
      <c r="LG299" s="336"/>
      <c r="LH299" s="336"/>
      <c r="LI299" s="336"/>
      <c r="LJ299" s="336"/>
      <c r="LK299" s="336"/>
      <c r="LL299" s="336"/>
      <c r="LM299" s="336"/>
      <c r="LN299" s="336"/>
      <c r="LO299" s="336"/>
      <c r="LP299" s="336"/>
      <c r="LQ299" s="337"/>
      <c r="MN299" s="10"/>
      <c r="OA299" s="10"/>
    </row>
    <row r="300" spans="1:391" s="370" customFormat="1" x14ac:dyDescent="0.25">
      <c r="A300" s="68"/>
      <c r="B300" s="10"/>
      <c r="C300" s="68"/>
      <c r="D300" s="68"/>
      <c r="E300" s="68"/>
      <c r="F300" s="68"/>
      <c r="G300" s="68"/>
      <c r="H300" s="68"/>
      <c r="I300" s="68"/>
      <c r="J300" s="68"/>
      <c r="K300" s="68"/>
      <c r="L300" s="68"/>
      <c r="M300" s="68"/>
      <c r="N300" s="68"/>
      <c r="O300" s="68"/>
      <c r="P300" s="68"/>
      <c r="Q300" s="68"/>
      <c r="R300" s="68"/>
      <c r="S300" s="68"/>
      <c r="T300" s="70"/>
      <c r="AC300" s="68"/>
      <c r="AD300" s="70"/>
      <c r="AM300" s="68"/>
      <c r="AN300" s="70"/>
      <c r="AU300" s="68"/>
      <c r="AV300" s="70"/>
      <c r="BB300" s="68"/>
      <c r="BC300" s="70"/>
      <c r="BD300" s="68"/>
      <c r="BE300" s="68"/>
      <c r="BF300" s="68"/>
      <c r="BG300" s="68"/>
      <c r="BH300" s="68"/>
      <c r="BI300" s="68"/>
      <c r="BJ300" s="70"/>
      <c r="BM300" s="68"/>
      <c r="BN300" s="70"/>
      <c r="BT300" s="68"/>
      <c r="BU300" s="70"/>
      <c r="BZ300" s="10"/>
      <c r="CF300" s="10"/>
      <c r="CI300" s="389"/>
      <c r="CJ300" s="389"/>
      <c r="CK300" s="68"/>
      <c r="CL300" s="70"/>
      <c r="CO300" s="10"/>
      <c r="CU300" s="10"/>
      <c r="DA300" s="10"/>
      <c r="DB300" s="70"/>
      <c r="DC300" s="70"/>
      <c r="DF300" s="68"/>
      <c r="DG300" s="70"/>
      <c r="DH300" s="68"/>
      <c r="DI300" s="386"/>
      <c r="DJ300" s="425"/>
      <c r="DL300" s="68"/>
      <c r="DM300" s="70"/>
      <c r="DQ300" s="68"/>
      <c r="DR300" s="70"/>
      <c r="DS300" s="338"/>
      <c r="DT300" s="338"/>
      <c r="DU300" s="338"/>
      <c r="DW300" s="338"/>
      <c r="DX300" s="338"/>
      <c r="DY300" s="338"/>
      <c r="EA300" s="338"/>
      <c r="EB300" s="338"/>
      <c r="EC300" s="338"/>
      <c r="EE300" s="338"/>
      <c r="EF300" s="338"/>
      <c r="EG300" s="338"/>
      <c r="EI300" s="336"/>
      <c r="EJ300" s="336"/>
      <c r="EK300" s="336"/>
      <c r="EL300" s="336"/>
      <c r="EM300" s="336"/>
      <c r="EN300" s="336"/>
      <c r="EO300" s="337"/>
      <c r="EP300" s="342"/>
      <c r="EQ300" s="336"/>
      <c r="ER300" s="342"/>
      <c r="ES300" s="336"/>
      <c r="ET300" s="342"/>
      <c r="EU300" s="336"/>
      <c r="EV300" s="342"/>
      <c r="EW300" s="336"/>
      <c r="EX300" s="342"/>
      <c r="EY300" s="342"/>
      <c r="EZ300" s="342"/>
      <c r="FA300" s="337"/>
      <c r="FE300" s="338"/>
      <c r="FH300" s="338"/>
      <c r="FI300" s="338"/>
      <c r="FJ300" s="338"/>
      <c r="FK300" s="338"/>
      <c r="FL300" s="338"/>
      <c r="FM300" s="337"/>
      <c r="FN300" s="336"/>
      <c r="FO300" s="336"/>
      <c r="FP300" s="336"/>
      <c r="FQ300" s="336"/>
      <c r="FR300" s="336"/>
      <c r="FS300" s="336"/>
      <c r="FT300" s="336"/>
      <c r="FU300" s="336"/>
      <c r="FV300" s="336"/>
      <c r="FW300" s="337"/>
      <c r="FX300" s="532"/>
      <c r="FY300" s="341"/>
      <c r="FZ300" s="341"/>
      <c r="GA300" s="336"/>
      <c r="GB300" s="341"/>
      <c r="GC300" s="341"/>
      <c r="GD300" s="341"/>
      <c r="GE300" s="336"/>
      <c r="GF300" s="336"/>
      <c r="GG300" s="336"/>
      <c r="GH300" s="336"/>
      <c r="GI300" s="336"/>
      <c r="GJ300" s="337"/>
      <c r="GM300" s="338"/>
      <c r="GN300" s="338"/>
      <c r="GO300" s="338"/>
      <c r="GS300" s="338"/>
      <c r="GT300" s="338"/>
      <c r="GU300" s="338"/>
      <c r="GY300" s="338"/>
      <c r="GZ300" s="338"/>
      <c r="HA300" s="338"/>
      <c r="HE300" s="338"/>
      <c r="HF300" s="338"/>
      <c r="HG300" s="338"/>
      <c r="HN300" s="68"/>
      <c r="HO300" s="68"/>
      <c r="HP300" s="68"/>
      <c r="HQ300" s="336"/>
      <c r="HR300" s="68"/>
      <c r="HS300" s="68"/>
      <c r="HT300" s="10"/>
      <c r="HW300" s="338"/>
      <c r="HX300" s="338"/>
      <c r="HY300" s="338"/>
      <c r="IC300" s="338"/>
      <c r="ID300" s="338"/>
      <c r="IE300" s="338"/>
      <c r="II300" s="338"/>
      <c r="IJ300" s="338"/>
      <c r="IK300" s="338"/>
      <c r="IO300" s="338"/>
      <c r="IP300" s="338"/>
      <c r="IQ300" s="338"/>
      <c r="IX300" s="68"/>
      <c r="IY300" s="68"/>
      <c r="IZ300" s="68"/>
      <c r="JA300" s="68"/>
      <c r="JB300" s="68"/>
      <c r="JC300" s="68"/>
      <c r="JD300" s="10"/>
      <c r="JG300" s="338"/>
      <c r="JH300" s="338"/>
      <c r="JI300" s="338"/>
      <c r="JM300" s="338"/>
      <c r="JN300" s="338"/>
      <c r="JQ300" s="338"/>
      <c r="JR300" s="338"/>
      <c r="JS300" s="338"/>
      <c r="JW300" s="358"/>
      <c r="JX300" s="336"/>
      <c r="JY300" s="336"/>
      <c r="JZ300" s="336"/>
      <c r="KA300" s="336"/>
      <c r="KB300" s="336"/>
      <c r="KC300" s="336"/>
      <c r="KD300" s="336"/>
      <c r="KE300" s="336"/>
      <c r="KF300" s="336"/>
      <c r="KG300" s="337"/>
      <c r="KH300" s="338"/>
      <c r="KI300" s="338"/>
      <c r="KJ300" s="338"/>
      <c r="KK300" s="338"/>
      <c r="KL300" s="338"/>
      <c r="KM300" s="338"/>
      <c r="KN300" s="338"/>
      <c r="KO300" s="338"/>
      <c r="KP300" s="338"/>
      <c r="KQ300" s="338"/>
      <c r="KR300" s="338"/>
      <c r="KS300" s="338"/>
      <c r="KT300" s="338"/>
      <c r="KU300" s="338"/>
      <c r="KV300" s="338"/>
      <c r="KW300" s="337"/>
      <c r="KX300" s="336"/>
      <c r="KY300" s="336"/>
      <c r="KZ300" s="336"/>
      <c r="LA300" s="336"/>
      <c r="LB300" s="336"/>
      <c r="LC300" s="336"/>
      <c r="LD300" s="336"/>
      <c r="LE300" s="336"/>
      <c r="LF300" s="336"/>
      <c r="LG300" s="336"/>
      <c r="LH300" s="336"/>
      <c r="LI300" s="336"/>
      <c r="LJ300" s="336"/>
      <c r="LK300" s="336"/>
      <c r="LL300" s="336"/>
      <c r="LM300" s="336"/>
      <c r="LN300" s="336"/>
      <c r="LO300" s="336"/>
      <c r="LP300" s="336"/>
      <c r="LQ300" s="337"/>
      <c r="MN300" s="10"/>
      <c r="OA300" s="10"/>
    </row>
    <row r="301" spans="1:391" s="370" customFormat="1" x14ac:dyDescent="0.25">
      <c r="A301" s="68"/>
      <c r="B301" s="10"/>
      <c r="C301" s="68"/>
      <c r="D301" s="68"/>
      <c r="E301" s="68"/>
      <c r="F301" s="68"/>
      <c r="G301" s="68"/>
      <c r="H301" s="68"/>
      <c r="I301" s="68"/>
      <c r="J301" s="68"/>
      <c r="K301" s="68"/>
      <c r="L301" s="68"/>
      <c r="M301" s="68"/>
      <c r="N301" s="68"/>
      <c r="O301" s="68"/>
      <c r="P301" s="68"/>
      <c r="Q301" s="68"/>
      <c r="R301" s="68"/>
      <c r="S301" s="68"/>
      <c r="T301" s="70"/>
      <c r="AC301" s="68"/>
      <c r="AD301" s="70"/>
      <c r="AM301" s="68"/>
      <c r="AN301" s="70"/>
      <c r="AU301" s="68"/>
      <c r="AV301" s="70"/>
      <c r="BB301" s="68"/>
      <c r="BC301" s="70"/>
      <c r="BD301" s="68"/>
      <c r="BE301" s="68"/>
      <c r="BF301" s="68"/>
      <c r="BG301" s="68"/>
      <c r="BH301" s="68"/>
      <c r="BI301" s="68"/>
      <c r="BJ301" s="70"/>
      <c r="BM301" s="68"/>
      <c r="BN301" s="70"/>
      <c r="BT301" s="68"/>
      <c r="BU301" s="70"/>
      <c r="BZ301" s="10"/>
      <c r="CF301" s="10"/>
      <c r="CI301" s="389"/>
      <c r="CJ301" s="389"/>
      <c r="CK301" s="68"/>
      <c r="CL301" s="70"/>
      <c r="CO301" s="10"/>
      <c r="CU301" s="10"/>
      <c r="DA301" s="10"/>
      <c r="DB301" s="70"/>
      <c r="DC301" s="70"/>
      <c r="DF301" s="68"/>
      <c r="DG301" s="70"/>
      <c r="DH301" s="68"/>
      <c r="DI301" s="386"/>
      <c r="DJ301" s="425"/>
      <c r="DL301" s="68"/>
      <c r="DM301" s="70"/>
      <c r="DQ301" s="68"/>
      <c r="DR301" s="70"/>
      <c r="DS301" s="338"/>
      <c r="DT301" s="338"/>
      <c r="DU301" s="338"/>
      <c r="DW301" s="338"/>
      <c r="DX301" s="338"/>
      <c r="DY301" s="338"/>
      <c r="EA301" s="338"/>
      <c r="EB301" s="338"/>
      <c r="EC301" s="338"/>
      <c r="EE301" s="338"/>
      <c r="EF301" s="338"/>
      <c r="EG301" s="338"/>
      <c r="EI301" s="336"/>
      <c r="EJ301" s="336"/>
      <c r="EK301" s="336"/>
      <c r="EL301" s="336"/>
      <c r="EM301" s="336"/>
      <c r="EN301" s="336"/>
      <c r="EO301" s="337"/>
      <c r="EP301" s="342"/>
      <c r="EQ301" s="336"/>
      <c r="ER301" s="342"/>
      <c r="ES301" s="336"/>
      <c r="ET301" s="342"/>
      <c r="EU301" s="336"/>
      <c r="EV301" s="342"/>
      <c r="EW301" s="336"/>
      <c r="EX301" s="342"/>
      <c r="EY301" s="342"/>
      <c r="EZ301" s="342"/>
      <c r="FA301" s="337"/>
      <c r="FE301" s="338"/>
      <c r="FH301" s="338"/>
      <c r="FI301" s="338"/>
      <c r="FJ301" s="338"/>
      <c r="FK301" s="338"/>
      <c r="FL301" s="338"/>
      <c r="FM301" s="337"/>
      <c r="FN301" s="336"/>
      <c r="FO301" s="336"/>
      <c r="FP301" s="336"/>
      <c r="FQ301" s="336"/>
      <c r="FR301" s="336"/>
      <c r="FS301" s="336"/>
      <c r="FT301" s="336"/>
      <c r="FU301" s="336"/>
      <c r="FV301" s="336"/>
      <c r="FW301" s="337"/>
      <c r="FX301" s="532"/>
      <c r="FY301" s="341"/>
      <c r="FZ301" s="341"/>
      <c r="GA301" s="336"/>
      <c r="GB301" s="341"/>
      <c r="GC301" s="341"/>
      <c r="GD301" s="341"/>
      <c r="GE301" s="336"/>
      <c r="GF301" s="336"/>
      <c r="GG301" s="336"/>
      <c r="GH301" s="336"/>
      <c r="GI301" s="336"/>
      <c r="GJ301" s="337"/>
      <c r="GM301" s="338"/>
      <c r="GN301" s="338"/>
      <c r="GO301" s="338"/>
      <c r="GS301" s="338"/>
      <c r="GT301" s="338"/>
      <c r="GU301" s="338"/>
      <c r="GY301" s="338"/>
      <c r="GZ301" s="338"/>
      <c r="HA301" s="338"/>
      <c r="HE301" s="338"/>
      <c r="HF301" s="338"/>
      <c r="HG301" s="338"/>
      <c r="HN301" s="68"/>
      <c r="HO301" s="68"/>
      <c r="HP301" s="68"/>
      <c r="HQ301" s="336"/>
      <c r="HR301" s="68"/>
      <c r="HS301" s="68"/>
      <c r="HT301" s="10"/>
      <c r="HW301" s="338"/>
      <c r="HX301" s="338"/>
      <c r="HY301" s="338"/>
      <c r="IC301" s="338"/>
      <c r="ID301" s="338"/>
      <c r="IE301" s="338"/>
      <c r="II301" s="338"/>
      <c r="IJ301" s="338"/>
      <c r="IK301" s="338"/>
      <c r="IO301" s="338"/>
      <c r="IP301" s="338"/>
      <c r="IQ301" s="338"/>
      <c r="IX301" s="68"/>
      <c r="IY301" s="68"/>
      <c r="IZ301" s="68"/>
      <c r="JA301" s="68"/>
      <c r="JB301" s="68"/>
      <c r="JC301" s="68"/>
      <c r="JD301" s="10"/>
      <c r="JG301" s="338"/>
      <c r="JH301" s="338"/>
      <c r="JI301" s="338"/>
      <c r="JM301" s="338"/>
      <c r="JN301" s="338"/>
      <c r="JQ301" s="338"/>
      <c r="JR301" s="338"/>
      <c r="JS301" s="338"/>
      <c r="JW301" s="358"/>
      <c r="JX301" s="336"/>
      <c r="JY301" s="336"/>
      <c r="JZ301" s="336"/>
      <c r="KA301" s="336"/>
      <c r="KB301" s="336"/>
      <c r="KC301" s="336"/>
      <c r="KD301" s="336"/>
      <c r="KE301" s="336"/>
      <c r="KF301" s="336"/>
      <c r="KG301" s="337"/>
      <c r="KH301" s="338"/>
      <c r="KI301" s="338"/>
      <c r="KJ301" s="338"/>
      <c r="KK301" s="338"/>
      <c r="KL301" s="338"/>
      <c r="KM301" s="338"/>
      <c r="KN301" s="338"/>
      <c r="KO301" s="338"/>
      <c r="KP301" s="338"/>
      <c r="KQ301" s="338"/>
      <c r="KR301" s="338"/>
      <c r="KS301" s="338"/>
      <c r="KT301" s="338"/>
      <c r="KU301" s="338"/>
      <c r="KV301" s="338"/>
      <c r="KW301" s="337"/>
      <c r="KX301" s="336"/>
      <c r="KY301" s="336"/>
      <c r="KZ301" s="336"/>
      <c r="LA301" s="336"/>
      <c r="LB301" s="336"/>
      <c r="LC301" s="336"/>
      <c r="LD301" s="336"/>
      <c r="LE301" s="336"/>
      <c r="LF301" s="336"/>
      <c r="LG301" s="336"/>
      <c r="LH301" s="336"/>
      <c r="LI301" s="336"/>
      <c r="LJ301" s="336"/>
      <c r="LK301" s="336"/>
      <c r="LL301" s="336"/>
      <c r="LM301" s="336"/>
      <c r="LN301" s="336"/>
      <c r="LO301" s="336"/>
      <c r="LP301" s="336"/>
      <c r="LQ301" s="337"/>
      <c r="MN301" s="10"/>
      <c r="OA301" s="10"/>
    </row>
    <row r="302" spans="1:391" s="370" customFormat="1" x14ac:dyDescent="0.25">
      <c r="A302" s="68"/>
      <c r="B302" s="10"/>
      <c r="C302" s="68"/>
      <c r="D302" s="68"/>
      <c r="E302" s="68"/>
      <c r="F302" s="68"/>
      <c r="G302" s="68"/>
      <c r="H302" s="68"/>
      <c r="I302" s="68"/>
      <c r="J302" s="68"/>
      <c r="K302" s="68"/>
      <c r="L302" s="68"/>
      <c r="M302" s="68"/>
      <c r="N302" s="68"/>
      <c r="O302" s="68"/>
      <c r="P302" s="68"/>
      <c r="Q302" s="68"/>
      <c r="R302" s="68"/>
      <c r="S302" s="68"/>
      <c r="T302" s="70"/>
      <c r="AC302" s="68"/>
      <c r="AD302" s="70"/>
      <c r="AM302" s="68"/>
      <c r="AN302" s="70"/>
      <c r="AU302" s="68"/>
      <c r="AV302" s="70"/>
      <c r="BB302" s="68"/>
      <c r="BC302" s="70"/>
      <c r="BD302" s="68"/>
      <c r="BE302" s="68"/>
      <c r="BF302" s="68"/>
      <c r="BG302" s="68"/>
      <c r="BH302" s="68"/>
      <c r="BI302" s="68"/>
      <c r="BJ302" s="70"/>
      <c r="BM302" s="68"/>
      <c r="BN302" s="70"/>
      <c r="BT302" s="68"/>
      <c r="BU302" s="70"/>
      <c r="BZ302" s="10"/>
      <c r="CF302" s="10"/>
      <c r="CI302" s="389"/>
      <c r="CJ302" s="389"/>
      <c r="CK302" s="68"/>
      <c r="CL302" s="70"/>
      <c r="CO302" s="10"/>
      <c r="CU302" s="10"/>
      <c r="DA302" s="10"/>
      <c r="DB302" s="70"/>
      <c r="DC302" s="70"/>
      <c r="DF302" s="68"/>
      <c r="DG302" s="70"/>
      <c r="DH302" s="68"/>
      <c r="DI302" s="386"/>
      <c r="DJ302" s="425"/>
      <c r="DL302" s="68"/>
      <c r="DM302" s="70"/>
      <c r="DQ302" s="68"/>
      <c r="DR302" s="70"/>
      <c r="DS302" s="338"/>
      <c r="DT302" s="338"/>
      <c r="DU302" s="338"/>
      <c r="DW302" s="338"/>
      <c r="DX302" s="338"/>
      <c r="DY302" s="338"/>
      <c r="EA302" s="338"/>
      <c r="EB302" s="338"/>
      <c r="EC302" s="338"/>
      <c r="EE302" s="338"/>
      <c r="EF302" s="338"/>
      <c r="EG302" s="338"/>
      <c r="EI302" s="336"/>
      <c r="EJ302" s="336"/>
      <c r="EK302" s="336"/>
      <c r="EL302" s="336"/>
      <c r="EM302" s="336"/>
      <c r="EN302" s="336"/>
      <c r="EO302" s="337"/>
      <c r="EP302" s="342"/>
      <c r="EQ302" s="336"/>
      <c r="ER302" s="342"/>
      <c r="ES302" s="336"/>
      <c r="ET302" s="342"/>
      <c r="EU302" s="336"/>
      <c r="EV302" s="342"/>
      <c r="EW302" s="336"/>
      <c r="EX302" s="342"/>
      <c r="EY302" s="342"/>
      <c r="EZ302" s="342"/>
      <c r="FA302" s="337"/>
      <c r="FE302" s="338"/>
      <c r="FH302" s="338"/>
      <c r="FI302" s="338"/>
      <c r="FJ302" s="338"/>
      <c r="FK302" s="338"/>
      <c r="FL302" s="338"/>
      <c r="FM302" s="337"/>
      <c r="FN302" s="336"/>
      <c r="FO302" s="336"/>
      <c r="FP302" s="336"/>
      <c r="FQ302" s="336"/>
      <c r="FR302" s="336"/>
      <c r="FS302" s="336"/>
      <c r="FT302" s="336"/>
      <c r="FU302" s="336"/>
      <c r="FV302" s="336"/>
      <c r="FW302" s="337"/>
      <c r="FX302" s="532"/>
      <c r="FY302" s="341"/>
      <c r="FZ302" s="341"/>
      <c r="GA302" s="336"/>
      <c r="GB302" s="341"/>
      <c r="GC302" s="341"/>
      <c r="GD302" s="341"/>
      <c r="GE302" s="336"/>
      <c r="GF302" s="336"/>
      <c r="GG302" s="336"/>
      <c r="GH302" s="336"/>
      <c r="GI302" s="336"/>
      <c r="GJ302" s="337"/>
      <c r="GM302" s="338"/>
      <c r="GN302" s="338"/>
      <c r="GO302" s="338"/>
      <c r="GS302" s="338"/>
      <c r="GT302" s="338"/>
      <c r="GU302" s="338"/>
      <c r="GY302" s="338"/>
      <c r="GZ302" s="338"/>
      <c r="HA302" s="338"/>
      <c r="HE302" s="338"/>
      <c r="HF302" s="338"/>
      <c r="HG302" s="338"/>
      <c r="HN302" s="68"/>
      <c r="HO302" s="68"/>
      <c r="HP302" s="68"/>
      <c r="HQ302" s="336"/>
      <c r="HR302" s="68"/>
      <c r="HS302" s="68"/>
      <c r="HT302" s="10"/>
      <c r="HW302" s="338"/>
      <c r="HX302" s="338"/>
      <c r="HY302" s="338"/>
      <c r="IC302" s="338"/>
      <c r="ID302" s="338"/>
      <c r="IE302" s="338"/>
      <c r="II302" s="338"/>
      <c r="IJ302" s="338"/>
      <c r="IK302" s="338"/>
      <c r="IO302" s="338"/>
      <c r="IP302" s="338"/>
      <c r="IQ302" s="338"/>
      <c r="IX302" s="68"/>
      <c r="IY302" s="68"/>
      <c r="IZ302" s="68"/>
      <c r="JA302" s="68"/>
      <c r="JB302" s="68"/>
      <c r="JC302" s="68"/>
      <c r="JD302" s="10"/>
      <c r="JG302" s="338"/>
      <c r="JH302" s="338"/>
      <c r="JI302" s="338"/>
      <c r="JM302" s="338"/>
      <c r="JN302" s="338"/>
      <c r="JQ302" s="338"/>
      <c r="JR302" s="338"/>
      <c r="JS302" s="338"/>
      <c r="JW302" s="358"/>
      <c r="JX302" s="336"/>
      <c r="JY302" s="336"/>
      <c r="JZ302" s="336"/>
      <c r="KA302" s="336"/>
      <c r="KB302" s="336"/>
      <c r="KC302" s="336"/>
      <c r="KD302" s="336"/>
      <c r="KE302" s="336"/>
      <c r="KF302" s="336"/>
      <c r="KG302" s="337"/>
      <c r="KH302" s="338"/>
      <c r="KI302" s="338"/>
      <c r="KJ302" s="338"/>
      <c r="KK302" s="338"/>
      <c r="KL302" s="338"/>
      <c r="KM302" s="338"/>
      <c r="KN302" s="338"/>
      <c r="KO302" s="338"/>
      <c r="KP302" s="338"/>
      <c r="KQ302" s="338"/>
      <c r="KR302" s="338"/>
      <c r="KS302" s="338"/>
      <c r="KT302" s="338"/>
      <c r="KU302" s="338"/>
      <c r="KV302" s="338"/>
      <c r="KW302" s="337"/>
      <c r="KX302" s="336"/>
      <c r="KY302" s="336"/>
      <c r="KZ302" s="336"/>
      <c r="LA302" s="336"/>
      <c r="LB302" s="336"/>
      <c r="LC302" s="336"/>
      <c r="LD302" s="336"/>
      <c r="LE302" s="336"/>
      <c r="LF302" s="336"/>
      <c r="LG302" s="336"/>
      <c r="LH302" s="336"/>
      <c r="LI302" s="336"/>
      <c r="LJ302" s="336"/>
      <c r="LK302" s="336"/>
      <c r="LL302" s="336"/>
      <c r="LM302" s="336"/>
      <c r="LN302" s="336"/>
      <c r="LO302" s="336"/>
      <c r="LP302" s="336"/>
      <c r="LQ302" s="337"/>
      <c r="MN302" s="10"/>
      <c r="OA302" s="10"/>
    </row>
    <row r="303" spans="1:391" s="370" customFormat="1" x14ac:dyDescent="0.25">
      <c r="A303" s="68"/>
      <c r="B303" s="10"/>
      <c r="C303" s="68"/>
      <c r="D303" s="68"/>
      <c r="E303" s="68"/>
      <c r="F303" s="68"/>
      <c r="G303" s="68"/>
      <c r="H303" s="68"/>
      <c r="I303" s="68"/>
      <c r="J303" s="68"/>
      <c r="K303" s="68"/>
      <c r="L303" s="68"/>
      <c r="M303" s="68"/>
      <c r="N303" s="68"/>
      <c r="O303" s="68"/>
      <c r="P303" s="68"/>
      <c r="Q303" s="68"/>
      <c r="R303" s="68"/>
      <c r="S303" s="68"/>
      <c r="T303" s="70"/>
      <c r="AC303" s="68"/>
      <c r="AD303" s="70"/>
      <c r="AM303" s="68"/>
      <c r="AN303" s="70"/>
      <c r="AU303" s="68"/>
      <c r="AV303" s="70"/>
      <c r="BB303" s="68"/>
      <c r="BC303" s="70"/>
      <c r="BD303" s="68"/>
      <c r="BE303" s="68"/>
      <c r="BF303" s="68"/>
      <c r="BG303" s="68"/>
      <c r="BH303" s="68"/>
      <c r="BI303" s="68"/>
      <c r="BJ303" s="70"/>
      <c r="BM303" s="68"/>
      <c r="BN303" s="70"/>
      <c r="BT303" s="68"/>
      <c r="BU303" s="70"/>
      <c r="BZ303" s="10"/>
      <c r="CF303" s="10"/>
      <c r="CI303" s="389"/>
      <c r="CJ303" s="389"/>
      <c r="CK303" s="68"/>
      <c r="CL303" s="70"/>
      <c r="CO303" s="10"/>
      <c r="CU303" s="10"/>
      <c r="DA303" s="10"/>
      <c r="DB303" s="70"/>
      <c r="DC303" s="70"/>
      <c r="DF303" s="68"/>
      <c r="DG303" s="70"/>
      <c r="DH303" s="68"/>
      <c r="DI303" s="386"/>
      <c r="DJ303" s="425"/>
      <c r="DL303" s="68"/>
      <c r="DM303" s="70"/>
      <c r="DQ303" s="68"/>
      <c r="DR303" s="70"/>
      <c r="DS303" s="338"/>
      <c r="DT303" s="338"/>
      <c r="DU303" s="338"/>
      <c r="DW303" s="338"/>
      <c r="DX303" s="338"/>
      <c r="DY303" s="338"/>
      <c r="EA303" s="338"/>
      <c r="EB303" s="338"/>
      <c r="EC303" s="338"/>
      <c r="EE303" s="338"/>
      <c r="EF303" s="338"/>
      <c r="EG303" s="338"/>
      <c r="EI303" s="336"/>
      <c r="EJ303" s="336"/>
      <c r="EK303" s="336"/>
      <c r="EL303" s="336"/>
      <c r="EM303" s="336"/>
      <c r="EN303" s="336"/>
      <c r="EO303" s="337"/>
      <c r="EP303" s="342"/>
      <c r="EQ303" s="336"/>
      <c r="ER303" s="342"/>
      <c r="ES303" s="336"/>
      <c r="ET303" s="342"/>
      <c r="EU303" s="336"/>
      <c r="EV303" s="342"/>
      <c r="EW303" s="336"/>
      <c r="EX303" s="342"/>
      <c r="EY303" s="342"/>
      <c r="EZ303" s="342"/>
      <c r="FA303" s="337"/>
      <c r="FE303" s="338"/>
      <c r="FH303" s="338"/>
      <c r="FI303" s="338"/>
      <c r="FJ303" s="338"/>
      <c r="FK303" s="338"/>
      <c r="FL303" s="338"/>
      <c r="FM303" s="337"/>
      <c r="FN303" s="336"/>
      <c r="FO303" s="336"/>
      <c r="FP303" s="336"/>
      <c r="FQ303" s="336"/>
      <c r="FR303" s="336"/>
      <c r="FS303" s="336"/>
      <c r="FT303" s="336"/>
      <c r="FU303" s="336"/>
      <c r="FV303" s="336"/>
      <c r="FW303" s="337"/>
      <c r="FX303" s="532"/>
      <c r="FY303" s="341"/>
      <c r="FZ303" s="341"/>
      <c r="GA303" s="336"/>
      <c r="GB303" s="341"/>
      <c r="GC303" s="341"/>
      <c r="GD303" s="341"/>
      <c r="GE303" s="336"/>
      <c r="GF303" s="336"/>
      <c r="GG303" s="336"/>
      <c r="GH303" s="336"/>
      <c r="GI303" s="336"/>
      <c r="GJ303" s="337"/>
      <c r="GM303" s="338"/>
      <c r="GN303" s="338"/>
      <c r="GO303" s="338"/>
      <c r="GS303" s="338"/>
      <c r="GT303" s="338"/>
      <c r="GU303" s="338"/>
      <c r="GY303" s="338"/>
      <c r="GZ303" s="338"/>
      <c r="HA303" s="338"/>
      <c r="HE303" s="338"/>
      <c r="HF303" s="338"/>
      <c r="HG303" s="338"/>
      <c r="HN303" s="68"/>
      <c r="HO303" s="68"/>
      <c r="HP303" s="68"/>
      <c r="HQ303" s="336"/>
      <c r="HR303" s="68"/>
      <c r="HS303" s="68"/>
      <c r="HT303" s="10"/>
      <c r="HW303" s="338"/>
      <c r="HX303" s="338"/>
      <c r="HY303" s="338"/>
      <c r="IC303" s="338"/>
      <c r="ID303" s="338"/>
      <c r="IE303" s="338"/>
      <c r="II303" s="338"/>
      <c r="IJ303" s="338"/>
      <c r="IK303" s="338"/>
      <c r="IO303" s="338"/>
      <c r="IP303" s="338"/>
      <c r="IQ303" s="338"/>
      <c r="IX303" s="68"/>
      <c r="IY303" s="68"/>
      <c r="IZ303" s="68"/>
      <c r="JA303" s="68"/>
      <c r="JB303" s="68"/>
      <c r="JC303" s="68"/>
      <c r="JD303" s="10"/>
      <c r="JG303" s="338"/>
      <c r="JH303" s="338"/>
      <c r="JI303" s="338"/>
      <c r="JM303" s="338"/>
      <c r="JN303" s="338"/>
      <c r="JQ303" s="338"/>
      <c r="JR303" s="338"/>
      <c r="JS303" s="338"/>
      <c r="JW303" s="358"/>
      <c r="JX303" s="336"/>
      <c r="JY303" s="336"/>
      <c r="JZ303" s="336"/>
      <c r="KA303" s="336"/>
      <c r="KB303" s="336"/>
      <c r="KC303" s="336"/>
      <c r="KD303" s="336"/>
      <c r="KE303" s="336"/>
      <c r="KF303" s="336"/>
      <c r="KG303" s="337"/>
      <c r="KH303" s="338"/>
      <c r="KI303" s="338"/>
      <c r="KJ303" s="338"/>
      <c r="KK303" s="338"/>
      <c r="KL303" s="338"/>
      <c r="KM303" s="338"/>
      <c r="KN303" s="338"/>
      <c r="KO303" s="338"/>
      <c r="KP303" s="338"/>
      <c r="KQ303" s="338"/>
      <c r="KR303" s="338"/>
      <c r="KS303" s="338"/>
      <c r="KT303" s="338"/>
      <c r="KU303" s="338"/>
      <c r="KV303" s="338"/>
      <c r="KW303" s="337"/>
      <c r="KX303" s="336"/>
      <c r="KY303" s="336"/>
      <c r="KZ303" s="336"/>
      <c r="LA303" s="336"/>
      <c r="LB303" s="336"/>
      <c r="LC303" s="336"/>
      <c r="LD303" s="336"/>
      <c r="LE303" s="336"/>
      <c r="LF303" s="336"/>
      <c r="LG303" s="336"/>
      <c r="LH303" s="336"/>
      <c r="LI303" s="336"/>
      <c r="LJ303" s="336"/>
      <c r="LK303" s="336"/>
      <c r="LL303" s="336"/>
      <c r="LM303" s="336"/>
      <c r="LN303" s="336"/>
      <c r="LO303" s="336"/>
      <c r="LP303" s="336"/>
      <c r="LQ303" s="337"/>
      <c r="MN303" s="10"/>
      <c r="OA303" s="10"/>
    </row>
    <row r="304" spans="1:391" s="370" customFormat="1" x14ac:dyDescent="0.25">
      <c r="A304" s="68"/>
      <c r="B304" s="10"/>
      <c r="C304" s="68"/>
      <c r="D304" s="68"/>
      <c r="E304" s="68"/>
      <c r="F304" s="68"/>
      <c r="G304" s="68"/>
      <c r="H304" s="68"/>
      <c r="I304" s="68"/>
      <c r="J304" s="68"/>
      <c r="K304" s="68"/>
      <c r="L304" s="68"/>
      <c r="M304" s="68"/>
      <c r="N304" s="68"/>
      <c r="O304" s="68"/>
      <c r="P304" s="68"/>
      <c r="Q304" s="68"/>
      <c r="R304" s="68"/>
      <c r="S304" s="68"/>
      <c r="T304" s="70"/>
      <c r="AC304" s="68"/>
      <c r="AD304" s="70"/>
      <c r="AM304" s="68"/>
      <c r="AN304" s="70"/>
      <c r="AU304" s="68"/>
      <c r="AV304" s="70"/>
      <c r="BB304" s="68"/>
      <c r="BC304" s="70"/>
      <c r="BD304" s="68"/>
      <c r="BE304" s="68"/>
      <c r="BF304" s="68"/>
      <c r="BG304" s="68"/>
      <c r="BH304" s="68"/>
      <c r="BI304" s="68"/>
      <c r="BJ304" s="70"/>
      <c r="BM304" s="68"/>
      <c r="BN304" s="70"/>
      <c r="BT304" s="68"/>
      <c r="BU304" s="70"/>
      <c r="BZ304" s="10"/>
      <c r="CF304" s="10"/>
      <c r="CI304" s="389"/>
      <c r="CJ304" s="389"/>
      <c r="CK304" s="68"/>
      <c r="CL304" s="70"/>
      <c r="CO304" s="10"/>
      <c r="CU304" s="10"/>
      <c r="DA304" s="10"/>
      <c r="DB304" s="70"/>
      <c r="DC304" s="70"/>
      <c r="DF304" s="68"/>
      <c r="DG304" s="70"/>
      <c r="DH304" s="68"/>
      <c r="DI304" s="386"/>
      <c r="DJ304" s="425"/>
      <c r="DL304" s="68"/>
      <c r="DM304" s="70"/>
      <c r="DQ304" s="68"/>
      <c r="DR304" s="70"/>
      <c r="DS304" s="338"/>
      <c r="DT304" s="338"/>
      <c r="DU304" s="338"/>
      <c r="DW304" s="338"/>
      <c r="DX304" s="338"/>
      <c r="DY304" s="338"/>
      <c r="EA304" s="338"/>
      <c r="EB304" s="338"/>
      <c r="EC304" s="338"/>
      <c r="EE304" s="338"/>
      <c r="EF304" s="338"/>
      <c r="EG304" s="338"/>
      <c r="EI304" s="336"/>
      <c r="EJ304" s="336"/>
      <c r="EK304" s="336"/>
      <c r="EL304" s="336"/>
      <c r="EM304" s="336"/>
      <c r="EN304" s="336"/>
      <c r="EO304" s="337"/>
      <c r="EP304" s="342"/>
      <c r="EQ304" s="336"/>
      <c r="ER304" s="342"/>
      <c r="ES304" s="336"/>
      <c r="ET304" s="342"/>
      <c r="EU304" s="336"/>
      <c r="EV304" s="342"/>
      <c r="EW304" s="336"/>
      <c r="EX304" s="342"/>
      <c r="EY304" s="342"/>
      <c r="EZ304" s="342"/>
      <c r="FA304" s="337"/>
      <c r="FE304" s="338"/>
      <c r="FH304" s="338"/>
      <c r="FI304" s="338"/>
      <c r="FJ304" s="338"/>
      <c r="FK304" s="338"/>
      <c r="FL304" s="338"/>
      <c r="FM304" s="337"/>
      <c r="FN304" s="336"/>
      <c r="FO304" s="336"/>
      <c r="FP304" s="336"/>
      <c r="FQ304" s="336"/>
      <c r="FR304" s="336"/>
      <c r="FS304" s="336"/>
      <c r="FT304" s="336"/>
      <c r="FU304" s="336"/>
      <c r="FV304" s="336"/>
      <c r="FW304" s="337"/>
      <c r="FX304" s="532"/>
      <c r="FY304" s="341"/>
      <c r="FZ304" s="341"/>
      <c r="GA304" s="336"/>
      <c r="GB304" s="341"/>
      <c r="GC304" s="341"/>
      <c r="GD304" s="341"/>
      <c r="GE304" s="336"/>
      <c r="GF304" s="336"/>
      <c r="GG304" s="336"/>
      <c r="GH304" s="336"/>
      <c r="GI304" s="336"/>
      <c r="GJ304" s="337"/>
      <c r="GM304" s="338"/>
      <c r="GN304" s="338"/>
      <c r="GO304" s="338"/>
      <c r="GS304" s="338"/>
      <c r="GT304" s="338"/>
      <c r="GU304" s="338"/>
      <c r="GY304" s="338"/>
      <c r="GZ304" s="338"/>
      <c r="HA304" s="338"/>
      <c r="HE304" s="338"/>
      <c r="HF304" s="338"/>
      <c r="HG304" s="338"/>
      <c r="HN304" s="68"/>
      <c r="HO304" s="68"/>
      <c r="HP304" s="68"/>
      <c r="HQ304" s="336"/>
      <c r="HR304" s="68"/>
      <c r="HS304" s="68"/>
      <c r="HT304" s="10"/>
      <c r="HW304" s="338"/>
      <c r="HX304" s="338"/>
      <c r="HY304" s="338"/>
      <c r="IC304" s="338"/>
      <c r="ID304" s="338"/>
      <c r="IE304" s="338"/>
      <c r="II304" s="338"/>
      <c r="IJ304" s="338"/>
      <c r="IK304" s="338"/>
      <c r="IO304" s="338"/>
      <c r="IP304" s="338"/>
      <c r="IQ304" s="338"/>
      <c r="IX304" s="68"/>
      <c r="IY304" s="68"/>
      <c r="IZ304" s="68"/>
      <c r="JA304" s="68"/>
      <c r="JB304" s="68"/>
      <c r="JC304" s="68"/>
      <c r="JD304" s="10"/>
      <c r="JG304" s="338"/>
      <c r="JH304" s="338"/>
      <c r="JI304" s="338"/>
      <c r="JM304" s="338"/>
      <c r="JN304" s="338"/>
      <c r="JQ304" s="338"/>
      <c r="JR304" s="338"/>
      <c r="JS304" s="338"/>
      <c r="JW304" s="358"/>
      <c r="JX304" s="336"/>
      <c r="JY304" s="336"/>
      <c r="JZ304" s="336"/>
      <c r="KA304" s="336"/>
      <c r="KB304" s="336"/>
      <c r="KC304" s="336"/>
      <c r="KD304" s="336"/>
      <c r="KE304" s="336"/>
      <c r="KF304" s="336"/>
      <c r="KG304" s="337"/>
      <c r="KH304" s="338"/>
      <c r="KI304" s="338"/>
      <c r="KJ304" s="338"/>
      <c r="KK304" s="338"/>
      <c r="KL304" s="338"/>
      <c r="KM304" s="338"/>
      <c r="KN304" s="338"/>
      <c r="KO304" s="338"/>
      <c r="KP304" s="338"/>
      <c r="KQ304" s="338"/>
      <c r="KR304" s="338"/>
      <c r="KS304" s="338"/>
      <c r="KT304" s="338"/>
      <c r="KU304" s="338"/>
      <c r="KV304" s="338"/>
      <c r="KW304" s="337"/>
      <c r="KX304" s="336"/>
      <c r="KY304" s="336"/>
      <c r="KZ304" s="336"/>
      <c r="LA304" s="336"/>
      <c r="LB304" s="336"/>
      <c r="LC304" s="336"/>
      <c r="LD304" s="336"/>
      <c r="LE304" s="336"/>
      <c r="LF304" s="336"/>
      <c r="LG304" s="336"/>
      <c r="LH304" s="336"/>
      <c r="LI304" s="336"/>
      <c r="LJ304" s="336"/>
      <c r="LK304" s="336"/>
      <c r="LL304" s="336"/>
      <c r="LM304" s="336"/>
      <c r="LN304" s="336"/>
      <c r="LO304" s="336"/>
      <c r="LP304" s="336"/>
      <c r="LQ304" s="337"/>
      <c r="MN304" s="10"/>
      <c r="OA304" s="10"/>
    </row>
    <row r="305" spans="1:391" s="370" customFormat="1" x14ac:dyDescent="0.25">
      <c r="A305" s="68"/>
      <c r="B305" s="10"/>
      <c r="C305" s="68"/>
      <c r="D305" s="68"/>
      <c r="E305" s="68"/>
      <c r="F305" s="68"/>
      <c r="G305" s="68"/>
      <c r="H305" s="68"/>
      <c r="I305" s="68"/>
      <c r="J305" s="68"/>
      <c r="K305" s="68"/>
      <c r="L305" s="68"/>
      <c r="M305" s="68"/>
      <c r="N305" s="68"/>
      <c r="O305" s="68"/>
      <c r="P305" s="68"/>
      <c r="Q305" s="68"/>
      <c r="R305" s="68"/>
      <c r="S305" s="68"/>
      <c r="T305" s="70"/>
      <c r="AC305" s="68"/>
      <c r="AD305" s="70"/>
      <c r="AM305" s="68"/>
      <c r="AN305" s="70"/>
      <c r="AU305" s="68"/>
      <c r="AV305" s="70"/>
      <c r="BB305" s="68"/>
      <c r="BC305" s="70"/>
      <c r="BD305" s="68"/>
      <c r="BE305" s="68"/>
      <c r="BF305" s="68"/>
      <c r="BG305" s="68"/>
      <c r="BH305" s="68"/>
      <c r="BI305" s="68"/>
      <c r="BJ305" s="70"/>
      <c r="BM305" s="68"/>
      <c r="BN305" s="70"/>
      <c r="BT305" s="68"/>
      <c r="BU305" s="70"/>
      <c r="BZ305" s="10"/>
      <c r="CF305" s="10"/>
      <c r="CI305" s="389"/>
      <c r="CJ305" s="389"/>
      <c r="CK305" s="68"/>
      <c r="CL305" s="70"/>
      <c r="CO305" s="10"/>
      <c r="CU305" s="10"/>
      <c r="DA305" s="10"/>
      <c r="DB305" s="70"/>
      <c r="DC305" s="70"/>
      <c r="DF305" s="68"/>
      <c r="DG305" s="70"/>
      <c r="DH305" s="68"/>
      <c r="DI305" s="386"/>
      <c r="DJ305" s="425"/>
      <c r="DL305" s="68"/>
      <c r="DM305" s="70"/>
      <c r="DQ305" s="68"/>
      <c r="DR305" s="70"/>
      <c r="DS305" s="338"/>
      <c r="DT305" s="338"/>
      <c r="DU305" s="338"/>
      <c r="DW305" s="338"/>
      <c r="DX305" s="338"/>
      <c r="DY305" s="338"/>
      <c r="EA305" s="338"/>
      <c r="EB305" s="338"/>
      <c r="EC305" s="338"/>
      <c r="EE305" s="338"/>
      <c r="EF305" s="338"/>
      <c r="EG305" s="338"/>
      <c r="EI305" s="336"/>
      <c r="EJ305" s="336"/>
      <c r="EK305" s="336"/>
      <c r="EL305" s="336"/>
      <c r="EM305" s="336"/>
      <c r="EN305" s="336"/>
      <c r="EO305" s="337"/>
      <c r="EP305" s="342"/>
      <c r="EQ305" s="336"/>
      <c r="ER305" s="342"/>
      <c r="ES305" s="336"/>
      <c r="ET305" s="342"/>
      <c r="EU305" s="336"/>
      <c r="EV305" s="342"/>
      <c r="EW305" s="336"/>
      <c r="EX305" s="342"/>
      <c r="EY305" s="342"/>
      <c r="EZ305" s="342"/>
      <c r="FA305" s="337"/>
      <c r="FE305" s="338"/>
      <c r="FH305" s="338"/>
      <c r="FI305" s="338"/>
      <c r="FJ305" s="338"/>
      <c r="FK305" s="338"/>
      <c r="FL305" s="338"/>
      <c r="FM305" s="337"/>
      <c r="FN305" s="336"/>
      <c r="FO305" s="336"/>
      <c r="FP305" s="336"/>
      <c r="FQ305" s="336"/>
      <c r="FR305" s="336"/>
      <c r="FS305" s="336"/>
      <c r="FT305" s="336"/>
      <c r="FU305" s="336"/>
      <c r="FV305" s="336"/>
      <c r="FW305" s="337"/>
      <c r="FX305" s="532"/>
      <c r="FY305" s="341"/>
      <c r="FZ305" s="341"/>
      <c r="GA305" s="336"/>
      <c r="GB305" s="341"/>
      <c r="GC305" s="341"/>
      <c r="GD305" s="341"/>
      <c r="GE305" s="336"/>
      <c r="GF305" s="336"/>
      <c r="GG305" s="336"/>
      <c r="GH305" s="336"/>
      <c r="GI305" s="336"/>
      <c r="GJ305" s="337"/>
      <c r="GM305" s="338"/>
      <c r="GN305" s="338"/>
      <c r="GO305" s="338"/>
      <c r="GS305" s="338"/>
      <c r="GT305" s="338"/>
      <c r="GU305" s="338"/>
      <c r="GY305" s="338"/>
      <c r="GZ305" s="338"/>
      <c r="HA305" s="338"/>
      <c r="HE305" s="338"/>
      <c r="HF305" s="338"/>
      <c r="HG305" s="338"/>
      <c r="HN305" s="68"/>
      <c r="HO305" s="68"/>
      <c r="HP305" s="68"/>
      <c r="HQ305" s="336"/>
      <c r="HR305" s="68"/>
      <c r="HS305" s="68"/>
      <c r="HT305" s="10"/>
      <c r="HW305" s="338"/>
      <c r="HX305" s="338"/>
      <c r="HY305" s="338"/>
      <c r="IC305" s="338"/>
      <c r="ID305" s="338"/>
      <c r="IE305" s="338"/>
      <c r="II305" s="338"/>
      <c r="IJ305" s="338"/>
      <c r="IK305" s="338"/>
      <c r="IO305" s="338"/>
      <c r="IP305" s="338"/>
      <c r="IQ305" s="338"/>
      <c r="IX305" s="68"/>
      <c r="IY305" s="68"/>
      <c r="IZ305" s="68"/>
      <c r="JA305" s="68"/>
      <c r="JB305" s="68"/>
      <c r="JC305" s="68"/>
      <c r="JD305" s="10"/>
      <c r="JG305" s="338"/>
      <c r="JH305" s="338"/>
      <c r="JI305" s="338"/>
      <c r="JM305" s="338"/>
      <c r="JN305" s="338"/>
      <c r="JQ305" s="338"/>
      <c r="JR305" s="338"/>
      <c r="JS305" s="338"/>
      <c r="JW305" s="358"/>
      <c r="JX305" s="336"/>
      <c r="JY305" s="336"/>
      <c r="JZ305" s="336"/>
      <c r="KA305" s="336"/>
      <c r="KB305" s="336"/>
      <c r="KC305" s="336"/>
      <c r="KD305" s="336"/>
      <c r="KE305" s="336"/>
      <c r="KF305" s="336"/>
      <c r="KG305" s="337"/>
      <c r="KH305" s="338"/>
      <c r="KI305" s="338"/>
      <c r="KJ305" s="338"/>
      <c r="KK305" s="338"/>
      <c r="KL305" s="338"/>
      <c r="KM305" s="338"/>
      <c r="KN305" s="338"/>
      <c r="KO305" s="338"/>
      <c r="KP305" s="338"/>
      <c r="KQ305" s="338"/>
      <c r="KR305" s="338"/>
      <c r="KS305" s="338"/>
      <c r="KT305" s="338"/>
      <c r="KU305" s="338"/>
      <c r="KV305" s="338"/>
      <c r="KW305" s="337"/>
      <c r="KX305" s="336"/>
      <c r="KY305" s="336"/>
      <c r="KZ305" s="336"/>
      <c r="LA305" s="336"/>
      <c r="LB305" s="336"/>
      <c r="LC305" s="336"/>
      <c r="LD305" s="336"/>
      <c r="LE305" s="336"/>
      <c r="LF305" s="336"/>
      <c r="LG305" s="336"/>
      <c r="LH305" s="336"/>
      <c r="LI305" s="336"/>
      <c r="LJ305" s="336"/>
      <c r="LK305" s="336"/>
      <c r="LL305" s="336"/>
      <c r="LM305" s="336"/>
      <c r="LN305" s="336"/>
      <c r="LO305" s="336"/>
      <c r="LP305" s="336"/>
      <c r="LQ305" s="337"/>
      <c r="MN305" s="10"/>
      <c r="OA305" s="10"/>
    </row>
    <row r="306" spans="1:391" s="370" customFormat="1" x14ac:dyDescent="0.25">
      <c r="A306" s="68"/>
      <c r="B306" s="10"/>
      <c r="C306" s="68"/>
      <c r="D306" s="68"/>
      <c r="E306" s="68"/>
      <c r="F306" s="68"/>
      <c r="G306" s="68"/>
      <c r="H306" s="68"/>
      <c r="I306" s="68"/>
      <c r="J306" s="68"/>
      <c r="K306" s="68"/>
      <c r="L306" s="68"/>
      <c r="M306" s="68"/>
      <c r="N306" s="68"/>
      <c r="O306" s="68"/>
      <c r="P306" s="68"/>
      <c r="Q306" s="68"/>
      <c r="R306" s="68"/>
      <c r="S306" s="68"/>
      <c r="T306" s="70"/>
      <c r="AC306" s="68"/>
      <c r="AD306" s="70"/>
      <c r="AM306" s="68"/>
      <c r="AN306" s="70"/>
      <c r="AU306" s="68"/>
      <c r="AV306" s="70"/>
      <c r="BB306" s="68"/>
      <c r="BC306" s="70"/>
      <c r="BD306" s="68"/>
      <c r="BE306" s="68"/>
      <c r="BF306" s="68"/>
      <c r="BG306" s="68"/>
      <c r="BH306" s="68"/>
      <c r="BI306" s="68"/>
      <c r="BJ306" s="70"/>
      <c r="BM306" s="68"/>
      <c r="BN306" s="70"/>
      <c r="BT306" s="68"/>
      <c r="BU306" s="70"/>
      <c r="BZ306" s="10"/>
      <c r="CF306" s="10"/>
      <c r="CI306" s="389"/>
      <c r="CJ306" s="389"/>
      <c r="CK306" s="68"/>
      <c r="CL306" s="70"/>
      <c r="CO306" s="10"/>
      <c r="CU306" s="10"/>
      <c r="DA306" s="10"/>
      <c r="DB306" s="70"/>
      <c r="DC306" s="70"/>
      <c r="DF306" s="68"/>
      <c r="DG306" s="70"/>
      <c r="DH306" s="68"/>
      <c r="DI306" s="386"/>
      <c r="DJ306" s="425"/>
      <c r="DL306" s="68"/>
      <c r="DM306" s="70"/>
      <c r="DQ306" s="68"/>
      <c r="DR306" s="70"/>
      <c r="DS306" s="338"/>
      <c r="DT306" s="338"/>
      <c r="DU306" s="338"/>
      <c r="DW306" s="338"/>
      <c r="DX306" s="338"/>
      <c r="DY306" s="338"/>
      <c r="EA306" s="338"/>
      <c r="EB306" s="338"/>
      <c r="EC306" s="338"/>
      <c r="EE306" s="338"/>
      <c r="EF306" s="338"/>
      <c r="EG306" s="338"/>
      <c r="EI306" s="336"/>
      <c r="EJ306" s="336"/>
      <c r="EK306" s="336"/>
      <c r="EL306" s="336"/>
      <c r="EM306" s="336"/>
      <c r="EN306" s="336"/>
      <c r="EO306" s="337"/>
      <c r="EP306" s="342"/>
      <c r="EQ306" s="336"/>
      <c r="ER306" s="342"/>
      <c r="ES306" s="336"/>
      <c r="ET306" s="342"/>
      <c r="EU306" s="336"/>
      <c r="EV306" s="342"/>
      <c r="EW306" s="336"/>
      <c r="EX306" s="342"/>
      <c r="EY306" s="342"/>
      <c r="EZ306" s="342"/>
      <c r="FA306" s="337"/>
      <c r="FE306" s="338"/>
      <c r="FH306" s="338"/>
      <c r="FI306" s="338"/>
      <c r="FJ306" s="338"/>
      <c r="FK306" s="338"/>
      <c r="FL306" s="338"/>
      <c r="FM306" s="337"/>
      <c r="FN306" s="336"/>
      <c r="FO306" s="336"/>
      <c r="FP306" s="336"/>
      <c r="FQ306" s="336"/>
      <c r="FR306" s="336"/>
      <c r="FS306" s="336"/>
      <c r="FT306" s="336"/>
      <c r="FU306" s="336"/>
      <c r="FV306" s="336"/>
      <c r="FW306" s="337"/>
      <c r="FX306" s="532"/>
      <c r="FY306" s="341"/>
      <c r="FZ306" s="341"/>
      <c r="GA306" s="336"/>
      <c r="GB306" s="341"/>
      <c r="GC306" s="341"/>
      <c r="GD306" s="341"/>
      <c r="GE306" s="336"/>
      <c r="GF306" s="336"/>
      <c r="GG306" s="336"/>
      <c r="GH306" s="336"/>
      <c r="GI306" s="336"/>
      <c r="GJ306" s="337"/>
      <c r="GM306" s="338"/>
      <c r="GN306" s="338"/>
      <c r="GO306" s="338"/>
      <c r="GS306" s="338"/>
      <c r="GT306" s="338"/>
      <c r="GU306" s="338"/>
      <c r="GY306" s="338"/>
      <c r="GZ306" s="338"/>
      <c r="HA306" s="338"/>
      <c r="HE306" s="338"/>
      <c r="HF306" s="338"/>
      <c r="HG306" s="338"/>
      <c r="HN306" s="68"/>
      <c r="HO306" s="68"/>
      <c r="HP306" s="68"/>
      <c r="HQ306" s="336"/>
      <c r="HR306" s="68"/>
      <c r="HS306" s="68"/>
      <c r="HT306" s="10"/>
      <c r="HW306" s="338"/>
      <c r="HX306" s="338"/>
      <c r="HY306" s="338"/>
      <c r="IC306" s="338"/>
      <c r="ID306" s="338"/>
      <c r="IE306" s="338"/>
      <c r="II306" s="338"/>
      <c r="IJ306" s="338"/>
      <c r="IK306" s="338"/>
      <c r="IO306" s="338"/>
      <c r="IP306" s="338"/>
      <c r="IQ306" s="338"/>
      <c r="IX306" s="68"/>
      <c r="IY306" s="68"/>
      <c r="IZ306" s="68"/>
      <c r="JA306" s="68"/>
      <c r="JB306" s="68"/>
      <c r="JC306" s="68"/>
      <c r="JD306" s="10"/>
      <c r="JG306" s="338"/>
      <c r="JH306" s="338"/>
      <c r="JI306" s="338"/>
      <c r="JM306" s="338"/>
      <c r="JN306" s="338"/>
      <c r="JQ306" s="338"/>
      <c r="JR306" s="338"/>
      <c r="JS306" s="338"/>
      <c r="JW306" s="358"/>
      <c r="JX306" s="336"/>
      <c r="JY306" s="336"/>
      <c r="JZ306" s="336"/>
      <c r="KA306" s="336"/>
      <c r="KB306" s="336"/>
      <c r="KC306" s="336"/>
      <c r="KD306" s="336"/>
      <c r="KE306" s="336"/>
      <c r="KF306" s="336"/>
      <c r="KG306" s="337"/>
      <c r="KH306" s="338"/>
      <c r="KI306" s="338"/>
      <c r="KJ306" s="338"/>
      <c r="KK306" s="338"/>
      <c r="KL306" s="338"/>
      <c r="KM306" s="338"/>
      <c r="KN306" s="338"/>
      <c r="KO306" s="338"/>
      <c r="KP306" s="338"/>
      <c r="KQ306" s="338"/>
      <c r="KR306" s="338"/>
      <c r="KS306" s="338"/>
      <c r="KT306" s="338"/>
      <c r="KU306" s="338"/>
      <c r="KV306" s="338"/>
      <c r="KW306" s="337"/>
      <c r="KX306" s="336"/>
      <c r="KY306" s="336"/>
      <c r="KZ306" s="336"/>
      <c r="LA306" s="336"/>
      <c r="LB306" s="336"/>
      <c r="LC306" s="336"/>
      <c r="LD306" s="336"/>
      <c r="LE306" s="336"/>
      <c r="LF306" s="336"/>
      <c r="LG306" s="336"/>
      <c r="LH306" s="336"/>
      <c r="LI306" s="336"/>
      <c r="LJ306" s="336"/>
      <c r="LK306" s="336"/>
      <c r="LL306" s="336"/>
      <c r="LM306" s="336"/>
      <c r="LN306" s="336"/>
      <c r="LO306" s="336"/>
      <c r="LP306" s="336"/>
      <c r="LQ306" s="337"/>
      <c r="MN306" s="10"/>
      <c r="OA306" s="10"/>
    </row>
    <row r="307" spans="1:391" s="370" customFormat="1" x14ac:dyDescent="0.25">
      <c r="A307" s="68"/>
      <c r="B307" s="10"/>
      <c r="C307" s="68"/>
      <c r="D307" s="68"/>
      <c r="E307" s="68"/>
      <c r="F307" s="68"/>
      <c r="G307" s="68"/>
      <c r="H307" s="68"/>
      <c r="I307" s="68"/>
      <c r="J307" s="68"/>
      <c r="K307" s="68"/>
      <c r="L307" s="68"/>
      <c r="M307" s="68"/>
      <c r="N307" s="68"/>
      <c r="O307" s="68"/>
      <c r="P307" s="68"/>
      <c r="Q307" s="68"/>
      <c r="R307" s="68"/>
      <c r="S307" s="68"/>
      <c r="T307" s="70"/>
      <c r="AC307" s="68"/>
      <c r="AD307" s="70"/>
      <c r="AM307" s="68"/>
      <c r="AN307" s="70"/>
      <c r="AU307" s="68"/>
      <c r="AV307" s="70"/>
      <c r="BB307" s="68"/>
      <c r="BC307" s="70"/>
      <c r="BD307" s="68"/>
      <c r="BE307" s="68"/>
      <c r="BF307" s="68"/>
      <c r="BG307" s="68"/>
      <c r="BH307" s="68"/>
      <c r="BI307" s="68"/>
      <c r="BJ307" s="70"/>
      <c r="BM307" s="68"/>
      <c r="BN307" s="70"/>
      <c r="BT307" s="68"/>
      <c r="BU307" s="70"/>
      <c r="BZ307" s="10"/>
      <c r="CF307" s="10"/>
      <c r="CI307" s="389"/>
      <c r="CJ307" s="389"/>
      <c r="CK307" s="68"/>
      <c r="CL307" s="70"/>
      <c r="CO307" s="10"/>
      <c r="CU307" s="10"/>
      <c r="DA307" s="10"/>
      <c r="DB307" s="70"/>
      <c r="DC307" s="70"/>
      <c r="DF307" s="68"/>
      <c r="DG307" s="70"/>
      <c r="DH307" s="68"/>
      <c r="DI307" s="386"/>
      <c r="DJ307" s="425"/>
      <c r="DL307" s="68"/>
      <c r="DM307" s="70"/>
      <c r="DQ307" s="68"/>
      <c r="DR307" s="70"/>
      <c r="DS307" s="338"/>
      <c r="DT307" s="338"/>
      <c r="DU307" s="338"/>
      <c r="DW307" s="338"/>
      <c r="DX307" s="338"/>
      <c r="DY307" s="338"/>
      <c r="EA307" s="338"/>
      <c r="EB307" s="338"/>
      <c r="EC307" s="338"/>
      <c r="EE307" s="338"/>
      <c r="EF307" s="338"/>
      <c r="EG307" s="338"/>
      <c r="EI307" s="336"/>
      <c r="EJ307" s="336"/>
      <c r="EK307" s="336"/>
      <c r="EL307" s="336"/>
      <c r="EM307" s="336"/>
      <c r="EN307" s="336"/>
      <c r="EO307" s="337"/>
      <c r="EP307" s="342"/>
      <c r="EQ307" s="336"/>
      <c r="ER307" s="342"/>
      <c r="ES307" s="336"/>
      <c r="ET307" s="342"/>
      <c r="EU307" s="336"/>
      <c r="EV307" s="342"/>
      <c r="EW307" s="336"/>
      <c r="EX307" s="342"/>
      <c r="EY307" s="342"/>
      <c r="EZ307" s="342"/>
      <c r="FA307" s="337"/>
      <c r="FE307" s="338"/>
      <c r="FH307" s="338"/>
      <c r="FI307" s="338"/>
      <c r="FJ307" s="338"/>
      <c r="FK307" s="338"/>
      <c r="FL307" s="338"/>
      <c r="FM307" s="337"/>
      <c r="FN307" s="336"/>
      <c r="FO307" s="336"/>
      <c r="FP307" s="336"/>
      <c r="FQ307" s="336"/>
      <c r="FR307" s="336"/>
      <c r="FS307" s="336"/>
      <c r="FT307" s="336"/>
      <c r="FU307" s="336"/>
      <c r="FV307" s="336"/>
      <c r="FW307" s="337"/>
      <c r="FX307" s="532"/>
      <c r="FY307" s="341"/>
      <c r="FZ307" s="341"/>
      <c r="GA307" s="336"/>
      <c r="GB307" s="341"/>
      <c r="GC307" s="341"/>
      <c r="GD307" s="341"/>
      <c r="GE307" s="336"/>
      <c r="GF307" s="336"/>
      <c r="GG307" s="336"/>
      <c r="GH307" s="336"/>
      <c r="GI307" s="336"/>
      <c r="GJ307" s="337"/>
      <c r="GM307" s="338"/>
      <c r="GN307" s="338"/>
      <c r="GO307" s="338"/>
      <c r="GS307" s="338"/>
      <c r="GT307" s="338"/>
      <c r="GU307" s="338"/>
      <c r="GY307" s="338"/>
      <c r="GZ307" s="338"/>
      <c r="HA307" s="338"/>
      <c r="HE307" s="338"/>
      <c r="HF307" s="338"/>
      <c r="HG307" s="338"/>
      <c r="HN307" s="68"/>
      <c r="HO307" s="68"/>
      <c r="HP307" s="68"/>
      <c r="HQ307" s="336"/>
      <c r="HR307" s="68"/>
      <c r="HS307" s="68"/>
      <c r="HT307" s="10"/>
      <c r="HW307" s="338"/>
      <c r="HX307" s="338"/>
      <c r="HY307" s="338"/>
      <c r="IC307" s="338"/>
      <c r="ID307" s="338"/>
      <c r="IE307" s="338"/>
      <c r="II307" s="338"/>
      <c r="IJ307" s="338"/>
      <c r="IK307" s="338"/>
      <c r="IO307" s="338"/>
      <c r="IP307" s="338"/>
      <c r="IQ307" s="338"/>
      <c r="IX307" s="68"/>
      <c r="IY307" s="68"/>
      <c r="IZ307" s="68"/>
      <c r="JA307" s="68"/>
      <c r="JB307" s="68"/>
      <c r="JC307" s="68"/>
      <c r="JD307" s="10"/>
      <c r="JG307" s="338"/>
      <c r="JH307" s="338"/>
      <c r="JI307" s="338"/>
      <c r="JM307" s="338"/>
      <c r="JN307" s="338"/>
      <c r="JQ307" s="338"/>
      <c r="JR307" s="338"/>
      <c r="JS307" s="338"/>
      <c r="JW307" s="358"/>
      <c r="JX307" s="336"/>
      <c r="JY307" s="336"/>
      <c r="JZ307" s="336"/>
      <c r="KA307" s="336"/>
      <c r="KB307" s="336"/>
      <c r="KC307" s="336"/>
      <c r="KD307" s="336"/>
      <c r="KE307" s="336"/>
      <c r="KF307" s="336"/>
      <c r="KG307" s="337"/>
      <c r="KH307" s="338"/>
      <c r="KI307" s="338"/>
      <c r="KJ307" s="338"/>
      <c r="KK307" s="338"/>
      <c r="KL307" s="338"/>
      <c r="KM307" s="338"/>
      <c r="KN307" s="338"/>
      <c r="KO307" s="338"/>
      <c r="KP307" s="338"/>
      <c r="KQ307" s="338"/>
      <c r="KR307" s="338"/>
      <c r="KS307" s="338"/>
      <c r="KT307" s="338"/>
      <c r="KU307" s="338"/>
      <c r="KV307" s="338"/>
      <c r="KW307" s="337"/>
      <c r="KX307" s="336"/>
      <c r="KY307" s="336"/>
      <c r="KZ307" s="336"/>
      <c r="LA307" s="336"/>
      <c r="LB307" s="336"/>
      <c r="LC307" s="336"/>
      <c r="LD307" s="336"/>
      <c r="LE307" s="336"/>
      <c r="LF307" s="336"/>
      <c r="LG307" s="336"/>
      <c r="LH307" s="336"/>
      <c r="LI307" s="336"/>
      <c r="LJ307" s="336"/>
      <c r="LK307" s="336"/>
      <c r="LL307" s="336"/>
      <c r="LM307" s="336"/>
      <c r="LN307" s="336"/>
      <c r="LO307" s="336"/>
      <c r="LP307" s="336"/>
      <c r="LQ307" s="337"/>
      <c r="MN307" s="10"/>
      <c r="OA307" s="10"/>
    </row>
    <row r="308" spans="1:391" s="370" customFormat="1" x14ac:dyDescent="0.25">
      <c r="A308" s="68"/>
      <c r="B308" s="10"/>
      <c r="C308" s="68"/>
      <c r="D308" s="68"/>
      <c r="E308" s="68"/>
      <c r="F308" s="68"/>
      <c r="G308" s="68"/>
      <c r="H308" s="68"/>
      <c r="I308" s="68"/>
      <c r="J308" s="68"/>
      <c r="K308" s="68"/>
      <c r="L308" s="68"/>
      <c r="M308" s="68"/>
      <c r="N308" s="68"/>
      <c r="O308" s="68"/>
      <c r="P308" s="68"/>
      <c r="Q308" s="68"/>
      <c r="R308" s="68"/>
      <c r="S308" s="68"/>
      <c r="T308" s="70"/>
      <c r="AC308" s="68"/>
      <c r="AD308" s="70"/>
      <c r="AM308" s="68"/>
      <c r="AN308" s="70"/>
      <c r="AU308" s="68"/>
      <c r="AV308" s="70"/>
      <c r="BB308" s="68"/>
      <c r="BC308" s="70"/>
      <c r="BD308" s="68"/>
      <c r="BE308" s="68"/>
      <c r="BF308" s="68"/>
      <c r="BG308" s="68"/>
      <c r="BH308" s="68"/>
      <c r="BI308" s="68"/>
      <c r="BJ308" s="70"/>
      <c r="BM308" s="68"/>
      <c r="BN308" s="70"/>
      <c r="BT308" s="68"/>
      <c r="BU308" s="70"/>
      <c r="BZ308" s="10"/>
      <c r="CF308" s="10"/>
      <c r="CI308" s="389"/>
      <c r="CJ308" s="389"/>
      <c r="CK308" s="68"/>
      <c r="CL308" s="70"/>
      <c r="CO308" s="10"/>
      <c r="CU308" s="10"/>
      <c r="DA308" s="10"/>
      <c r="DB308" s="70"/>
      <c r="DC308" s="70"/>
      <c r="DF308" s="68"/>
      <c r="DG308" s="70"/>
      <c r="DH308" s="68"/>
      <c r="DI308" s="386"/>
      <c r="DJ308" s="425"/>
      <c r="DL308" s="68"/>
      <c r="DM308" s="70"/>
      <c r="DQ308" s="68"/>
      <c r="DR308" s="70"/>
      <c r="DS308" s="338"/>
      <c r="DT308" s="338"/>
      <c r="DU308" s="338"/>
      <c r="DW308" s="338"/>
      <c r="DX308" s="338"/>
      <c r="DY308" s="338"/>
      <c r="EA308" s="338"/>
      <c r="EB308" s="338"/>
      <c r="EC308" s="338"/>
      <c r="EE308" s="338"/>
      <c r="EF308" s="338"/>
      <c r="EG308" s="338"/>
      <c r="EI308" s="336"/>
      <c r="EJ308" s="336"/>
      <c r="EK308" s="336"/>
      <c r="EL308" s="336"/>
      <c r="EM308" s="336"/>
      <c r="EN308" s="336"/>
      <c r="EO308" s="337"/>
      <c r="EP308" s="342"/>
      <c r="EQ308" s="336"/>
      <c r="ER308" s="342"/>
      <c r="ES308" s="336"/>
      <c r="ET308" s="342"/>
      <c r="EU308" s="336"/>
      <c r="EV308" s="342"/>
      <c r="EW308" s="336"/>
      <c r="EX308" s="342"/>
      <c r="EY308" s="342"/>
      <c r="EZ308" s="342"/>
      <c r="FA308" s="337"/>
      <c r="FE308" s="338"/>
      <c r="FH308" s="338"/>
      <c r="FI308" s="338"/>
      <c r="FJ308" s="338"/>
      <c r="FK308" s="338"/>
      <c r="FL308" s="338"/>
      <c r="FM308" s="337"/>
      <c r="FN308" s="336"/>
      <c r="FO308" s="336"/>
      <c r="FP308" s="336"/>
      <c r="FQ308" s="336"/>
      <c r="FR308" s="336"/>
      <c r="FS308" s="336"/>
      <c r="FT308" s="336"/>
      <c r="FU308" s="336"/>
      <c r="FV308" s="336"/>
      <c r="FW308" s="337"/>
      <c r="FX308" s="532"/>
      <c r="FY308" s="341"/>
      <c r="FZ308" s="341"/>
      <c r="GA308" s="336"/>
      <c r="GB308" s="341"/>
      <c r="GC308" s="341"/>
      <c r="GD308" s="341"/>
      <c r="GE308" s="336"/>
      <c r="GF308" s="336"/>
      <c r="GG308" s="336"/>
      <c r="GH308" s="336"/>
      <c r="GI308" s="336"/>
      <c r="GJ308" s="337"/>
      <c r="GM308" s="338"/>
      <c r="GN308" s="338"/>
      <c r="GO308" s="338"/>
      <c r="GS308" s="338"/>
      <c r="GT308" s="338"/>
      <c r="GU308" s="338"/>
      <c r="GY308" s="338"/>
      <c r="GZ308" s="338"/>
      <c r="HA308" s="338"/>
      <c r="HE308" s="338"/>
      <c r="HF308" s="338"/>
      <c r="HG308" s="338"/>
      <c r="HN308" s="68"/>
      <c r="HO308" s="68"/>
      <c r="HP308" s="68"/>
      <c r="HQ308" s="336"/>
      <c r="HR308" s="68"/>
      <c r="HS308" s="68"/>
      <c r="HT308" s="10"/>
      <c r="HW308" s="338"/>
      <c r="HX308" s="338"/>
      <c r="HY308" s="338"/>
      <c r="IC308" s="338"/>
      <c r="ID308" s="338"/>
      <c r="IE308" s="338"/>
      <c r="II308" s="338"/>
      <c r="IJ308" s="338"/>
      <c r="IK308" s="338"/>
      <c r="IO308" s="338"/>
      <c r="IP308" s="338"/>
      <c r="IQ308" s="338"/>
      <c r="IX308" s="68"/>
      <c r="IY308" s="68"/>
      <c r="IZ308" s="68"/>
      <c r="JA308" s="68"/>
      <c r="JB308" s="68"/>
      <c r="JC308" s="68"/>
      <c r="JD308" s="10"/>
      <c r="JG308" s="338"/>
      <c r="JH308" s="338"/>
      <c r="JI308" s="338"/>
      <c r="JM308" s="338"/>
      <c r="JN308" s="338"/>
      <c r="JQ308" s="338"/>
      <c r="JR308" s="338"/>
      <c r="JS308" s="338"/>
      <c r="JW308" s="358"/>
      <c r="JX308" s="336"/>
      <c r="JY308" s="336"/>
      <c r="JZ308" s="336"/>
      <c r="KA308" s="336"/>
      <c r="KB308" s="336"/>
      <c r="KC308" s="336"/>
      <c r="KD308" s="336"/>
      <c r="KE308" s="336"/>
      <c r="KF308" s="336"/>
      <c r="KG308" s="337"/>
      <c r="KH308" s="338"/>
      <c r="KI308" s="338"/>
      <c r="KJ308" s="338"/>
      <c r="KK308" s="338"/>
      <c r="KL308" s="338"/>
      <c r="KM308" s="338"/>
      <c r="KN308" s="338"/>
      <c r="KO308" s="338"/>
      <c r="KP308" s="338"/>
      <c r="KQ308" s="338"/>
      <c r="KR308" s="338"/>
      <c r="KS308" s="338"/>
      <c r="KT308" s="338"/>
      <c r="KU308" s="338"/>
      <c r="KV308" s="338"/>
      <c r="KW308" s="337"/>
      <c r="KX308" s="336"/>
      <c r="KY308" s="336"/>
      <c r="KZ308" s="336"/>
      <c r="LA308" s="336"/>
      <c r="LB308" s="336"/>
      <c r="LC308" s="336"/>
      <c r="LD308" s="336"/>
      <c r="LE308" s="336"/>
      <c r="LF308" s="336"/>
      <c r="LG308" s="336"/>
      <c r="LH308" s="336"/>
      <c r="LI308" s="336"/>
      <c r="LJ308" s="336"/>
      <c r="LK308" s="336"/>
      <c r="LL308" s="336"/>
      <c r="LM308" s="336"/>
      <c r="LN308" s="336"/>
      <c r="LO308" s="336"/>
      <c r="LP308" s="336"/>
      <c r="LQ308" s="337"/>
      <c r="MN308" s="10"/>
      <c r="OA308" s="10"/>
    </row>
    <row r="309" spans="1:391" s="370" customFormat="1" x14ac:dyDescent="0.25">
      <c r="A309" s="68"/>
      <c r="B309" s="10"/>
      <c r="C309" s="68"/>
      <c r="D309" s="68"/>
      <c r="E309" s="68"/>
      <c r="F309" s="68"/>
      <c r="G309" s="68"/>
      <c r="H309" s="68"/>
      <c r="I309" s="68"/>
      <c r="J309" s="68"/>
      <c r="K309" s="68"/>
      <c r="L309" s="68"/>
      <c r="M309" s="68"/>
      <c r="N309" s="68"/>
      <c r="O309" s="68"/>
      <c r="P309" s="68"/>
      <c r="Q309" s="68"/>
      <c r="R309" s="68"/>
      <c r="S309" s="68"/>
      <c r="T309" s="70"/>
      <c r="AC309" s="68"/>
      <c r="AD309" s="70"/>
      <c r="AM309" s="68"/>
      <c r="AN309" s="70"/>
      <c r="AU309" s="68"/>
      <c r="AV309" s="70"/>
      <c r="BB309" s="68"/>
      <c r="BC309" s="70"/>
      <c r="BD309" s="68"/>
      <c r="BE309" s="68"/>
      <c r="BF309" s="68"/>
      <c r="BG309" s="68"/>
      <c r="BH309" s="68"/>
      <c r="BI309" s="68"/>
      <c r="BJ309" s="70"/>
      <c r="BM309" s="68"/>
      <c r="BN309" s="70"/>
      <c r="BT309" s="68"/>
      <c r="BU309" s="70"/>
      <c r="BZ309" s="10"/>
      <c r="CF309" s="10"/>
      <c r="CI309" s="389"/>
      <c r="CJ309" s="389"/>
      <c r="CK309" s="68"/>
      <c r="CL309" s="70"/>
      <c r="CO309" s="10"/>
      <c r="CU309" s="10"/>
      <c r="DA309" s="10"/>
      <c r="DB309" s="70"/>
      <c r="DC309" s="70"/>
      <c r="DF309" s="68"/>
      <c r="DG309" s="70"/>
      <c r="DH309" s="68"/>
      <c r="DI309" s="386"/>
      <c r="DJ309" s="425"/>
      <c r="DL309" s="68"/>
      <c r="DM309" s="70"/>
      <c r="DQ309" s="68"/>
      <c r="DR309" s="70"/>
      <c r="DS309" s="338"/>
      <c r="DT309" s="338"/>
      <c r="DU309" s="338"/>
      <c r="DW309" s="338"/>
      <c r="DX309" s="338"/>
      <c r="DY309" s="338"/>
      <c r="EA309" s="338"/>
      <c r="EB309" s="338"/>
      <c r="EC309" s="338"/>
      <c r="EE309" s="338"/>
      <c r="EF309" s="338"/>
      <c r="EG309" s="338"/>
      <c r="EI309" s="336"/>
      <c r="EJ309" s="336"/>
      <c r="EK309" s="336"/>
      <c r="EL309" s="336"/>
      <c r="EM309" s="336"/>
      <c r="EN309" s="336"/>
      <c r="EO309" s="337"/>
      <c r="EP309" s="342"/>
      <c r="EQ309" s="336"/>
      <c r="ER309" s="342"/>
      <c r="ES309" s="336"/>
      <c r="ET309" s="342"/>
      <c r="EU309" s="336"/>
      <c r="EV309" s="342"/>
      <c r="EW309" s="336"/>
      <c r="EX309" s="342"/>
      <c r="EY309" s="342"/>
      <c r="EZ309" s="342"/>
      <c r="FA309" s="337"/>
      <c r="FE309" s="338"/>
      <c r="FH309" s="338"/>
      <c r="FI309" s="338"/>
      <c r="FJ309" s="338"/>
      <c r="FK309" s="338"/>
      <c r="FL309" s="338"/>
      <c r="FM309" s="337"/>
      <c r="FN309" s="336"/>
      <c r="FO309" s="336"/>
      <c r="FP309" s="336"/>
      <c r="FQ309" s="336"/>
      <c r="FR309" s="336"/>
      <c r="FS309" s="336"/>
      <c r="FT309" s="336"/>
      <c r="FU309" s="336"/>
      <c r="FV309" s="336"/>
      <c r="FW309" s="337"/>
      <c r="FX309" s="532"/>
      <c r="FY309" s="341"/>
      <c r="FZ309" s="341"/>
      <c r="GA309" s="336"/>
      <c r="GB309" s="341"/>
      <c r="GC309" s="341"/>
      <c r="GD309" s="341"/>
      <c r="GE309" s="336"/>
      <c r="GF309" s="336"/>
      <c r="GG309" s="336"/>
      <c r="GH309" s="336"/>
      <c r="GI309" s="336"/>
      <c r="GJ309" s="337"/>
      <c r="GM309" s="338"/>
      <c r="GN309" s="338"/>
      <c r="GO309" s="338"/>
      <c r="GS309" s="338"/>
      <c r="GT309" s="338"/>
      <c r="GU309" s="338"/>
      <c r="GY309" s="338"/>
      <c r="GZ309" s="338"/>
      <c r="HA309" s="338"/>
      <c r="HE309" s="338"/>
      <c r="HF309" s="338"/>
      <c r="HG309" s="338"/>
      <c r="HN309" s="68"/>
      <c r="HO309" s="68"/>
      <c r="HP309" s="68"/>
      <c r="HQ309" s="336"/>
      <c r="HR309" s="68"/>
      <c r="HS309" s="68"/>
      <c r="HT309" s="10"/>
      <c r="HW309" s="338"/>
      <c r="HX309" s="338"/>
      <c r="HY309" s="338"/>
      <c r="IC309" s="338"/>
      <c r="ID309" s="338"/>
      <c r="IE309" s="338"/>
      <c r="II309" s="338"/>
      <c r="IJ309" s="338"/>
      <c r="IK309" s="338"/>
      <c r="IO309" s="338"/>
      <c r="IP309" s="338"/>
      <c r="IQ309" s="338"/>
      <c r="IX309" s="68"/>
      <c r="IY309" s="68"/>
      <c r="IZ309" s="68"/>
      <c r="JA309" s="68"/>
      <c r="JB309" s="68"/>
      <c r="JC309" s="68"/>
      <c r="JD309" s="10"/>
      <c r="JG309" s="338"/>
      <c r="JH309" s="338"/>
      <c r="JI309" s="338"/>
      <c r="JM309" s="338"/>
      <c r="JN309" s="338"/>
      <c r="JQ309" s="338"/>
      <c r="JR309" s="338"/>
      <c r="JS309" s="338"/>
      <c r="JW309" s="358"/>
      <c r="JX309" s="336"/>
      <c r="JY309" s="336"/>
      <c r="JZ309" s="336"/>
      <c r="KA309" s="336"/>
      <c r="KB309" s="336"/>
      <c r="KC309" s="336"/>
      <c r="KD309" s="336"/>
      <c r="KE309" s="336"/>
      <c r="KF309" s="336"/>
      <c r="KG309" s="337"/>
      <c r="KH309" s="338"/>
      <c r="KI309" s="338"/>
      <c r="KJ309" s="338"/>
      <c r="KK309" s="338"/>
      <c r="KL309" s="338"/>
      <c r="KM309" s="338"/>
      <c r="KN309" s="338"/>
      <c r="KO309" s="338"/>
      <c r="KP309" s="338"/>
      <c r="KQ309" s="338"/>
      <c r="KR309" s="338"/>
      <c r="KS309" s="338"/>
      <c r="KT309" s="338"/>
      <c r="KU309" s="338"/>
      <c r="KV309" s="338"/>
      <c r="KW309" s="337"/>
      <c r="KX309" s="336"/>
      <c r="KY309" s="336"/>
      <c r="KZ309" s="336"/>
      <c r="LA309" s="336"/>
      <c r="LB309" s="336"/>
      <c r="LC309" s="336"/>
      <c r="LD309" s="336"/>
      <c r="LE309" s="336"/>
      <c r="LF309" s="336"/>
      <c r="LG309" s="336"/>
      <c r="LH309" s="336"/>
      <c r="LI309" s="336"/>
      <c r="LJ309" s="336"/>
      <c r="LK309" s="336"/>
      <c r="LL309" s="336"/>
      <c r="LM309" s="336"/>
      <c r="LN309" s="336"/>
      <c r="LO309" s="336"/>
      <c r="LP309" s="336"/>
      <c r="LQ309" s="337"/>
      <c r="MN309" s="10"/>
      <c r="OA309" s="10"/>
    </row>
    <row r="310" spans="1:391" s="370" customFormat="1" x14ac:dyDescent="0.25">
      <c r="A310" s="68"/>
      <c r="B310" s="10"/>
      <c r="C310" s="68"/>
      <c r="D310" s="68"/>
      <c r="E310" s="68"/>
      <c r="F310" s="68"/>
      <c r="G310" s="68"/>
      <c r="H310" s="68"/>
      <c r="I310" s="68"/>
      <c r="J310" s="68"/>
      <c r="K310" s="68"/>
      <c r="L310" s="68"/>
      <c r="M310" s="68"/>
      <c r="N310" s="68"/>
      <c r="O310" s="68"/>
      <c r="P310" s="68"/>
      <c r="Q310" s="68"/>
      <c r="R310" s="68"/>
      <c r="S310" s="68"/>
      <c r="T310" s="70"/>
      <c r="AC310" s="68"/>
      <c r="AD310" s="70"/>
      <c r="AM310" s="68"/>
      <c r="AN310" s="70"/>
      <c r="AU310" s="68"/>
      <c r="AV310" s="70"/>
      <c r="BB310" s="68"/>
      <c r="BC310" s="70"/>
      <c r="BD310" s="68"/>
      <c r="BE310" s="68"/>
      <c r="BF310" s="68"/>
      <c r="BG310" s="68"/>
      <c r="BH310" s="68"/>
      <c r="BI310" s="68"/>
      <c r="BJ310" s="70"/>
      <c r="BM310" s="68"/>
      <c r="BN310" s="70"/>
      <c r="BT310" s="68"/>
      <c r="BU310" s="70"/>
      <c r="BZ310" s="10"/>
      <c r="CF310" s="10"/>
      <c r="CI310" s="389"/>
      <c r="CJ310" s="389"/>
      <c r="CK310" s="68"/>
      <c r="CL310" s="70"/>
      <c r="CO310" s="10"/>
      <c r="CU310" s="10"/>
      <c r="DA310" s="10"/>
      <c r="DB310" s="70"/>
      <c r="DC310" s="70"/>
      <c r="DF310" s="68"/>
      <c r="DG310" s="70"/>
      <c r="DH310" s="68"/>
      <c r="DI310" s="386"/>
      <c r="DJ310" s="425"/>
      <c r="DL310" s="68"/>
      <c r="DM310" s="70"/>
      <c r="DQ310" s="68"/>
      <c r="DR310" s="70"/>
      <c r="DS310" s="338"/>
      <c r="DT310" s="338"/>
      <c r="DU310" s="338"/>
      <c r="DW310" s="338"/>
      <c r="DX310" s="338"/>
      <c r="DY310" s="338"/>
      <c r="EA310" s="338"/>
      <c r="EB310" s="338"/>
      <c r="EC310" s="338"/>
      <c r="EE310" s="338"/>
      <c r="EF310" s="338"/>
      <c r="EG310" s="338"/>
      <c r="EI310" s="336"/>
      <c r="EJ310" s="336"/>
      <c r="EK310" s="336"/>
      <c r="EL310" s="336"/>
      <c r="EM310" s="336"/>
      <c r="EN310" s="336"/>
      <c r="EO310" s="337"/>
      <c r="EP310" s="342"/>
      <c r="EQ310" s="336"/>
      <c r="ER310" s="342"/>
      <c r="ES310" s="336"/>
      <c r="ET310" s="342"/>
      <c r="EU310" s="336"/>
      <c r="EV310" s="342"/>
      <c r="EW310" s="336"/>
      <c r="EX310" s="342"/>
      <c r="EY310" s="342"/>
      <c r="EZ310" s="342"/>
      <c r="FA310" s="337"/>
      <c r="FE310" s="338"/>
      <c r="FH310" s="338"/>
      <c r="FI310" s="338"/>
      <c r="FJ310" s="338"/>
      <c r="FK310" s="338"/>
      <c r="FL310" s="338"/>
      <c r="FM310" s="337"/>
      <c r="FN310" s="336"/>
      <c r="FO310" s="336"/>
      <c r="FP310" s="336"/>
      <c r="FQ310" s="336"/>
      <c r="FR310" s="336"/>
      <c r="FS310" s="336"/>
      <c r="FT310" s="336"/>
      <c r="FU310" s="336"/>
      <c r="FV310" s="336"/>
      <c r="FW310" s="337"/>
      <c r="FX310" s="532"/>
      <c r="FY310" s="341"/>
      <c r="FZ310" s="341"/>
      <c r="GA310" s="336"/>
      <c r="GB310" s="341"/>
      <c r="GC310" s="341"/>
      <c r="GD310" s="341"/>
      <c r="GE310" s="336"/>
      <c r="GF310" s="336"/>
      <c r="GG310" s="336"/>
      <c r="GH310" s="336"/>
      <c r="GI310" s="336"/>
      <c r="GJ310" s="337"/>
      <c r="GM310" s="338"/>
      <c r="GN310" s="338"/>
      <c r="GO310" s="338"/>
      <c r="GS310" s="338"/>
      <c r="GT310" s="338"/>
      <c r="GU310" s="338"/>
      <c r="GY310" s="338"/>
      <c r="GZ310" s="338"/>
      <c r="HA310" s="338"/>
      <c r="HE310" s="338"/>
      <c r="HF310" s="338"/>
      <c r="HG310" s="338"/>
      <c r="HN310" s="68"/>
      <c r="HO310" s="68"/>
      <c r="HP310" s="68"/>
      <c r="HQ310" s="336"/>
      <c r="HR310" s="68"/>
      <c r="HS310" s="68"/>
      <c r="HT310" s="10"/>
      <c r="HW310" s="338"/>
      <c r="HX310" s="338"/>
      <c r="HY310" s="338"/>
      <c r="IC310" s="338"/>
      <c r="ID310" s="338"/>
      <c r="IE310" s="338"/>
      <c r="II310" s="338"/>
      <c r="IJ310" s="338"/>
      <c r="IK310" s="338"/>
      <c r="IO310" s="338"/>
      <c r="IP310" s="338"/>
      <c r="IQ310" s="338"/>
      <c r="IX310" s="68"/>
      <c r="IY310" s="68"/>
      <c r="IZ310" s="68"/>
      <c r="JA310" s="68"/>
      <c r="JB310" s="68"/>
      <c r="JC310" s="68"/>
      <c r="JD310" s="10"/>
      <c r="JG310" s="338"/>
      <c r="JH310" s="338"/>
      <c r="JI310" s="338"/>
      <c r="JM310" s="338"/>
      <c r="JN310" s="338"/>
      <c r="JQ310" s="338"/>
      <c r="JR310" s="338"/>
      <c r="JS310" s="338"/>
      <c r="JW310" s="358"/>
      <c r="JX310" s="336"/>
      <c r="JY310" s="336"/>
      <c r="JZ310" s="336"/>
      <c r="KA310" s="336"/>
      <c r="KB310" s="336"/>
      <c r="KC310" s="336"/>
      <c r="KD310" s="336"/>
      <c r="KE310" s="336"/>
      <c r="KF310" s="336"/>
      <c r="KG310" s="337"/>
      <c r="KH310" s="338"/>
      <c r="KI310" s="338"/>
      <c r="KJ310" s="338"/>
      <c r="KK310" s="338"/>
      <c r="KL310" s="338"/>
      <c r="KM310" s="338"/>
      <c r="KN310" s="338"/>
      <c r="KO310" s="338"/>
      <c r="KP310" s="338"/>
      <c r="KQ310" s="338"/>
      <c r="KR310" s="338"/>
      <c r="KS310" s="338"/>
      <c r="KT310" s="338"/>
      <c r="KU310" s="338"/>
      <c r="KV310" s="338"/>
      <c r="KW310" s="337"/>
      <c r="KX310" s="336"/>
      <c r="KY310" s="336"/>
      <c r="KZ310" s="336"/>
      <c r="LA310" s="336"/>
      <c r="LB310" s="336"/>
      <c r="LC310" s="336"/>
      <c r="LD310" s="336"/>
      <c r="LE310" s="336"/>
      <c r="LF310" s="336"/>
      <c r="LG310" s="336"/>
      <c r="LH310" s="336"/>
      <c r="LI310" s="336"/>
      <c r="LJ310" s="336"/>
      <c r="LK310" s="336"/>
      <c r="LL310" s="336"/>
      <c r="LM310" s="336"/>
      <c r="LN310" s="336"/>
      <c r="LO310" s="336"/>
      <c r="LP310" s="336"/>
      <c r="LQ310" s="337"/>
      <c r="MN310" s="10"/>
      <c r="OA310" s="10"/>
    </row>
    <row r="311" spans="1:391" s="370" customFormat="1" x14ac:dyDescent="0.25">
      <c r="A311" s="68"/>
      <c r="B311" s="10"/>
      <c r="C311" s="68"/>
      <c r="D311" s="68"/>
      <c r="E311" s="68"/>
      <c r="F311" s="68"/>
      <c r="G311" s="68"/>
      <c r="H311" s="68"/>
      <c r="I311" s="68"/>
      <c r="J311" s="68"/>
      <c r="K311" s="68"/>
      <c r="L311" s="68"/>
      <c r="M311" s="68"/>
      <c r="N311" s="68"/>
      <c r="O311" s="68"/>
      <c r="P311" s="68"/>
      <c r="Q311" s="68"/>
      <c r="R311" s="68"/>
      <c r="S311" s="68"/>
      <c r="T311" s="70"/>
      <c r="AC311" s="68"/>
      <c r="AD311" s="70"/>
      <c r="AM311" s="68"/>
      <c r="AN311" s="70"/>
      <c r="AU311" s="68"/>
      <c r="AV311" s="70"/>
      <c r="BB311" s="68"/>
      <c r="BC311" s="70"/>
      <c r="BD311" s="68"/>
      <c r="BE311" s="68"/>
      <c r="BF311" s="68"/>
      <c r="BG311" s="68"/>
      <c r="BH311" s="68"/>
      <c r="BI311" s="68"/>
      <c r="BJ311" s="70"/>
      <c r="BM311" s="68"/>
      <c r="BN311" s="70"/>
      <c r="BT311" s="68"/>
      <c r="BU311" s="70"/>
      <c r="BZ311" s="10"/>
      <c r="CF311" s="10"/>
      <c r="CI311" s="389"/>
      <c r="CJ311" s="389"/>
      <c r="CK311" s="68"/>
      <c r="CL311" s="70"/>
      <c r="CO311" s="10"/>
      <c r="CU311" s="10"/>
      <c r="DA311" s="10"/>
      <c r="DB311" s="70"/>
      <c r="DC311" s="70"/>
      <c r="DF311" s="68"/>
      <c r="DG311" s="70"/>
      <c r="DH311" s="68"/>
      <c r="DI311" s="386"/>
      <c r="DJ311" s="425"/>
      <c r="DL311" s="68"/>
      <c r="DM311" s="70"/>
      <c r="DQ311" s="68"/>
      <c r="DR311" s="70"/>
      <c r="DS311" s="338"/>
      <c r="DT311" s="338"/>
      <c r="DU311" s="338"/>
      <c r="DW311" s="338"/>
      <c r="DX311" s="338"/>
      <c r="DY311" s="338"/>
      <c r="EA311" s="338"/>
      <c r="EB311" s="338"/>
      <c r="EC311" s="338"/>
      <c r="EE311" s="338"/>
      <c r="EF311" s="338"/>
      <c r="EG311" s="338"/>
      <c r="EI311" s="336"/>
      <c r="EJ311" s="336"/>
      <c r="EK311" s="336"/>
      <c r="EL311" s="336"/>
      <c r="EM311" s="336"/>
      <c r="EN311" s="336"/>
      <c r="EO311" s="337"/>
      <c r="EP311" s="342"/>
      <c r="EQ311" s="336"/>
      <c r="ER311" s="342"/>
      <c r="ES311" s="336"/>
      <c r="ET311" s="342"/>
      <c r="EU311" s="336"/>
      <c r="EV311" s="342"/>
      <c r="EW311" s="336"/>
      <c r="EX311" s="342"/>
      <c r="EY311" s="342"/>
      <c r="EZ311" s="342"/>
      <c r="FA311" s="337"/>
      <c r="FE311" s="338"/>
      <c r="FH311" s="338"/>
      <c r="FI311" s="338"/>
      <c r="FJ311" s="338"/>
      <c r="FK311" s="338"/>
      <c r="FL311" s="338"/>
      <c r="FM311" s="337"/>
      <c r="FN311" s="336"/>
      <c r="FO311" s="336"/>
      <c r="FP311" s="336"/>
      <c r="FQ311" s="336"/>
      <c r="FR311" s="336"/>
      <c r="FS311" s="336"/>
      <c r="FT311" s="336"/>
      <c r="FU311" s="336"/>
      <c r="FV311" s="336"/>
      <c r="FW311" s="337"/>
      <c r="FX311" s="532"/>
      <c r="FY311" s="341"/>
      <c r="FZ311" s="341"/>
      <c r="GA311" s="336"/>
      <c r="GB311" s="341"/>
      <c r="GC311" s="341"/>
      <c r="GD311" s="341"/>
      <c r="GE311" s="336"/>
      <c r="GF311" s="336"/>
      <c r="GG311" s="336"/>
      <c r="GH311" s="336"/>
      <c r="GI311" s="336"/>
      <c r="GJ311" s="337"/>
      <c r="GM311" s="338"/>
      <c r="GN311" s="338"/>
      <c r="GO311" s="338"/>
      <c r="GS311" s="338"/>
      <c r="GT311" s="338"/>
      <c r="GU311" s="338"/>
      <c r="GY311" s="338"/>
      <c r="GZ311" s="338"/>
      <c r="HA311" s="338"/>
      <c r="HE311" s="338"/>
      <c r="HF311" s="338"/>
      <c r="HG311" s="338"/>
      <c r="HN311" s="68"/>
      <c r="HO311" s="68"/>
      <c r="HP311" s="68"/>
      <c r="HQ311" s="336"/>
      <c r="HR311" s="68"/>
      <c r="HS311" s="68"/>
      <c r="HT311" s="10"/>
      <c r="HW311" s="338"/>
      <c r="HX311" s="338"/>
      <c r="HY311" s="338"/>
      <c r="IC311" s="338"/>
      <c r="ID311" s="338"/>
      <c r="IE311" s="338"/>
      <c r="II311" s="338"/>
      <c r="IJ311" s="338"/>
      <c r="IK311" s="338"/>
      <c r="IO311" s="338"/>
      <c r="IP311" s="338"/>
      <c r="IQ311" s="338"/>
      <c r="IX311" s="68"/>
      <c r="IY311" s="68"/>
      <c r="IZ311" s="68"/>
      <c r="JA311" s="68"/>
      <c r="JB311" s="68"/>
      <c r="JC311" s="68"/>
      <c r="JD311" s="10"/>
      <c r="JG311" s="338"/>
      <c r="JH311" s="338"/>
      <c r="JI311" s="338"/>
      <c r="JM311" s="338"/>
      <c r="JN311" s="338"/>
      <c r="JQ311" s="338"/>
      <c r="JR311" s="338"/>
      <c r="JS311" s="338"/>
      <c r="JW311" s="358"/>
      <c r="JX311" s="336"/>
      <c r="JY311" s="336"/>
      <c r="JZ311" s="336"/>
      <c r="KA311" s="336"/>
      <c r="KB311" s="336"/>
      <c r="KC311" s="336"/>
      <c r="KD311" s="336"/>
      <c r="KE311" s="336"/>
      <c r="KF311" s="336"/>
      <c r="KG311" s="337"/>
      <c r="KH311" s="338"/>
      <c r="KI311" s="338"/>
      <c r="KJ311" s="338"/>
      <c r="KK311" s="338"/>
      <c r="KL311" s="338"/>
      <c r="KM311" s="338"/>
      <c r="KN311" s="338"/>
      <c r="KO311" s="338"/>
      <c r="KP311" s="338"/>
      <c r="KQ311" s="338"/>
      <c r="KR311" s="338"/>
      <c r="KS311" s="338"/>
      <c r="KT311" s="338"/>
      <c r="KU311" s="338"/>
      <c r="KV311" s="338"/>
      <c r="KW311" s="337"/>
      <c r="KX311" s="336"/>
      <c r="KY311" s="336"/>
      <c r="KZ311" s="336"/>
      <c r="LA311" s="336"/>
      <c r="LB311" s="336"/>
      <c r="LC311" s="336"/>
      <c r="LD311" s="336"/>
      <c r="LE311" s="336"/>
      <c r="LF311" s="336"/>
      <c r="LG311" s="336"/>
      <c r="LH311" s="336"/>
      <c r="LI311" s="336"/>
      <c r="LJ311" s="336"/>
      <c r="LK311" s="336"/>
      <c r="LL311" s="336"/>
      <c r="LM311" s="336"/>
      <c r="LN311" s="336"/>
      <c r="LO311" s="336"/>
      <c r="LP311" s="336"/>
      <c r="LQ311" s="337"/>
      <c r="MN311" s="10"/>
      <c r="OA311" s="10"/>
    </row>
    <row r="312" spans="1:391" s="370" customFormat="1" x14ac:dyDescent="0.25">
      <c r="A312" s="68"/>
      <c r="B312" s="10"/>
      <c r="C312" s="68"/>
      <c r="D312" s="68"/>
      <c r="E312" s="68"/>
      <c r="F312" s="68"/>
      <c r="G312" s="68"/>
      <c r="H312" s="68"/>
      <c r="I312" s="68"/>
      <c r="J312" s="68"/>
      <c r="K312" s="68"/>
      <c r="L312" s="68"/>
      <c r="M312" s="68"/>
      <c r="N312" s="68"/>
      <c r="O312" s="68"/>
      <c r="P312" s="68"/>
      <c r="Q312" s="68"/>
      <c r="R312" s="68"/>
      <c r="S312" s="68"/>
      <c r="T312" s="70"/>
      <c r="AC312" s="68"/>
      <c r="AD312" s="70"/>
      <c r="AM312" s="68"/>
      <c r="AN312" s="70"/>
      <c r="AU312" s="68"/>
      <c r="AV312" s="70"/>
      <c r="BB312" s="68"/>
      <c r="BC312" s="70"/>
      <c r="BD312" s="68"/>
      <c r="BE312" s="68"/>
      <c r="BF312" s="68"/>
      <c r="BG312" s="68"/>
      <c r="BH312" s="68"/>
      <c r="BI312" s="68"/>
      <c r="BJ312" s="70"/>
      <c r="BM312" s="68"/>
      <c r="BN312" s="70"/>
      <c r="BT312" s="68"/>
      <c r="BU312" s="70"/>
      <c r="BZ312" s="10"/>
      <c r="CF312" s="10"/>
      <c r="CI312" s="389"/>
      <c r="CJ312" s="389"/>
      <c r="CK312" s="68"/>
      <c r="CL312" s="70"/>
      <c r="CO312" s="10"/>
      <c r="CU312" s="10"/>
      <c r="DA312" s="10"/>
      <c r="DB312" s="70"/>
      <c r="DC312" s="70"/>
      <c r="DF312" s="68"/>
      <c r="DG312" s="70"/>
      <c r="DH312" s="68"/>
      <c r="DI312" s="386"/>
      <c r="DJ312" s="425"/>
      <c r="DL312" s="68"/>
      <c r="DM312" s="70"/>
      <c r="DQ312" s="68"/>
      <c r="DR312" s="70"/>
      <c r="DS312" s="338"/>
      <c r="DT312" s="338"/>
      <c r="DU312" s="338"/>
      <c r="DW312" s="338"/>
      <c r="DX312" s="338"/>
      <c r="DY312" s="338"/>
      <c r="EA312" s="338"/>
      <c r="EB312" s="338"/>
      <c r="EC312" s="338"/>
      <c r="EE312" s="338"/>
      <c r="EF312" s="338"/>
      <c r="EG312" s="338"/>
      <c r="EI312" s="336"/>
      <c r="EJ312" s="336"/>
      <c r="EK312" s="336"/>
      <c r="EL312" s="336"/>
      <c r="EM312" s="336"/>
      <c r="EN312" s="336"/>
      <c r="EO312" s="337"/>
      <c r="EP312" s="342"/>
      <c r="EQ312" s="336"/>
      <c r="ER312" s="342"/>
      <c r="ES312" s="336"/>
      <c r="ET312" s="342"/>
      <c r="EU312" s="336"/>
      <c r="EV312" s="342"/>
      <c r="EW312" s="336"/>
      <c r="EX312" s="342"/>
      <c r="EY312" s="342"/>
      <c r="EZ312" s="342"/>
      <c r="FA312" s="337"/>
      <c r="FE312" s="338"/>
      <c r="FH312" s="338"/>
      <c r="FI312" s="338"/>
      <c r="FJ312" s="338"/>
      <c r="FK312" s="338"/>
      <c r="FL312" s="338"/>
      <c r="FM312" s="337"/>
      <c r="FN312" s="336"/>
      <c r="FO312" s="336"/>
      <c r="FP312" s="336"/>
      <c r="FQ312" s="336"/>
      <c r="FR312" s="336"/>
      <c r="FS312" s="336"/>
      <c r="FT312" s="336"/>
      <c r="FU312" s="336"/>
      <c r="FV312" s="336"/>
      <c r="FW312" s="337"/>
      <c r="FX312" s="532"/>
      <c r="FY312" s="341"/>
      <c r="FZ312" s="341"/>
      <c r="GA312" s="336"/>
      <c r="GB312" s="341"/>
      <c r="GC312" s="341"/>
      <c r="GD312" s="341"/>
      <c r="GE312" s="336"/>
      <c r="GF312" s="336"/>
      <c r="GG312" s="336"/>
      <c r="GH312" s="336"/>
      <c r="GI312" s="336"/>
      <c r="GJ312" s="337"/>
      <c r="GM312" s="338"/>
      <c r="GN312" s="338"/>
      <c r="GO312" s="338"/>
      <c r="GS312" s="338"/>
      <c r="GT312" s="338"/>
      <c r="GU312" s="338"/>
      <c r="GY312" s="338"/>
      <c r="GZ312" s="338"/>
      <c r="HA312" s="338"/>
      <c r="HE312" s="338"/>
      <c r="HF312" s="338"/>
      <c r="HG312" s="338"/>
      <c r="HN312" s="68"/>
      <c r="HO312" s="68"/>
      <c r="HP312" s="68"/>
      <c r="HQ312" s="336"/>
      <c r="HR312" s="68"/>
      <c r="HS312" s="68"/>
      <c r="HT312" s="10"/>
      <c r="HW312" s="338"/>
      <c r="HX312" s="338"/>
      <c r="HY312" s="338"/>
      <c r="IC312" s="338"/>
      <c r="ID312" s="338"/>
      <c r="IE312" s="338"/>
      <c r="II312" s="338"/>
      <c r="IJ312" s="338"/>
      <c r="IK312" s="338"/>
      <c r="IO312" s="338"/>
      <c r="IP312" s="338"/>
      <c r="IQ312" s="338"/>
      <c r="IX312" s="68"/>
      <c r="IY312" s="68"/>
      <c r="IZ312" s="68"/>
      <c r="JA312" s="68"/>
      <c r="JB312" s="68"/>
      <c r="JC312" s="68"/>
      <c r="JD312" s="10"/>
      <c r="JG312" s="338"/>
      <c r="JH312" s="338"/>
      <c r="JI312" s="338"/>
      <c r="JM312" s="338"/>
      <c r="JN312" s="338"/>
      <c r="JQ312" s="338"/>
      <c r="JR312" s="338"/>
      <c r="JS312" s="338"/>
      <c r="JW312" s="358"/>
      <c r="JX312" s="336"/>
      <c r="JY312" s="336"/>
      <c r="JZ312" s="336"/>
      <c r="KA312" s="336"/>
      <c r="KB312" s="336"/>
      <c r="KC312" s="336"/>
      <c r="KD312" s="336"/>
      <c r="KE312" s="336"/>
      <c r="KF312" s="336"/>
      <c r="KG312" s="337"/>
      <c r="KH312" s="338"/>
      <c r="KI312" s="338"/>
      <c r="KJ312" s="338"/>
      <c r="KK312" s="338"/>
      <c r="KL312" s="338"/>
      <c r="KM312" s="338"/>
      <c r="KN312" s="338"/>
      <c r="KO312" s="338"/>
      <c r="KP312" s="338"/>
      <c r="KQ312" s="338"/>
      <c r="KR312" s="338"/>
      <c r="KS312" s="338"/>
      <c r="KT312" s="338"/>
      <c r="KU312" s="338"/>
      <c r="KV312" s="338"/>
      <c r="KW312" s="337"/>
      <c r="KX312" s="336"/>
      <c r="KY312" s="336"/>
      <c r="KZ312" s="336"/>
      <c r="LA312" s="336"/>
      <c r="LB312" s="336"/>
      <c r="LC312" s="336"/>
      <c r="LD312" s="336"/>
      <c r="LE312" s="336"/>
      <c r="LF312" s="336"/>
      <c r="LG312" s="336"/>
      <c r="LH312" s="336"/>
      <c r="LI312" s="336"/>
      <c r="LJ312" s="336"/>
      <c r="LK312" s="336"/>
      <c r="LL312" s="336"/>
      <c r="LM312" s="336"/>
      <c r="LN312" s="336"/>
      <c r="LO312" s="336"/>
      <c r="LP312" s="336"/>
      <c r="LQ312" s="337"/>
      <c r="MN312" s="10"/>
      <c r="OA312" s="10"/>
    </row>
    <row r="313" spans="1:391" s="370" customFormat="1" x14ac:dyDescent="0.25">
      <c r="A313" s="68"/>
      <c r="B313" s="10"/>
      <c r="C313" s="68"/>
      <c r="D313" s="68"/>
      <c r="E313" s="68"/>
      <c r="F313" s="68"/>
      <c r="G313" s="68"/>
      <c r="H313" s="68"/>
      <c r="I313" s="68"/>
      <c r="J313" s="68"/>
      <c r="K313" s="68"/>
      <c r="L313" s="68"/>
      <c r="M313" s="68"/>
      <c r="N313" s="68"/>
      <c r="O313" s="68"/>
      <c r="P313" s="68"/>
      <c r="Q313" s="68"/>
      <c r="R313" s="68"/>
      <c r="S313" s="68"/>
      <c r="T313" s="70"/>
      <c r="AC313" s="68"/>
      <c r="AD313" s="70"/>
      <c r="AM313" s="68"/>
      <c r="AN313" s="70"/>
      <c r="AU313" s="68"/>
      <c r="AV313" s="70"/>
      <c r="BB313" s="68"/>
      <c r="BC313" s="70"/>
      <c r="BD313" s="68"/>
      <c r="BE313" s="68"/>
      <c r="BF313" s="68"/>
      <c r="BG313" s="68"/>
      <c r="BH313" s="68"/>
      <c r="BI313" s="68"/>
      <c r="BJ313" s="70"/>
      <c r="BM313" s="68"/>
      <c r="BN313" s="70"/>
      <c r="BT313" s="68"/>
      <c r="BU313" s="70"/>
      <c r="BZ313" s="10"/>
      <c r="CF313" s="10"/>
      <c r="CI313" s="389"/>
      <c r="CJ313" s="389"/>
      <c r="CK313" s="68"/>
      <c r="CL313" s="70"/>
      <c r="CO313" s="10"/>
      <c r="CU313" s="10"/>
      <c r="DA313" s="10"/>
      <c r="DB313" s="70"/>
      <c r="DC313" s="70"/>
      <c r="DF313" s="68"/>
      <c r="DG313" s="70"/>
      <c r="DH313" s="68"/>
      <c r="DI313" s="386"/>
      <c r="DJ313" s="425"/>
      <c r="DL313" s="68"/>
      <c r="DM313" s="70"/>
      <c r="DQ313" s="68"/>
      <c r="DR313" s="70"/>
      <c r="DS313" s="338"/>
      <c r="DT313" s="338"/>
      <c r="DU313" s="338"/>
      <c r="DW313" s="338"/>
      <c r="DX313" s="338"/>
      <c r="DY313" s="338"/>
      <c r="EA313" s="338"/>
      <c r="EB313" s="338"/>
      <c r="EC313" s="338"/>
      <c r="EE313" s="338"/>
      <c r="EF313" s="338"/>
      <c r="EG313" s="338"/>
      <c r="EI313" s="336"/>
      <c r="EJ313" s="336"/>
      <c r="EK313" s="336"/>
      <c r="EL313" s="336"/>
      <c r="EM313" s="336"/>
      <c r="EN313" s="336"/>
      <c r="EO313" s="337"/>
      <c r="EP313" s="342"/>
      <c r="EQ313" s="336"/>
      <c r="ER313" s="342"/>
      <c r="ES313" s="336"/>
      <c r="ET313" s="342"/>
      <c r="EU313" s="336"/>
      <c r="EV313" s="342"/>
      <c r="EW313" s="336"/>
      <c r="EX313" s="342"/>
      <c r="EY313" s="342"/>
      <c r="EZ313" s="342"/>
      <c r="FA313" s="337"/>
      <c r="FE313" s="338"/>
      <c r="FH313" s="338"/>
      <c r="FI313" s="338"/>
      <c r="FJ313" s="338"/>
      <c r="FK313" s="338"/>
      <c r="FL313" s="338"/>
      <c r="FM313" s="337"/>
      <c r="FN313" s="336"/>
      <c r="FO313" s="336"/>
      <c r="FP313" s="336"/>
      <c r="FQ313" s="336"/>
      <c r="FR313" s="336"/>
      <c r="FS313" s="336"/>
      <c r="FT313" s="336"/>
      <c r="FU313" s="336"/>
      <c r="FV313" s="336"/>
      <c r="FW313" s="337"/>
      <c r="FX313" s="532"/>
      <c r="FY313" s="341"/>
      <c r="FZ313" s="341"/>
      <c r="GA313" s="336"/>
      <c r="GB313" s="341"/>
      <c r="GC313" s="341"/>
      <c r="GD313" s="341"/>
      <c r="GE313" s="336"/>
      <c r="GF313" s="336"/>
      <c r="GG313" s="336"/>
      <c r="GH313" s="336"/>
      <c r="GI313" s="336"/>
      <c r="GJ313" s="337"/>
      <c r="GM313" s="338"/>
      <c r="GN313" s="338"/>
      <c r="GO313" s="338"/>
      <c r="GS313" s="338"/>
      <c r="GT313" s="338"/>
      <c r="GU313" s="338"/>
      <c r="GY313" s="338"/>
      <c r="GZ313" s="338"/>
      <c r="HA313" s="338"/>
      <c r="HE313" s="338"/>
      <c r="HF313" s="338"/>
      <c r="HG313" s="338"/>
      <c r="HN313" s="68"/>
      <c r="HO313" s="68"/>
      <c r="HP313" s="68"/>
      <c r="HQ313" s="336"/>
      <c r="HR313" s="68"/>
      <c r="HS313" s="68"/>
      <c r="HT313" s="10"/>
      <c r="HW313" s="338"/>
      <c r="HX313" s="338"/>
      <c r="HY313" s="338"/>
      <c r="IC313" s="338"/>
      <c r="ID313" s="338"/>
      <c r="IE313" s="338"/>
      <c r="II313" s="338"/>
      <c r="IJ313" s="338"/>
      <c r="IK313" s="338"/>
      <c r="IO313" s="338"/>
      <c r="IP313" s="338"/>
      <c r="IQ313" s="338"/>
      <c r="IX313" s="68"/>
      <c r="IY313" s="68"/>
      <c r="IZ313" s="68"/>
      <c r="JA313" s="68"/>
      <c r="JB313" s="68"/>
      <c r="JC313" s="68"/>
      <c r="JD313" s="10"/>
      <c r="JG313" s="338"/>
      <c r="JH313" s="338"/>
      <c r="JI313" s="338"/>
      <c r="JM313" s="338"/>
      <c r="JN313" s="338"/>
      <c r="JQ313" s="338"/>
      <c r="JR313" s="338"/>
      <c r="JS313" s="338"/>
      <c r="JW313" s="358"/>
      <c r="JX313" s="336"/>
      <c r="JY313" s="336"/>
      <c r="JZ313" s="336"/>
      <c r="KA313" s="336"/>
      <c r="KB313" s="336"/>
      <c r="KC313" s="336"/>
      <c r="KD313" s="336"/>
      <c r="KE313" s="336"/>
      <c r="KF313" s="336"/>
      <c r="KG313" s="337"/>
      <c r="KH313" s="338"/>
      <c r="KI313" s="338"/>
      <c r="KJ313" s="338"/>
      <c r="KK313" s="338"/>
      <c r="KL313" s="338"/>
      <c r="KM313" s="338"/>
      <c r="KN313" s="338"/>
      <c r="KO313" s="338"/>
      <c r="KP313" s="338"/>
      <c r="KQ313" s="338"/>
      <c r="KR313" s="338"/>
      <c r="KS313" s="338"/>
      <c r="KT313" s="338"/>
      <c r="KU313" s="338"/>
      <c r="KV313" s="338"/>
      <c r="KW313" s="337"/>
      <c r="KX313" s="336"/>
      <c r="KY313" s="336"/>
      <c r="KZ313" s="336"/>
      <c r="LA313" s="336"/>
      <c r="LB313" s="336"/>
      <c r="LC313" s="336"/>
      <c r="LD313" s="336"/>
      <c r="LE313" s="336"/>
      <c r="LF313" s="336"/>
      <c r="LG313" s="336"/>
      <c r="LH313" s="336"/>
      <c r="LI313" s="336"/>
      <c r="LJ313" s="336"/>
      <c r="LK313" s="336"/>
      <c r="LL313" s="336"/>
      <c r="LM313" s="336"/>
      <c r="LN313" s="336"/>
      <c r="LO313" s="336"/>
      <c r="LP313" s="336"/>
      <c r="LQ313" s="337"/>
      <c r="MN313" s="10"/>
      <c r="OA313" s="10"/>
    </row>
    <row r="314" spans="1:391" s="370" customFormat="1" x14ac:dyDescent="0.25">
      <c r="A314" s="68"/>
      <c r="B314" s="10"/>
      <c r="C314" s="68"/>
      <c r="D314" s="68"/>
      <c r="E314" s="68"/>
      <c r="F314" s="68"/>
      <c r="G314" s="68"/>
      <c r="H314" s="68"/>
      <c r="I314" s="68"/>
      <c r="J314" s="68"/>
      <c r="K314" s="68"/>
      <c r="L314" s="68"/>
      <c r="M314" s="68"/>
      <c r="N314" s="68"/>
      <c r="O314" s="68"/>
      <c r="P314" s="68"/>
      <c r="Q314" s="68"/>
      <c r="R314" s="68"/>
      <c r="S314" s="68"/>
      <c r="T314" s="70"/>
      <c r="AC314" s="68"/>
      <c r="AD314" s="70"/>
      <c r="AM314" s="68"/>
      <c r="AN314" s="70"/>
      <c r="AU314" s="68"/>
      <c r="AV314" s="70"/>
      <c r="BB314" s="68"/>
      <c r="BC314" s="70"/>
      <c r="BD314" s="68"/>
      <c r="BE314" s="68"/>
      <c r="BF314" s="68"/>
      <c r="BG314" s="68"/>
      <c r="BH314" s="68"/>
      <c r="BI314" s="68"/>
      <c r="BJ314" s="70"/>
      <c r="BM314" s="68"/>
      <c r="BN314" s="70"/>
      <c r="BT314" s="68"/>
      <c r="BU314" s="70"/>
      <c r="BZ314" s="10"/>
      <c r="CF314" s="10"/>
      <c r="CI314" s="389"/>
      <c r="CJ314" s="389"/>
      <c r="CK314" s="68"/>
      <c r="CL314" s="70"/>
      <c r="CO314" s="10"/>
      <c r="CU314" s="10"/>
      <c r="DA314" s="10"/>
      <c r="DB314" s="70"/>
      <c r="DC314" s="70"/>
      <c r="DF314" s="68"/>
      <c r="DG314" s="70"/>
      <c r="DH314" s="68"/>
      <c r="DI314" s="386"/>
      <c r="DJ314" s="425"/>
      <c r="DL314" s="68"/>
      <c r="DM314" s="70"/>
      <c r="DQ314" s="68"/>
      <c r="DR314" s="70"/>
      <c r="DS314" s="338"/>
      <c r="DT314" s="338"/>
      <c r="DU314" s="338"/>
      <c r="DW314" s="338"/>
      <c r="DX314" s="338"/>
      <c r="DY314" s="338"/>
      <c r="EA314" s="338"/>
      <c r="EB314" s="338"/>
      <c r="EC314" s="338"/>
      <c r="EE314" s="338"/>
      <c r="EF314" s="338"/>
      <c r="EG314" s="338"/>
      <c r="EI314" s="336"/>
      <c r="EJ314" s="336"/>
      <c r="EK314" s="336"/>
      <c r="EL314" s="336"/>
      <c r="EM314" s="336"/>
      <c r="EN314" s="336"/>
      <c r="EO314" s="337"/>
      <c r="EP314" s="342"/>
      <c r="EQ314" s="336"/>
      <c r="ER314" s="342"/>
      <c r="ES314" s="336"/>
      <c r="ET314" s="342"/>
      <c r="EU314" s="336"/>
      <c r="EV314" s="342"/>
      <c r="EW314" s="336"/>
      <c r="EX314" s="342"/>
      <c r="EY314" s="342"/>
      <c r="EZ314" s="342"/>
      <c r="FA314" s="337"/>
      <c r="FE314" s="338"/>
      <c r="FH314" s="338"/>
      <c r="FI314" s="338"/>
      <c r="FJ314" s="338"/>
      <c r="FK314" s="338"/>
      <c r="FL314" s="338"/>
      <c r="FM314" s="337"/>
      <c r="FN314" s="336"/>
      <c r="FO314" s="336"/>
      <c r="FP314" s="336"/>
      <c r="FQ314" s="336"/>
      <c r="FR314" s="336"/>
      <c r="FS314" s="336"/>
      <c r="FT314" s="336"/>
      <c r="FU314" s="336"/>
      <c r="FV314" s="336"/>
      <c r="FW314" s="337"/>
      <c r="FX314" s="532"/>
      <c r="FY314" s="341"/>
      <c r="FZ314" s="341"/>
      <c r="GA314" s="336"/>
      <c r="GB314" s="341"/>
      <c r="GC314" s="341"/>
      <c r="GD314" s="341"/>
      <c r="GE314" s="336"/>
      <c r="GF314" s="336"/>
      <c r="GG314" s="336"/>
      <c r="GH314" s="336"/>
      <c r="GI314" s="336"/>
      <c r="GJ314" s="337"/>
      <c r="GM314" s="338"/>
      <c r="GN314" s="338"/>
      <c r="GO314" s="338"/>
      <c r="GS314" s="338"/>
      <c r="GT314" s="338"/>
      <c r="GU314" s="338"/>
      <c r="GY314" s="338"/>
      <c r="GZ314" s="338"/>
      <c r="HA314" s="338"/>
      <c r="HE314" s="338"/>
      <c r="HF314" s="338"/>
      <c r="HG314" s="338"/>
      <c r="HN314" s="68"/>
      <c r="HO314" s="68"/>
      <c r="HP314" s="68"/>
      <c r="HQ314" s="336"/>
      <c r="HR314" s="68"/>
      <c r="HS314" s="68"/>
      <c r="HT314" s="10"/>
      <c r="HW314" s="338"/>
      <c r="HX314" s="338"/>
      <c r="HY314" s="338"/>
      <c r="IC314" s="338"/>
      <c r="ID314" s="338"/>
      <c r="IE314" s="338"/>
      <c r="II314" s="338"/>
      <c r="IJ314" s="338"/>
      <c r="IK314" s="338"/>
      <c r="IO314" s="338"/>
      <c r="IP314" s="338"/>
      <c r="IQ314" s="338"/>
      <c r="IX314" s="68"/>
      <c r="IY314" s="68"/>
      <c r="IZ314" s="68"/>
      <c r="JA314" s="68"/>
      <c r="JB314" s="68"/>
      <c r="JC314" s="68"/>
      <c r="JD314" s="10"/>
      <c r="JG314" s="338"/>
      <c r="JH314" s="338"/>
      <c r="JI314" s="338"/>
      <c r="JM314" s="338"/>
      <c r="JN314" s="338"/>
      <c r="JQ314" s="338"/>
      <c r="JR314" s="338"/>
      <c r="JS314" s="338"/>
      <c r="JW314" s="358"/>
      <c r="JX314" s="336"/>
      <c r="JY314" s="336"/>
      <c r="JZ314" s="336"/>
      <c r="KA314" s="336"/>
      <c r="KB314" s="336"/>
      <c r="KC314" s="336"/>
      <c r="KD314" s="336"/>
      <c r="KE314" s="336"/>
      <c r="KF314" s="336"/>
      <c r="KG314" s="337"/>
      <c r="KH314" s="338"/>
      <c r="KI314" s="338"/>
      <c r="KJ314" s="338"/>
      <c r="KK314" s="338"/>
      <c r="KL314" s="338"/>
      <c r="KM314" s="338"/>
      <c r="KN314" s="338"/>
      <c r="KO314" s="338"/>
      <c r="KP314" s="338"/>
      <c r="KQ314" s="338"/>
      <c r="KR314" s="338"/>
      <c r="KS314" s="338"/>
      <c r="KT314" s="338"/>
      <c r="KU314" s="338"/>
      <c r="KV314" s="338"/>
      <c r="KW314" s="337"/>
      <c r="KX314" s="336"/>
      <c r="KY314" s="336"/>
      <c r="KZ314" s="336"/>
      <c r="LA314" s="336"/>
      <c r="LB314" s="336"/>
      <c r="LC314" s="336"/>
      <c r="LD314" s="336"/>
      <c r="LE314" s="336"/>
      <c r="LF314" s="336"/>
      <c r="LG314" s="336"/>
      <c r="LH314" s="336"/>
      <c r="LI314" s="336"/>
      <c r="LJ314" s="336"/>
      <c r="LK314" s="336"/>
      <c r="LL314" s="336"/>
      <c r="LM314" s="336"/>
      <c r="LN314" s="336"/>
      <c r="LO314" s="336"/>
      <c r="LP314" s="336"/>
      <c r="LQ314" s="337"/>
      <c r="MN314" s="10"/>
      <c r="OA314" s="10"/>
    </row>
    <row r="315" spans="1:391" s="370" customFormat="1" x14ac:dyDescent="0.25">
      <c r="A315" s="68"/>
      <c r="B315" s="10"/>
      <c r="C315" s="68"/>
      <c r="D315" s="68"/>
      <c r="E315" s="68"/>
      <c r="F315" s="68"/>
      <c r="G315" s="68"/>
      <c r="H315" s="68"/>
      <c r="I315" s="68"/>
      <c r="J315" s="68"/>
      <c r="K315" s="68"/>
      <c r="L315" s="68"/>
      <c r="M315" s="68"/>
      <c r="N315" s="68"/>
      <c r="O315" s="68"/>
      <c r="P315" s="68"/>
      <c r="Q315" s="68"/>
      <c r="R315" s="68"/>
      <c r="S315" s="68"/>
      <c r="T315" s="70"/>
      <c r="AC315" s="68"/>
      <c r="AD315" s="70"/>
      <c r="AM315" s="68"/>
      <c r="AN315" s="70"/>
      <c r="AU315" s="68"/>
      <c r="AV315" s="70"/>
      <c r="BB315" s="68"/>
      <c r="BC315" s="70"/>
      <c r="BD315" s="68"/>
      <c r="BE315" s="68"/>
      <c r="BF315" s="68"/>
      <c r="BG315" s="68"/>
      <c r="BH315" s="68"/>
      <c r="BI315" s="68"/>
      <c r="BJ315" s="70"/>
      <c r="BM315" s="68"/>
      <c r="BN315" s="70"/>
      <c r="BT315" s="68"/>
      <c r="BU315" s="70"/>
      <c r="BZ315" s="10"/>
      <c r="CF315" s="10"/>
      <c r="CI315" s="389"/>
      <c r="CJ315" s="389"/>
      <c r="CK315" s="68"/>
      <c r="CL315" s="70"/>
      <c r="CO315" s="10"/>
      <c r="CU315" s="10"/>
      <c r="DA315" s="10"/>
      <c r="DB315" s="70"/>
      <c r="DC315" s="70"/>
      <c r="DF315" s="68"/>
      <c r="DG315" s="70"/>
      <c r="DH315" s="68"/>
      <c r="DI315" s="386"/>
      <c r="DJ315" s="425"/>
      <c r="DL315" s="68"/>
      <c r="DM315" s="70"/>
      <c r="DQ315" s="68"/>
      <c r="DR315" s="70"/>
      <c r="DS315" s="338"/>
      <c r="DT315" s="338"/>
      <c r="DU315" s="338"/>
      <c r="DW315" s="338"/>
      <c r="DX315" s="338"/>
      <c r="DY315" s="338"/>
      <c r="EA315" s="338"/>
      <c r="EB315" s="338"/>
      <c r="EC315" s="338"/>
      <c r="EE315" s="338"/>
      <c r="EF315" s="338"/>
      <c r="EG315" s="338"/>
      <c r="EI315" s="336"/>
      <c r="EJ315" s="336"/>
      <c r="EK315" s="336"/>
      <c r="EL315" s="336"/>
      <c r="EM315" s="336"/>
      <c r="EN315" s="336"/>
      <c r="EO315" s="337"/>
      <c r="EP315" s="342"/>
      <c r="EQ315" s="336"/>
      <c r="ER315" s="342"/>
      <c r="ES315" s="336"/>
      <c r="ET315" s="342"/>
      <c r="EU315" s="336"/>
      <c r="EV315" s="342"/>
      <c r="EW315" s="336"/>
      <c r="EX315" s="342"/>
      <c r="EY315" s="342"/>
      <c r="EZ315" s="342"/>
      <c r="FA315" s="337"/>
      <c r="FE315" s="338"/>
      <c r="FH315" s="338"/>
      <c r="FI315" s="338"/>
      <c r="FJ315" s="338"/>
      <c r="FK315" s="338"/>
      <c r="FL315" s="338"/>
      <c r="FM315" s="337"/>
      <c r="FN315" s="336"/>
      <c r="FO315" s="336"/>
      <c r="FP315" s="336"/>
      <c r="FQ315" s="336"/>
      <c r="FR315" s="336"/>
      <c r="FS315" s="336"/>
      <c r="FT315" s="336"/>
      <c r="FU315" s="336"/>
      <c r="FV315" s="336"/>
      <c r="FW315" s="337"/>
      <c r="FX315" s="532"/>
      <c r="FY315" s="341"/>
      <c r="FZ315" s="341"/>
      <c r="GA315" s="336"/>
      <c r="GB315" s="341"/>
      <c r="GC315" s="341"/>
      <c r="GD315" s="341"/>
      <c r="GE315" s="336"/>
      <c r="GF315" s="336"/>
      <c r="GG315" s="336"/>
      <c r="GH315" s="336"/>
      <c r="GI315" s="336"/>
      <c r="GJ315" s="337"/>
      <c r="GM315" s="338"/>
      <c r="GN315" s="338"/>
      <c r="GO315" s="338"/>
      <c r="GS315" s="338"/>
      <c r="GT315" s="338"/>
      <c r="GU315" s="338"/>
      <c r="GY315" s="338"/>
      <c r="GZ315" s="338"/>
      <c r="HA315" s="338"/>
      <c r="HE315" s="338"/>
      <c r="HF315" s="338"/>
      <c r="HG315" s="338"/>
      <c r="HN315" s="68"/>
      <c r="HO315" s="68"/>
      <c r="HP315" s="68"/>
      <c r="HQ315" s="336"/>
      <c r="HR315" s="68"/>
      <c r="HS315" s="68"/>
      <c r="HT315" s="10"/>
      <c r="HW315" s="338"/>
      <c r="HX315" s="338"/>
      <c r="HY315" s="338"/>
      <c r="IC315" s="338"/>
      <c r="ID315" s="338"/>
      <c r="IE315" s="338"/>
      <c r="II315" s="338"/>
      <c r="IJ315" s="338"/>
      <c r="IK315" s="338"/>
      <c r="IO315" s="338"/>
      <c r="IP315" s="338"/>
      <c r="IQ315" s="338"/>
      <c r="IX315" s="68"/>
      <c r="IY315" s="68"/>
      <c r="IZ315" s="68"/>
      <c r="JA315" s="68"/>
      <c r="JB315" s="68"/>
      <c r="JC315" s="68"/>
      <c r="JD315" s="10"/>
      <c r="JG315" s="338"/>
      <c r="JH315" s="338"/>
      <c r="JI315" s="338"/>
      <c r="JM315" s="338"/>
      <c r="JN315" s="338"/>
      <c r="JQ315" s="338"/>
      <c r="JR315" s="338"/>
      <c r="JS315" s="338"/>
      <c r="JW315" s="358"/>
      <c r="JX315" s="336"/>
      <c r="JY315" s="336"/>
      <c r="JZ315" s="336"/>
      <c r="KA315" s="336"/>
      <c r="KB315" s="336"/>
      <c r="KC315" s="336"/>
      <c r="KD315" s="336"/>
      <c r="KE315" s="336"/>
      <c r="KF315" s="336"/>
      <c r="KG315" s="337"/>
      <c r="KH315" s="338"/>
      <c r="KI315" s="338"/>
      <c r="KJ315" s="338"/>
      <c r="KK315" s="338"/>
      <c r="KL315" s="338"/>
      <c r="KM315" s="338"/>
      <c r="KN315" s="338"/>
      <c r="KO315" s="338"/>
      <c r="KP315" s="338"/>
      <c r="KQ315" s="338"/>
      <c r="KR315" s="338"/>
      <c r="KS315" s="338"/>
      <c r="KT315" s="338"/>
      <c r="KU315" s="338"/>
      <c r="KV315" s="338"/>
      <c r="KW315" s="337"/>
      <c r="KX315" s="336"/>
      <c r="KY315" s="336"/>
      <c r="KZ315" s="336"/>
      <c r="LA315" s="336"/>
      <c r="LB315" s="336"/>
      <c r="LC315" s="336"/>
      <c r="LD315" s="336"/>
      <c r="LE315" s="336"/>
      <c r="LF315" s="336"/>
      <c r="LG315" s="336"/>
      <c r="LH315" s="336"/>
      <c r="LI315" s="336"/>
      <c r="LJ315" s="336"/>
      <c r="LK315" s="336"/>
      <c r="LL315" s="336"/>
      <c r="LM315" s="336"/>
      <c r="LN315" s="336"/>
      <c r="LO315" s="336"/>
      <c r="LP315" s="336"/>
      <c r="LQ315" s="337"/>
      <c r="MN315" s="10"/>
      <c r="OA315" s="10"/>
    </row>
    <row r="316" spans="1:391" s="370" customFormat="1" x14ac:dyDescent="0.25">
      <c r="A316" s="68"/>
      <c r="B316" s="10"/>
      <c r="C316" s="68"/>
      <c r="D316" s="68"/>
      <c r="E316" s="68"/>
      <c r="F316" s="68"/>
      <c r="G316" s="68"/>
      <c r="H316" s="68"/>
      <c r="I316" s="68"/>
      <c r="J316" s="68"/>
      <c r="K316" s="68"/>
      <c r="L316" s="68"/>
      <c r="M316" s="68"/>
      <c r="N316" s="68"/>
      <c r="O316" s="68"/>
      <c r="P316" s="68"/>
      <c r="Q316" s="68"/>
      <c r="R316" s="68"/>
      <c r="S316" s="68"/>
      <c r="T316" s="70"/>
      <c r="AC316" s="68"/>
      <c r="AD316" s="70"/>
      <c r="AM316" s="68"/>
      <c r="AN316" s="70"/>
      <c r="AU316" s="68"/>
      <c r="AV316" s="70"/>
      <c r="BB316" s="68"/>
      <c r="BC316" s="70"/>
      <c r="BD316" s="68"/>
      <c r="BE316" s="68"/>
      <c r="BF316" s="68"/>
      <c r="BG316" s="68"/>
      <c r="BH316" s="68"/>
      <c r="BI316" s="68"/>
      <c r="BJ316" s="70"/>
      <c r="BM316" s="68"/>
      <c r="BN316" s="70"/>
      <c r="BT316" s="68"/>
      <c r="BU316" s="70"/>
      <c r="BZ316" s="10"/>
      <c r="CF316" s="10"/>
      <c r="CI316" s="389"/>
      <c r="CJ316" s="389"/>
      <c r="CK316" s="68"/>
      <c r="CL316" s="70"/>
      <c r="CO316" s="10"/>
      <c r="CU316" s="10"/>
      <c r="DA316" s="10"/>
      <c r="DB316" s="70"/>
      <c r="DC316" s="70"/>
      <c r="DF316" s="68"/>
      <c r="DG316" s="70"/>
      <c r="DH316" s="68"/>
      <c r="DI316" s="386"/>
      <c r="DJ316" s="425"/>
      <c r="DL316" s="68"/>
      <c r="DM316" s="70"/>
      <c r="DQ316" s="68"/>
      <c r="DR316" s="70"/>
      <c r="DS316" s="338"/>
      <c r="DT316" s="338"/>
      <c r="DU316" s="338"/>
      <c r="DW316" s="338"/>
      <c r="DX316" s="338"/>
      <c r="DY316" s="338"/>
      <c r="EA316" s="338"/>
      <c r="EB316" s="338"/>
      <c r="EC316" s="338"/>
      <c r="EE316" s="338"/>
      <c r="EF316" s="338"/>
      <c r="EG316" s="338"/>
      <c r="EI316" s="336"/>
      <c r="EJ316" s="336"/>
      <c r="EK316" s="336"/>
      <c r="EL316" s="336"/>
      <c r="EM316" s="336"/>
      <c r="EN316" s="336"/>
      <c r="EO316" s="337"/>
      <c r="EP316" s="342"/>
      <c r="EQ316" s="336"/>
      <c r="ER316" s="342"/>
      <c r="ES316" s="336"/>
      <c r="ET316" s="342"/>
      <c r="EU316" s="336"/>
      <c r="EV316" s="342"/>
      <c r="EW316" s="336"/>
      <c r="EX316" s="342"/>
      <c r="EY316" s="342"/>
      <c r="EZ316" s="342"/>
      <c r="FA316" s="337"/>
      <c r="FE316" s="338"/>
      <c r="FH316" s="338"/>
      <c r="FI316" s="338"/>
      <c r="FJ316" s="338"/>
      <c r="FK316" s="338"/>
      <c r="FL316" s="338"/>
      <c r="FM316" s="337"/>
      <c r="FN316" s="336"/>
      <c r="FO316" s="336"/>
      <c r="FP316" s="336"/>
      <c r="FQ316" s="336"/>
      <c r="FR316" s="336"/>
      <c r="FS316" s="336"/>
      <c r="FT316" s="336"/>
      <c r="FU316" s="336"/>
      <c r="FV316" s="336"/>
      <c r="FW316" s="337"/>
      <c r="FX316" s="532"/>
      <c r="FY316" s="341"/>
      <c r="FZ316" s="341"/>
      <c r="GA316" s="336"/>
      <c r="GB316" s="341"/>
      <c r="GC316" s="341"/>
      <c r="GD316" s="341"/>
      <c r="GE316" s="336"/>
      <c r="GF316" s="336"/>
      <c r="GG316" s="336"/>
      <c r="GH316" s="336"/>
      <c r="GI316" s="336"/>
      <c r="GJ316" s="337"/>
      <c r="GM316" s="338"/>
      <c r="GN316" s="338"/>
      <c r="GO316" s="338"/>
      <c r="GS316" s="338"/>
      <c r="GT316" s="338"/>
      <c r="GU316" s="338"/>
      <c r="GY316" s="338"/>
      <c r="GZ316" s="338"/>
      <c r="HA316" s="338"/>
      <c r="HE316" s="338"/>
      <c r="HF316" s="338"/>
      <c r="HG316" s="338"/>
      <c r="HN316" s="68"/>
      <c r="HO316" s="68"/>
      <c r="HP316" s="68"/>
      <c r="HQ316" s="336"/>
      <c r="HR316" s="68"/>
      <c r="HS316" s="68"/>
      <c r="HT316" s="10"/>
      <c r="HW316" s="338"/>
      <c r="HX316" s="338"/>
      <c r="HY316" s="338"/>
      <c r="IC316" s="338"/>
      <c r="ID316" s="338"/>
      <c r="IE316" s="338"/>
      <c r="II316" s="338"/>
      <c r="IJ316" s="338"/>
      <c r="IK316" s="338"/>
      <c r="IO316" s="338"/>
      <c r="IP316" s="338"/>
      <c r="IQ316" s="338"/>
      <c r="IX316" s="68"/>
      <c r="IY316" s="68"/>
      <c r="IZ316" s="68"/>
      <c r="JA316" s="68"/>
      <c r="JB316" s="68"/>
      <c r="JC316" s="68"/>
      <c r="JD316" s="10"/>
      <c r="JG316" s="338"/>
      <c r="JH316" s="338"/>
      <c r="JI316" s="338"/>
      <c r="JM316" s="338"/>
      <c r="JN316" s="338"/>
      <c r="JQ316" s="338"/>
      <c r="JR316" s="338"/>
      <c r="JS316" s="338"/>
      <c r="JW316" s="358"/>
      <c r="JX316" s="336"/>
      <c r="JY316" s="336"/>
      <c r="JZ316" s="336"/>
      <c r="KA316" s="336"/>
      <c r="KB316" s="336"/>
      <c r="KC316" s="336"/>
      <c r="KD316" s="336"/>
      <c r="KE316" s="336"/>
      <c r="KF316" s="336"/>
      <c r="KG316" s="337"/>
      <c r="KH316" s="338"/>
      <c r="KI316" s="338"/>
      <c r="KJ316" s="338"/>
      <c r="KK316" s="338"/>
      <c r="KL316" s="338"/>
      <c r="KM316" s="338"/>
      <c r="KN316" s="338"/>
      <c r="KO316" s="338"/>
      <c r="KP316" s="338"/>
      <c r="KQ316" s="338"/>
      <c r="KR316" s="338"/>
      <c r="KS316" s="338"/>
      <c r="KT316" s="338"/>
      <c r="KU316" s="338"/>
      <c r="KV316" s="338"/>
      <c r="KW316" s="337"/>
      <c r="KX316" s="336"/>
      <c r="KY316" s="336"/>
      <c r="KZ316" s="336"/>
      <c r="LA316" s="336"/>
      <c r="LB316" s="336"/>
      <c r="LC316" s="336"/>
      <c r="LD316" s="336"/>
      <c r="LE316" s="336"/>
      <c r="LF316" s="336"/>
      <c r="LG316" s="336"/>
      <c r="LH316" s="336"/>
      <c r="LI316" s="336"/>
      <c r="LJ316" s="336"/>
      <c r="LK316" s="336"/>
      <c r="LL316" s="336"/>
      <c r="LM316" s="336"/>
      <c r="LN316" s="336"/>
      <c r="LO316" s="336"/>
      <c r="LP316" s="336"/>
      <c r="LQ316" s="337"/>
      <c r="MN316" s="10"/>
      <c r="OA316" s="10"/>
    </row>
    <row r="317" spans="1:391" s="370" customFormat="1" x14ac:dyDescent="0.25">
      <c r="A317" s="68"/>
      <c r="B317" s="10"/>
      <c r="C317" s="68"/>
      <c r="D317" s="68"/>
      <c r="E317" s="68"/>
      <c r="F317" s="68"/>
      <c r="G317" s="68"/>
      <c r="H317" s="68"/>
      <c r="I317" s="68"/>
      <c r="J317" s="68"/>
      <c r="K317" s="68"/>
      <c r="L317" s="68"/>
      <c r="M317" s="68"/>
      <c r="N317" s="68"/>
      <c r="O317" s="68"/>
      <c r="P317" s="68"/>
      <c r="Q317" s="68"/>
      <c r="R317" s="68"/>
      <c r="S317" s="68"/>
      <c r="T317" s="70"/>
      <c r="AC317" s="68"/>
      <c r="AD317" s="70"/>
      <c r="AM317" s="68"/>
      <c r="AN317" s="70"/>
      <c r="AU317" s="68"/>
      <c r="AV317" s="70"/>
      <c r="BB317" s="68"/>
      <c r="BC317" s="70"/>
      <c r="BD317" s="68"/>
      <c r="BE317" s="68"/>
      <c r="BF317" s="68"/>
      <c r="BG317" s="68"/>
      <c r="BH317" s="68"/>
      <c r="BI317" s="68"/>
      <c r="BJ317" s="70"/>
      <c r="BM317" s="68"/>
      <c r="BN317" s="70"/>
      <c r="BT317" s="68"/>
      <c r="BU317" s="70"/>
      <c r="BZ317" s="10"/>
      <c r="CF317" s="10"/>
      <c r="CI317" s="389"/>
      <c r="CJ317" s="389"/>
      <c r="CK317" s="68"/>
      <c r="CL317" s="70"/>
      <c r="CO317" s="10"/>
      <c r="CU317" s="10"/>
      <c r="DA317" s="10"/>
      <c r="DB317" s="70"/>
      <c r="DC317" s="70"/>
      <c r="DF317" s="68"/>
      <c r="DG317" s="70"/>
      <c r="DH317" s="68"/>
      <c r="DI317" s="386"/>
      <c r="DJ317" s="425"/>
      <c r="DL317" s="68"/>
      <c r="DM317" s="70"/>
      <c r="DQ317" s="68"/>
      <c r="DR317" s="70"/>
      <c r="DS317" s="338"/>
      <c r="DT317" s="338"/>
      <c r="DU317" s="338"/>
      <c r="DW317" s="338"/>
      <c r="DX317" s="338"/>
      <c r="DY317" s="338"/>
      <c r="EA317" s="338"/>
      <c r="EB317" s="338"/>
      <c r="EC317" s="338"/>
      <c r="EE317" s="338"/>
      <c r="EF317" s="338"/>
      <c r="EG317" s="338"/>
      <c r="EI317" s="336"/>
      <c r="EJ317" s="336"/>
      <c r="EK317" s="336"/>
      <c r="EL317" s="336"/>
      <c r="EM317" s="336"/>
      <c r="EN317" s="336"/>
      <c r="EO317" s="337"/>
      <c r="EP317" s="342"/>
      <c r="EQ317" s="336"/>
      <c r="ER317" s="342"/>
      <c r="ES317" s="336"/>
      <c r="ET317" s="342"/>
      <c r="EU317" s="336"/>
      <c r="EV317" s="342"/>
      <c r="EW317" s="336"/>
      <c r="EX317" s="342"/>
      <c r="EY317" s="342"/>
      <c r="EZ317" s="342"/>
      <c r="FA317" s="337"/>
      <c r="FE317" s="338"/>
      <c r="FH317" s="338"/>
      <c r="FI317" s="338"/>
      <c r="FJ317" s="338"/>
      <c r="FK317" s="338"/>
      <c r="FL317" s="338"/>
      <c r="FM317" s="337"/>
      <c r="FN317" s="336"/>
      <c r="FO317" s="336"/>
      <c r="FP317" s="336"/>
      <c r="FQ317" s="336"/>
      <c r="FR317" s="336"/>
      <c r="FS317" s="336"/>
      <c r="FT317" s="336"/>
      <c r="FU317" s="336"/>
      <c r="FV317" s="336"/>
      <c r="FW317" s="337"/>
      <c r="FX317" s="532"/>
      <c r="FY317" s="341"/>
      <c r="FZ317" s="341"/>
      <c r="GA317" s="336"/>
      <c r="GB317" s="341"/>
      <c r="GC317" s="341"/>
      <c r="GD317" s="341"/>
      <c r="GE317" s="336"/>
      <c r="GF317" s="336"/>
      <c r="GG317" s="336"/>
      <c r="GH317" s="336"/>
      <c r="GI317" s="336"/>
      <c r="GJ317" s="337"/>
      <c r="GM317" s="338"/>
      <c r="GN317" s="338"/>
      <c r="GO317" s="338"/>
      <c r="GS317" s="338"/>
      <c r="GT317" s="338"/>
      <c r="GU317" s="338"/>
      <c r="GY317" s="338"/>
      <c r="GZ317" s="338"/>
      <c r="HA317" s="338"/>
      <c r="HE317" s="338"/>
      <c r="HF317" s="338"/>
      <c r="HG317" s="338"/>
      <c r="HN317" s="68"/>
      <c r="HO317" s="68"/>
      <c r="HP317" s="68"/>
      <c r="HQ317" s="336"/>
      <c r="HR317" s="68"/>
      <c r="HS317" s="68"/>
      <c r="HT317" s="10"/>
      <c r="HW317" s="338"/>
      <c r="HX317" s="338"/>
      <c r="HY317" s="338"/>
      <c r="IC317" s="338"/>
      <c r="ID317" s="338"/>
      <c r="IE317" s="338"/>
      <c r="II317" s="338"/>
      <c r="IJ317" s="338"/>
      <c r="IK317" s="338"/>
      <c r="IO317" s="338"/>
      <c r="IP317" s="338"/>
      <c r="IQ317" s="338"/>
      <c r="IX317" s="68"/>
      <c r="IY317" s="68"/>
      <c r="IZ317" s="68"/>
      <c r="JA317" s="68"/>
      <c r="JB317" s="68"/>
      <c r="JC317" s="68"/>
      <c r="JD317" s="10"/>
      <c r="JG317" s="338"/>
      <c r="JH317" s="338"/>
      <c r="JI317" s="338"/>
      <c r="JM317" s="338"/>
      <c r="JN317" s="338"/>
      <c r="JQ317" s="338"/>
      <c r="JR317" s="338"/>
      <c r="JS317" s="338"/>
      <c r="JW317" s="358"/>
      <c r="JX317" s="336"/>
      <c r="JY317" s="336"/>
      <c r="JZ317" s="336"/>
      <c r="KA317" s="336"/>
      <c r="KB317" s="336"/>
      <c r="KC317" s="336"/>
      <c r="KD317" s="336"/>
      <c r="KE317" s="336"/>
      <c r="KF317" s="336"/>
      <c r="KG317" s="337"/>
      <c r="KH317" s="338"/>
      <c r="KI317" s="338"/>
      <c r="KJ317" s="338"/>
      <c r="KK317" s="338"/>
      <c r="KL317" s="338"/>
      <c r="KM317" s="338"/>
      <c r="KN317" s="338"/>
      <c r="KO317" s="338"/>
      <c r="KP317" s="338"/>
      <c r="KQ317" s="338"/>
      <c r="KR317" s="338"/>
      <c r="KS317" s="338"/>
      <c r="KT317" s="338"/>
      <c r="KU317" s="338"/>
      <c r="KV317" s="338"/>
      <c r="KW317" s="337"/>
      <c r="KX317" s="336"/>
      <c r="KY317" s="336"/>
      <c r="KZ317" s="336"/>
      <c r="LA317" s="336"/>
      <c r="LB317" s="336"/>
      <c r="LC317" s="336"/>
      <c r="LD317" s="336"/>
      <c r="LE317" s="336"/>
      <c r="LF317" s="336"/>
      <c r="LG317" s="336"/>
      <c r="LH317" s="336"/>
      <c r="LI317" s="336"/>
      <c r="LJ317" s="336"/>
      <c r="LK317" s="336"/>
      <c r="LL317" s="336"/>
      <c r="LM317" s="336"/>
      <c r="LN317" s="336"/>
      <c r="LO317" s="336"/>
      <c r="LP317" s="336"/>
      <c r="LQ317" s="337"/>
      <c r="MN317" s="10"/>
      <c r="OA317" s="10"/>
    </row>
    <row r="318" spans="1:391" s="370" customFormat="1" x14ac:dyDescent="0.25">
      <c r="A318" s="68"/>
      <c r="B318" s="10"/>
      <c r="C318" s="68"/>
      <c r="D318" s="68"/>
      <c r="E318" s="68"/>
      <c r="F318" s="68"/>
      <c r="G318" s="68"/>
      <c r="H318" s="68"/>
      <c r="I318" s="68"/>
      <c r="J318" s="68"/>
      <c r="K318" s="68"/>
      <c r="L318" s="68"/>
      <c r="M318" s="68"/>
      <c r="N318" s="68"/>
      <c r="O318" s="68"/>
      <c r="P318" s="68"/>
      <c r="Q318" s="68"/>
      <c r="R318" s="68"/>
      <c r="S318" s="68"/>
      <c r="T318" s="70"/>
      <c r="AC318" s="68"/>
      <c r="AD318" s="70"/>
      <c r="AM318" s="68"/>
      <c r="AN318" s="70"/>
      <c r="AU318" s="68"/>
      <c r="AV318" s="70"/>
      <c r="BB318" s="68"/>
      <c r="BC318" s="70"/>
      <c r="BD318" s="68"/>
      <c r="BE318" s="68"/>
      <c r="BF318" s="68"/>
      <c r="BG318" s="68"/>
      <c r="BH318" s="68"/>
      <c r="BI318" s="68"/>
      <c r="BJ318" s="70"/>
      <c r="BM318" s="68"/>
      <c r="BN318" s="70"/>
      <c r="BT318" s="68"/>
      <c r="BU318" s="70"/>
      <c r="BZ318" s="10"/>
      <c r="CF318" s="10"/>
      <c r="CI318" s="389"/>
      <c r="CJ318" s="389"/>
      <c r="CK318" s="68"/>
      <c r="CL318" s="70"/>
      <c r="CO318" s="10"/>
      <c r="CU318" s="10"/>
      <c r="DA318" s="10"/>
      <c r="DB318" s="70"/>
      <c r="DC318" s="70"/>
      <c r="DF318" s="68"/>
      <c r="DG318" s="70"/>
      <c r="DH318" s="68"/>
      <c r="DI318" s="386"/>
      <c r="DJ318" s="425"/>
      <c r="DL318" s="68"/>
      <c r="DM318" s="70"/>
      <c r="DQ318" s="68"/>
      <c r="DR318" s="70"/>
      <c r="DS318" s="338"/>
      <c r="DT318" s="338"/>
      <c r="DU318" s="338"/>
      <c r="DW318" s="338"/>
      <c r="DX318" s="338"/>
      <c r="DY318" s="338"/>
      <c r="EA318" s="338"/>
      <c r="EB318" s="338"/>
      <c r="EC318" s="338"/>
      <c r="EE318" s="338"/>
      <c r="EF318" s="338"/>
      <c r="EG318" s="338"/>
      <c r="EI318" s="336"/>
      <c r="EJ318" s="336"/>
      <c r="EK318" s="336"/>
      <c r="EL318" s="336"/>
      <c r="EM318" s="336"/>
      <c r="EN318" s="336"/>
      <c r="EO318" s="337"/>
      <c r="EP318" s="342"/>
      <c r="EQ318" s="336"/>
      <c r="ER318" s="342"/>
      <c r="ES318" s="336"/>
      <c r="ET318" s="342"/>
      <c r="EU318" s="336"/>
      <c r="EV318" s="342"/>
      <c r="EW318" s="336"/>
      <c r="EX318" s="342"/>
      <c r="EY318" s="342"/>
      <c r="EZ318" s="342"/>
      <c r="FA318" s="337"/>
      <c r="FE318" s="338"/>
      <c r="FH318" s="338"/>
      <c r="FI318" s="338"/>
      <c r="FJ318" s="338"/>
      <c r="FK318" s="338"/>
      <c r="FL318" s="338"/>
      <c r="FM318" s="337"/>
      <c r="FN318" s="336"/>
      <c r="FO318" s="336"/>
      <c r="FP318" s="336"/>
      <c r="FQ318" s="336"/>
      <c r="FR318" s="336"/>
      <c r="FS318" s="336"/>
      <c r="FT318" s="336"/>
      <c r="FU318" s="336"/>
      <c r="FV318" s="336"/>
      <c r="FW318" s="337"/>
      <c r="FX318" s="532"/>
      <c r="FY318" s="341"/>
      <c r="FZ318" s="341"/>
      <c r="GA318" s="336"/>
      <c r="GB318" s="341"/>
      <c r="GC318" s="341"/>
      <c r="GD318" s="341"/>
      <c r="GE318" s="336"/>
      <c r="GF318" s="336"/>
      <c r="GG318" s="336"/>
      <c r="GH318" s="336"/>
      <c r="GI318" s="336"/>
      <c r="GJ318" s="337"/>
      <c r="GM318" s="338"/>
      <c r="GN318" s="338"/>
      <c r="GO318" s="338"/>
      <c r="GS318" s="338"/>
      <c r="GT318" s="338"/>
      <c r="GU318" s="338"/>
      <c r="GY318" s="338"/>
      <c r="GZ318" s="338"/>
      <c r="HA318" s="338"/>
      <c r="HE318" s="338"/>
      <c r="HF318" s="338"/>
      <c r="HG318" s="338"/>
      <c r="HN318" s="68"/>
      <c r="HO318" s="68"/>
      <c r="HP318" s="68"/>
      <c r="HQ318" s="336"/>
      <c r="HR318" s="68"/>
      <c r="HS318" s="68"/>
      <c r="HT318" s="10"/>
      <c r="HW318" s="338"/>
      <c r="HX318" s="338"/>
      <c r="HY318" s="338"/>
      <c r="IC318" s="338"/>
      <c r="ID318" s="338"/>
      <c r="IE318" s="338"/>
      <c r="II318" s="338"/>
      <c r="IJ318" s="338"/>
      <c r="IK318" s="338"/>
      <c r="IO318" s="338"/>
      <c r="IP318" s="338"/>
      <c r="IQ318" s="338"/>
      <c r="IX318" s="68"/>
      <c r="IY318" s="68"/>
      <c r="IZ318" s="68"/>
      <c r="JA318" s="68"/>
      <c r="JB318" s="68"/>
      <c r="JC318" s="68"/>
      <c r="JD318" s="10"/>
      <c r="JG318" s="338"/>
      <c r="JH318" s="338"/>
      <c r="JI318" s="338"/>
      <c r="JM318" s="338"/>
      <c r="JN318" s="338"/>
      <c r="JQ318" s="338"/>
      <c r="JR318" s="338"/>
      <c r="JS318" s="338"/>
      <c r="JW318" s="358"/>
      <c r="JX318" s="336"/>
      <c r="JY318" s="336"/>
      <c r="JZ318" s="336"/>
      <c r="KA318" s="336"/>
      <c r="KB318" s="336"/>
      <c r="KC318" s="336"/>
      <c r="KD318" s="336"/>
      <c r="KE318" s="336"/>
      <c r="KF318" s="336"/>
      <c r="KG318" s="337"/>
      <c r="KH318" s="338"/>
      <c r="KI318" s="338"/>
      <c r="KJ318" s="338"/>
      <c r="KK318" s="338"/>
      <c r="KL318" s="338"/>
      <c r="KM318" s="338"/>
      <c r="KN318" s="338"/>
      <c r="KO318" s="338"/>
      <c r="KP318" s="338"/>
      <c r="KQ318" s="338"/>
      <c r="KR318" s="338"/>
      <c r="KS318" s="338"/>
      <c r="KT318" s="338"/>
      <c r="KU318" s="338"/>
      <c r="KV318" s="338"/>
      <c r="KW318" s="337"/>
      <c r="KX318" s="336"/>
      <c r="KY318" s="336"/>
      <c r="KZ318" s="336"/>
      <c r="LA318" s="336"/>
      <c r="LB318" s="336"/>
      <c r="LC318" s="336"/>
      <c r="LD318" s="336"/>
      <c r="LE318" s="336"/>
      <c r="LF318" s="336"/>
      <c r="LG318" s="336"/>
      <c r="LH318" s="336"/>
      <c r="LI318" s="336"/>
      <c r="LJ318" s="336"/>
      <c r="LK318" s="336"/>
      <c r="LL318" s="336"/>
      <c r="LM318" s="336"/>
      <c r="LN318" s="336"/>
      <c r="LO318" s="336"/>
      <c r="LP318" s="336"/>
      <c r="LQ318" s="337"/>
      <c r="MN318" s="10"/>
      <c r="OA318" s="10"/>
    </row>
    <row r="319" spans="1:391" s="370" customFormat="1" x14ac:dyDescent="0.25">
      <c r="A319" s="68"/>
      <c r="B319" s="10"/>
      <c r="C319" s="68"/>
      <c r="D319" s="68"/>
      <c r="E319" s="68"/>
      <c r="F319" s="68"/>
      <c r="G319" s="68"/>
      <c r="H319" s="68"/>
      <c r="I319" s="68"/>
      <c r="J319" s="68"/>
      <c r="K319" s="68"/>
      <c r="L319" s="68"/>
      <c r="M319" s="68"/>
      <c r="N319" s="68"/>
      <c r="O319" s="68"/>
      <c r="P319" s="68"/>
      <c r="Q319" s="68"/>
      <c r="R319" s="68"/>
      <c r="S319" s="68"/>
      <c r="T319" s="70"/>
      <c r="AC319" s="68"/>
      <c r="AD319" s="70"/>
      <c r="AM319" s="68"/>
      <c r="AN319" s="70"/>
      <c r="AU319" s="68"/>
      <c r="AV319" s="70"/>
      <c r="BB319" s="68"/>
      <c r="BC319" s="70"/>
      <c r="BD319" s="68"/>
      <c r="BE319" s="68"/>
      <c r="BF319" s="68"/>
      <c r="BG319" s="68"/>
      <c r="BH319" s="68"/>
      <c r="BI319" s="68"/>
      <c r="BJ319" s="70"/>
      <c r="BM319" s="68"/>
      <c r="BN319" s="70"/>
      <c r="BT319" s="68"/>
      <c r="BU319" s="70"/>
      <c r="BZ319" s="10"/>
      <c r="CF319" s="10"/>
      <c r="CI319" s="389"/>
      <c r="CJ319" s="389"/>
      <c r="CK319" s="68"/>
      <c r="CL319" s="70"/>
      <c r="CO319" s="10"/>
      <c r="CU319" s="10"/>
      <c r="DA319" s="10"/>
      <c r="DB319" s="70"/>
      <c r="DC319" s="70"/>
      <c r="DF319" s="68"/>
      <c r="DG319" s="70"/>
      <c r="DH319" s="68"/>
      <c r="DI319" s="386"/>
      <c r="DJ319" s="425"/>
      <c r="DL319" s="68"/>
      <c r="DM319" s="70"/>
      <c r="DQ319" s="68"/>
      <c r="DR319" s="70"/>
      <c r="DS319" s="338"/>
      <c r="DT319" s="338"/>
      <c r="DU319" s="338"/>
      <c r="DW319" s="338"/>
      <c r="DX319" s="338"/>
      <c r="DY319" s="338"/>
      <c r="EA319" s="338"/>
      <c r="EB319" s="338"/>
      <c r="EC319" s="338"/>
      <c r="EE319" s="338"/>
      <c r="EF319" s="338"/>
      <c r="EG319" s="338"/>
      <c r="EI319" s="336"/>
      <c r="EJ319" s="336"/>
      <c r="EK319" s="336"/>
      <c r="EL319" s="336"/>
      <c r="EM319" s="336"/>
      <c r="EN319" s="336"/>
      <c r="EO319" s="337"/>
      <c r="EP319" s="342"/>
      <c r="EQ319" s="336"/>
      <c r="ER319" s="342"/>
      <c r="ES319" s="336"/>
      <c r="ET319" s="342"/>
      <c r="EU319" s="336"/>
      <c r="EV319" s="342"/>
      <c r="EW319" s="336"/>
      <c r="EX319" s="342"/>
      <c r="EY319" s="342"/>
      <c r="EZ319" s="342"/>
      <c r="FA319" s="337"/>
      <c r="FE319" s="338"/>
      <c r="FH319" s="338"/>
      <c r="FI319" s="338"/>
      <c r="FJ319" s="338"/>
      <c r="FK319" s="338"/>
      <c r="FL319" s="338"/>
      <c r="FM319" s="337"/>
      <c r="FN319" s="336"/>
      <c r="FO319" s="336"/>
      <c r="FP319" s="336"/>
      <c r="FQ319" s="336"/>
      <c r="FR319" s="336"/>
      <c r="FS319" s="336"/>
      <c r="FT319" s="336"/>
      <c r="FU319" s="336"/>
      <c r="FV319" s="336"/>
      <c r="FW319" s="337"/>
      <c r="FX319" s="532"/>
      <c r="FY319" s="341"/>
      <c r="FZ319" s="341"/>
      <c r="GA319" s="336"/>
      <c r="GB319" s="341"/>
      <c r="GC319" s="341"/>
      <c r="GD319" s="341"/>
      <c r="GE319" s="336"/>
      <c r="GF319" s="336"/>
      <c r="GG319" s="336"/>
      <c r="GH319" s="336"/>
      <c r="GI319" s="336"/>
      <c r="GJ319" s="337"/>
      <c r="GM319" s="338"/>
      <c r="GN319" s="338"/>
      <c r="GO319" s="338"/>
      <c r="GS319" s="338"/>
      <c r="GT319" s="338"/>
      <c r="GU319" s="338"/>
      <c r="GY319" s="338"/>
      <c r="GZ319" s="338"/>
      <c r="HA319" s="338"/>
      <c r="HE319" s="338"/>
      <c r="HF319" s="338"/>
      <c r="HG319" s="338"/>
      <c r="HN319" s="68"/>
      <c r="HO319" s="68"/>
      <c r="HP319" s="68"/>
      <c r="HQ319" s="336"/>
      <c r="HR319" s="68"/>
      <c r="HS319" s="68"/>
      <c r="HT319" s="10"/>
      <c r="HW319" s="338"/>
      <c r="HX319" s="338"/>
      <c r="HY319" s="338"/>
      <c r="IC319" s="338"/>
      <c r="ID319" s="338"/>
      <c r="IE319" s="338"/>
      <c r="II319" s="338"/>
      <c r="IJ319" s="338"/>
      <c r="IK319" s="338"/>
      <c r="IO319" s="338"/>
      <c r="IP319" s="338"/>
      <c r="IQ319" s="338"/>
      <c r="IX319" s="68"/>
      <c r="IY319" s="68"/>
      <c r="IZ319" s="68"/>
      <c r="JA319" s="68"/>
      <c r="JB319" s="68"/>
      <c r="JC319" s="68"/>
      <c r="JD319" s="10"/>
      <c r="JG319" s="338"/>
      <c r="JH319" s="338"/>
      <c r="JI319" s="338"/>
      <c r="JM319" s="338"/>
      <c r="JN319" s="338"/>
      <c r="JQ319" s="338"/>
      <c r="JR319" s="338"/>
      <c r="JS319" s="338"/>
      <c r="JW319" s="358"/>
      <c r="JX319" s="336"/>
      <c r="JY319" s="336"/>
      <c r="JZ319" s="336"/>
      <c r="KA319" s="336"/>
      <c r="KB319" s="336"/>
      <c r="KC319" s="336"/>
      <c r="KD319" s="336"/>
      <c r="KE319" s="336"/>
      <c r="KF319" s="336"/>
      <c r="KG319" s="337"/>
      <c r="KH319" s="338"/>
      <c r="KI319" s="338"/>
      <c r="KJ319" s="338"/>
      <c r="KK319" s="338"/>
      <c r="KL319" s="338"/>
      <c r="KM319" s="338"/>
      <c r="KN319" s="338"/>
      <c r="KO319" s="338"/>
      <c r="KP319" s="338"/>
      <c r="KQ319" s="338"/>
      <c r="KR319" s="338"/>
      <c r="KS319" s="338"/>
      <c r="KT319" s="338"/>
      <c r="KU319" s="338"/>
      <c r="KV319" s="338"/>
      <c r="KW319" s="337"/>
      <c r="KX319" s="336"/>
      <c r="KY319" s="336"/>
      <c r="KZ319" s="336"/>
      <c r="LA319" s="336"/>
      <c r="LB319" s="336"/>
      <c r="LC319" s="336"/>
      <c r="LD319" s="336"/>
      <c r="LE319" s="336"/>
      <c r="LF319" s="336"/>
      <c r="LG319" s="336"/>
      <c r="LH319" s="336"/>
      <c r="LI319" s="336"/>
      <c r="LJ319" s="336"/>
      <c r="LK319" s="336"/>
      <c r="LL319" s="336"/>
      <c r="LM319" s="336"/>
      <c r="LN319" s="336"/>
      <c r="LO319" s="336"/>
      <c r="LP319" s="336"/>
      <c r="LQ319" s="337"/>
      <c r="MN319" s="10"/>
      <c r="OA319" s="10"/>
    </row>
    <row r="320" spans="1:391" s="370" customFormat="1" x14ac:dyDescent="0.25">
      <c r="A320" s="68"/>
      <c r="B320" s="10"/>
      <c r="C320" s="68"/>
      <c r="D320" s="68"/>
      <c r="E320" s="68"/>
      <c r="F320" s="68"/>
      <c r="G320" s="68"/>
      <c r="H320" s="68"/>
      <c r="I320" s="68"/>
      <c r="J320" s="68"/>
      <c r="K320" s="68"/>
      <c r="L320" s="68"/>
      <c r="M320" s="68"/>
      <c r="N320" s="68"/>
      <c r="O320" s="68"/>
      <c r="P320" s="68"/>
      <c r="Q320" s="68"/>
      <c r="R320" s="68"/>
      <c r="S320" s="68"/>
      <c r="T320" s="70"/>
      <c r="AC320" s="68"/>
      <c r="AD320" s="70"/>
      <c r="AM320" s="68"/>
      <c r="AN320" s="70"/>
      <c r="AU320" s="68"/>
      <c r="AV320" s="70"/>
      <c r="BB320" s="68"/>
      <c r="BC320" s="70"/>
      <c r="BD320" s="68"/>
      <c r="BE320" s="68"/>
      <c r="BF320" s="68"/>
      <c r="BG320" s="68"/>
      <c r="BH320" s="68"/>
      <c r="BI320" s="68"/>
      <c r="BJ320" s="70"/>
      <c r="BM320" s="68"/>
      <c r="BN320" s="70"/>
      <c r="BT320" s="68"/>
      <c r="BU320" s="70"/>
      <c r="BZ320" s="10"/>
      <c r="CF320" s="10"/>
      <c r="CI320" s="389"/>
      <c r="CJ320" s="389"/>
      <c r="CK320" s="68"/>
      <c r="CL320" s="70"/>
      <c r="CO320" s="10"/>
      <c r="CU320" s="10"/>
      <c r="DA320" s="10"/>
      <c r="DB320" s="70"/>
      <c r="DC320" s="70"/>
      <c r="DF320" s="68"/>
      <c r="DG320" s="70"/>
      <c r="DH320" s="68"/>
      <c r="DI320" s="386"/>
      <c r="DJ320" s="425"/>
      <c r="DL320" s="68"/>
      <c r="DM320" s="70"/>
      <c r="DQ320" s="68"/>
      <c r="DR320" s="70"/>
      <c r="DS320" s="338"/>
      <c r="DT320" s="338"/>
      <c r="DU320" s="338"/>
      <c r="DW320" s="338"/>
      <c r="DX320" s="338"/>
      <c r="DY320" s="338"/>
      <c r="EA320" s="338"/>
      <c r="EB320" s="338"/>
      <c r="EC320" s="338"/>
      <c r="EE320" s="338"/>
      <c r="EF320" s="338"/>
      <c r="EG320" s="338"/>
      <c r="EI320" s="336"/>
      <c r="EJ320" s="336"/>
      <c r="EK320" s="336"/>
      <c r="EL320" s="336"/>
      <c r="EM320" s="336"/>
      <c r="EN320" s="336"/>
      <c r="EO320" s="337"/>
      <c r="EP320" s="342"/>
      <c r="EQ320" s="336"/>
      <c r="ER320" s="342"/>
      <c r="ES320" s="336"/>
      <c r="ET320" s="342"/>
      <c r="EU320" s="336"/>
      <c r="EV320" s="342"/>
      <c r="EW320" s="336"/>
      <c r="EX320" s="342"/>
      <c r="EY320" s="342"/>
      <c r="EZ320" s="342"/>
      <c r="FA320" s="337"/>
      <c r="FE320" s="338"/>
      <c r="FH320" s="338"/>
      <c r="FI320" s="338"/>
      <c r="FJ320" s="338"/>
      <c r="FK320" s="338"/>
      <c r="FL320" s="338"/>
      <c r="FM320" s="337"/>
      <c r="FN320" s="336"/>
      <c r="FO320" s="336"/>
      <c r="FP320" s="336"/>
      <c r="FQ320" s="336"/>
      <c r="FR320" s="336"/>
      <c r="FS320" s="336"/>
      <c r="FT320" s="336"/>
      <c r="FU320" s="336"/>
      <c r="FV320" s="336"/>
      <c r="FW320" s="337"/>
      <c r="FX320" s="532"/>
      <c r="FY320" s="341"/>
      <c r="FZ320" s="341"/>
      <c r="GA320" s="336"/>
      <c r="GB320" s="341"/>
      <c r="GC320" s="341"/>
      <c r="GD320" s="341"/>
      <c r="GE320" s="336"/>
      <c r="GF320" s="336"/>
      <c r="GG320" s="336"/>
      <c r="GH320" s="336"/>
      <c r="GI320" s="336"/>
      <c r="GJ320" s="337"/>
      <c r="GM320" s="338"/>
      <c r="GN320" s="338"/>
      <c r="GO320" s="338"/>
      <c r="GS320" s="338"/>
      <c r="GT320" s="338"/>
      <c r="GU320" s="338"/>
      <c r="GY320" s="338"/>
      <c r="GZ320" s="338"/>
      <c r="HA320" s="338"/>
      <c r="HE320" s="338"/>
      <c r="HF320" s="338"/>
      <c r="HG320" s="338"/>
      <c r="HN320" s="68"/>
      <c r="HO320" s="68"/>
      <c r="HP320" s="68"/>
      <c r="HQ320" s="336"/>
      <c r="HR320" s="68"/>
      <c r="HS320" s="68"/>
      <c r="HT320" s="10"/>
      <c r="HW320" s="338"/>
      <c r="HX320" s="338"/>
      <c r="HY320" s="338"/>
      <c r="IC320" s="338"/>
      <c r="ID320" s="338"/>
      <c r="IE320" s="338"/>
      <c r="II320" s="338"/>
      <c r="IJ320" s="338"/>
      <c r="IK320" s="338"/>
      <c r="IO320" s="338"/>
      <c r="IP320" s="338"/>
      <c r="IQ320" s="338"/>
      <c r="IX320" s="68"/>
      <c r="IY320" s="68"/>
      <c r="IZ320" s="68"/>
      <c r="JA320" s="68"/>
      <c r="JB320" s="68"/>
      <c r="JC320" s="68"/>
      <c r="JD320" s="10"/>
      <c r="JG320" s="338"/>
      <c r="JH320" s="338"/>
      <c r="JI320" s="338"/>
      <c r="JM320" s="338"/>
      <c r="JN320" s="338"/>
      <c r="JQ320" s="338"/>
      <c r="JR320" s="338"/>
      <c r="JS320" s="338"/>
      <c r="JW320" s="358"/>
      <c r="JX320" s="336"/>
      <c r="JY320" s="336"/>
      <c r="JZ320" s="336"/>
      <c r="KA320" s="336"/>
      <c r="KB320" s="336"/>
      <c r="KC320" s="336"/>
      <c r="KD320" s="336"/>
      <c r="KE320" s="336"/>
      <c r="KF320" s="336"/>
      <c r="KG320" s="337"/>
      <c r="KH320" s="338"/>
      <c r="KI320" s="338"/>
      <c r="KJ320" s="338"/>
      <c r="KK320" s="338"/>
      <c r="KL320" s="338"/>
      <c r="KM320" s="338"/>
      <c r="KN320" s="338"/>
      <c r="KO320" s="338"/>
      <c r="KP320" s="338"/>
      <c r="KQ320" s="338"/>
      <c r="KR320" s="338"/>
      <c r="KS320" s="338"/>
      <c r="KT320" s="338"/>
      <c r="KU320" s="338"/>
      <c r="KV320" s="338"/>
      <c r="KW320" s="337"/>
      <c r="KX320" s="336"/>
      <c r="KY320" s="336"/>
      <c r="KZ320" s="336"/>
      <c r="LA320" s="336"/>
      <c r="LB320" s="336"/>
      <c r="LC320" s="336"/>
      <c r="LD320" s="336"/>
      <c r="LE320" s="336"/>
      <c r="LF320" s="336"/>
      <c r="LG320" s="336"/>
      <c r="LH320" s="336"/>
      <c r="LI320" s="336"/>
      <c r="LJ320" s="336"/>
      <c r="LK320" s="336"/>
      <c r="LL320" s="336"/>
      <c r="LM320" s="336"/>
      <c r="LN320" s="336"/>
      <c r="LO320" s="336"/>
      <c r="LP320" s="336"/>
      <c r="LQ320" s="337"/>
      <c r="MN320" s="10"/>
      <c r="OA320" s="10"/>
    </row>
    <row r="321" spans="1:391" s="370" customFormat="1" x14ac:dyDescent="0.25">
      <c r="A321" s="68"/>
      <c r="B321" s="10"/>
      <c r="C321" s="68"/>
      <c r="D321" s="68"/>
      <c r="E321" s="68"/>
      <c r="F321" s="68"/>
      <c r="G321" s="68"/>
      <c r="H321" s="68"/>
      <c r="I321" s="68"/>
      <c r="J321" s="68"/>
      <c r="K321" s="68"/>
      <c r="L321" s="68"/>
      <c r="M321" s="68"/>
      <c r="N321" s="68"/>
      <c r="O321" s="68"/>
      <c r="P321" s="68"/>
      <c r="Q321" s="68"/>
      <c r="R321" s="68"/>
      <c r="S321" s="68"/>
      <c r="T321" s="70"/>
      <c r="AC321" s="68"/>
      <c r="AD321" s="70"/>
      <c r="AM321" s="68"/>
      <c r="AN321" s="70"/>
      <c r="AU321" s="68"/>
      <c r="AV321" s="70"/>
      <c r="BB321" s="68"/>
      <c r="BC321" s="70"/>
      <c r="BD321" s="68"/>
      <c r="BE321" s="68"/>
      <c r="BF321" s="68"/>
      <c r="BG321" s="68"/>
      <c r="BH321" s="68"/>
      <c r="BI321" s="68"/>
      <c r="BJ321" s="70"/>
      <c r="BM321" s="68"/>
      <c r="BN321" s="70"/>
      <c r="BT321" s="68"/>
      <c r="BU321" s="70"/>
      <c r="BZ321" s="10"/>
      <c r="CF321" s="10"/>
      <c r="CI321" s="389"/>
      <c r="CJ321" s="389"/>
      <c r="CK321" s="68"/>
      <c r="CL321" s="70"/>
      <c r="CO321" s="10"/>
      <c r="CU321" s="10"/>
      <c r="DA321" s="10"/>
      <c r="DB321" s="70"/>
      <c r="DC321" s="70"/>
      <c r="DF321" s="68"/>
      <c r="DG321" s="70"/>
      <c r="DH321" s="68"/>
      <c r="DI321" s="386"/>
      <c r="DJ321" s="425"/>
      <c r="DL321" s="68"/>
      <c r="DM321" s="70"/>
      <c r="DQ321" s="68"/>
      <c r="DR321" s="70"/>
      <c r="DS321" s="338"/>
      <c r="DT321" s="338"/>
      <c r="DU321" s="338"/>
      <c r="DW321" s="338"/>
      <c r="DX321" s="338"/>
      <c r="DY321" s="338"/>
      <c r="EA321" s="338"/>
      <c r="EB321" s="338"/>
      <c r="EC321" s="338"/>
      <c r="EE321" s="338"/>
      <c r="EF321" s="338"/>
      <c r="EG321" s="338"/>
      <c r="EI321" s="336"/>
      <c r="EJ321" s="336"/>
      <c r="EK321" s="336"/>
      <c r="EL321" s="336"/>
      <c r="EM321" s="336"/>
      <c r="EN321" s="336"/>
      <c r="EO321" s="337"/>
      <c r="EP321" s="342"/>
      <c r="EQ321" s="336"/>
      <c r="ER321" s="342"/>
      <c r="ES321" s="336"/>
      <c r="ET321" s="342"/>
      <c r="EU321" s="336"/>
      <c r="EV321" s="342"/>
      <c r="EW321" s="336"/>
      <c r="EX321" s="342"/>
      <c r="EY321" s="342"/>
      <c r="EZ321" s="342"/>
      <c r="FA321" s="337"/>
      <c r="FE321" s="338"/>
      <c r="FH321" s="338"/>
      <c r="FI321" s="338"/>
      <c r="FJ321" s="338"/>
      <c r="FK321" s="338"/>
      <c r="FL321" s="338"/>
      <c r="FM321" s="337"/>
      <c r="FN321" s="336"/>
      <c r="FO321" s="336"/>
      <c r="FP321" s="336"/>
      <c r="FQ321" s="336"/>
      <c r="FR321" s="336"/>
      <c r="FS321" s="336"/>
      <c r="FT321" s="336"/>
      <c r="FU321" s="336"/>
      <c r="FV321" s="336"/>
      <c r="FW321" s="337"/>
      <c r="FX321" s="532"/>
      <c r="FY321" s="341"/>
      <c r="FZ321" s="341"/>
      <c r="GA321" s="336"/>
      <c r="GB321" s="341"/>
      <c r="GC321" s="341"/>
      <c r="GD321" s="341"/>
      <c r="GE321" s="336"/>
      <c r="GF321" s="336"/>
      <c r="GG321" s="336"/>
      <c r="GH321" s="336"/>
      <c r="GI321" s="336"/>
      <c r="GJ321" s="337"/>
      <c r="GM321" s="338"/>
      <c r="GN321" s="338"/>
      <c r="GO321" s="338"/>
      <c r="GS321" s="338"/>
      <c r="GT321" s="338"/>
      <c r="GU321" s="338"/>
      <c r="GY321" s="338"/>
      <c r="GZ321" s="338"/>
      <c r="HA321" s="338"/>
      <c r="HE321" s="338"/>
      <c r="HF321" s="338"/>
      <c r="HG321" s="338"/>
      <c r="HN321" s="68"/>
      <c r="HO321" s="68"/>
      <c r="HP321" s="68"/>
      <c r="HQ321" s="336"/>
      <c r="HR321" s="68"/>
      <c r="HS321" s="68"/>
      <c r="HT321" s="10"/>
      <c r="HW321" s="338"/>
      <c r="HX321" s="338"/>
      <c r="HY321" s="338"/>
      <c r="IC321" s="338"/>
      <c r="ID321" s="338"/>
      <c r="IE321" s="338"/>
      <c r="II321" s="338"/>
      <c r="IJ321" s="338"/>
      <c r="IK321" s="338"/>
      <c r="IO321" s="338"/>
      <c r="IP321" s="338"/>
      <c r="IQ321" s="338"/>
      <c r="IX321" s="68"/>
      <c r="IY321" s="68"/>
      <c r="IZ321" s="68"/>
      <c r="JA321" s="68"/>
      <c r="JB321" s="68"/>
      <c r="JC321" s="68"/>
      <c r="JD321" s="10"/>
      <c r="JG321" s="338"/>
      <c r="JH321" s="338"/>
      <c r="JI321" s="338"/>
      <c r="JM321" s="338"/>
      <c r="JN321" s="338"/>
      <c r="JQ321" s="338"/>
      <c r="JR321" s="338"/>
      <c r="JS321" s="338"/>
      <c r="JW321" s="358"/>
      <c r="JX321" s="336"/>
      <c r="JY321" s="336"/>
      <c r="JZ321" s="336"/>
      <c r="KA321" s="336"/>
      <c r="KB321" s="336"/>
      <c r="KC321" s="336"/>
      <c r="KD321" s="336"/>
      <c r="KE321" s="336"/>
      <c r="KF321" s="336"/>
      <c r="KG321" s="337"/>
      <c r="KH321" s="338"/>
      <c r="KI321" s="338"/>
      <c r="KJ321" s="338"/>
      <c r="KK321" s="338"/>
      <c r="KL321" s="338"/>
      <c r="KM321" s="338"/>
      <c r="KN321" s="338"/>
      <c r="KO321" s="338"/>
      <c r="KP321" s="338"/>
      <c r="KQ321" s="338"/>
      <c r="KR321" s="338"/>
      <c r="KS321" s="338"/>
      <c r="KT321" s="338"/>
      <c r="KU321" s="338"/>
      <c r="KV321" s="338"/>
      <c r="KW321" s="337"/>
      <c r="KX321" s="336"/>
      <c r="KY321" s="336"/>
      <c r="KZ321" s="336"/>
      <c r="LA321" s="336"/>
      <c r="LB321" s="336"/>
      <c r="LC321" s="336"/>
      <c r="LD321" s="336"/>
      <c r="LE321" s="336"/>
      <c r="LF321" s="336"/>
      <c r="LG321" s="336"/>
      <c r="LH321" s="336"/>
      <c r="LI321" s="336"/>
      <c r="LJ321" s="336"/>
      <c r="LK321" s="336"/>
      <c r="LL321" s="336"/>
      <c r="LM321" s="336"/>
      <c r="LN321" s="336"/>
      <c r="LO321" s="336"/>
      <c r="LP321" s="336"/>
      <c r="LQ321" s="337"/>
      <c r="MN321" s="10"/>
      <c r="OA321" s="10"/>
    </row>
    <row r="322" spans="1:391" s="370" customFormat="1" x14ac:dyDescent="0.25">
      <c r="A322" s="68"/>
      <c r="B322" s="10"/>
      <c r="C322" s="68"/>
      <c r="D322" s="68"/>
      <c r="E322" s="68"/>
      <c r="F322" s="68"/>
      <c r="G322" s="68"/>
      <c r="H322" s="68"/>
      <c r="I322" s="68"/>
      <c r="J322" s="68"/>
      <c r="K322" s="68"/>
      <c r="L322" s="68"/>
      <c r="M322" s="68"/>
      <c r="N322" s="68"/>
      <c r="O322" s="68"/>
      <c r="P322" s="68"/>
      <c r="Q322" s="68"/>
      <c r="R322" s="68"/>
      <c r="S322" s="68"/>
      <c r="T322" s="70"/>
      <c r="AC322" s="68"/>
      <c r="AD322" s="70"/>
      <c r="AM322" s="68"/>
      <c r="AN322" s="70"/>
      <c r="AU322" s="68"/>
      <c r="AV322" s="70"/>
      <c r="BB322" s="68"/>
      <c r="BC322" s="70"/>
      <c r="BD322" s="68"/>
      <c r="BE322" s="68"/>
      <c r="BF322" s="68"/>
      <c r="BG322" s="68"/>
      <c r="BH322" s="68"/>
      <c r="BI322" s="68"/>
      <c r="BJ322" s="70"/>
      <c r="BM322" s="68"/>
      <c r="BN322" s="70"/>
      <c r="BT322" s="68"/>
      <c r="BU322" s="70"/>
      <c r="BZ322" s="10"/>
      <c r="CF322" s="10"/>
      <c r="CI322" s="389"/>
      <c r="CJ322" s="389"/>
      <c r="CK322" s="68"/>
      <c r="CL322" s="70"/>
      <c r="CO322" s="10"/>
      <c r="CU322" s="10"/>
      <c r="DA322" s="10"/>
      <c r="DB322" s="70"/>
      <c r="DC322" s="70"/>
      <c r="DF322" s="68"/>
      <c r="DG322" s="70"/>
      <c r="DH322" s="68"/>
      <c r="DI322" s="386"/>
      <c r="DJ322" s="425"/>
      <c r="DL322" s="68"/>
      <c r="DM322" s="70"/>
      <c r="DQ322" s="68"/>
      <c r="DR322" s="70"/>
      <c r="DS322" s="338"/>
      <c r="DT322" s="338"/>
      <c r="DU322" s="338"/>
      <c r="DW322" s="338"/>
      <c r="DX322" s="338"/>
      <c r="DY322" s="338"/>
      <c r="EA322" s="338"/>
      <c r="EB322" s="338"/>
      <c r="EC322" s="338"/>
      <c r="EE322" s="338"/>
      <c r="EF322" s="338"/>
      <c r="EG322" s="338"/>
      <c r="EI322" s="336"/>
      <c r="EJ322" s="336"/>
      <c r="EK322" s="336"/>
      <c r="EL322" s="336"/>
      <c r="EM322" s="336"/>
      <c r="EN322" s="336"/>
      <c r="EO322" s="337"/>
      <c r="EP322" s="342"/>
      <c r="EQ322" s="336"/>
      <c r="ER322" s="342"/>
      <c r="ES322" s="336"/>
      <c r="ET322" s="342"/>
      <c r="EU322" s="336"/>
      <c r="EV322" s="342"/>
      <c r="EW322" s="336"/>
      <c r="EX322" s="342"/>
      <c r="EY322" s="342"/>
      <c r="EZ322" s="342"/>
      <c r="FA322" s="337"/>
      <c r="FE322" s="338"/>
      <c r="FH322" s="338"/>
      <c r="FI322" s="338"/>
      <c r="FJ322" s="338"/>
      <c r="FK322" s="338"/>
      <c r="FL322" s="338"/>
      <c r="FM322" s="337"/>
      <c r="FN322" s="336"/>
      <c r="FO322" s="336"/>
      <c r="FP322" s="336"/>
      <c r="FQ322" s="336"/>
      <c r="FR322" s="336"/>
      <c r="FS322" s="336"/>
      <c r="FT322" s="336"/>
      <c r="FU322" s="336"/>
      <c r="FV322" s="336"/>
      <c r="FW322" s="337"/>
      <c r="FX322" s="532"/>
      <c r="FY322" s="341"/>
      <c r="FZ322" s="341"/>
      <c r="GA322" s="336"/>
      <c r="GB322" s="341"/>
      <c r="GC322" s="341"/>
      <c r="GD322" s="341"/>
      <c r="GE322" s="336"/>
      <c r="GF322" s="336"/>
      <c r="GG322" s="336"/>
      <c r="GH322" s="336"/>
      <c r="GI322" s="336"/>
      <c r="GJ322" s="337"/>
      <c r="GM322" s="338"/>
      <c r="GN322" s="338"/>
      <c r="GO322" s="338"/>
      <c r="GS322" s="338"/>
      <c r="GT322" s="338"/>
      <c r="GU322" s="338"/>
      <c r="GY322" s="338"/>
      <c r="GZ322" s="338"/>
      <c r="HA322" s="338"/>
      <c r="HE322" s="338"/>
      <c r="HF322" s="338"/>
      <c r="HG322" s="338"/>
      <c r="HN322" s="68"/>
      <c r="HO322" s="68"/>
      <c r="HP322" s="68"/>
      <c r="HQ322" s="336"/>
      <c r="HR322" s="68"/>
      <c r="HS322" s="68"/>
      <c r="HT322" s="10"/>
      <c r="HW322" s="338"/>
      <c r="HX322" s="338"/>
      <c r="HY322" s="338"/>
      <c r="IC322" s="338"/>
      <c r="ID322" s="338"/>
      <c r="IE322" s="338"/>
      <c r="II322" s="338"/>
      <c r="IJ322" s="338"/>
      <c r="IK322" s="338"/>
      <c r="IO322" s="338"/>
      <c r="IP322" s="338"/>
      <c r="IQ322" s="338"/>
      <c r="IX322" s="68"/>
      <c r="IY322" s="68"/>
      <c r="IZ322" s="68"/>
      <c r="JA322" s="68"/>
      <c r="JB322" s="68"/>
      <c r="JC322" s="68"/>
      <c r="JD322" s="10"/>
      <c r="JG322" s="338"/>
      <c r="JH322" s="338"/>
      <c r="JI322" s="338"/>
      <c r="JM322" s="338"/>
      <c r="JN322" s="338"/>
      <c r="JQ322" s="338"/>
      <c r="JR322" s="338"/>
      <c r="JS322" s="338"/>
      <c r="JW322" s="358"/>
      <c r="JX322" s="336"/>
      <c r="JY322" s="336"/>
      <c r="JZ322" s="336"/>
      <c r="KA322" s="336"/>
      <c r="KB322" s="336"/>
      <c r="KC322" s="336"/>
      <c r="KD322" s="336"/>
      <c r="KE322" s="336"/>
      <c r="KF322" s="336"/>
      <c r="KG322" s="337"/>
      <c r="KH322" s="338"/>
      <c r="KI322" s="338"/>
      <c r="KJ322" s="338"/>
      <c r="KK322" s="338"/>
      <c r="KL322" s="338"/>
      <c r="KM322" s="338"/>
      <c r="KN322" s="338"/>
      <c r="KO322" s="338"/>
      <c r="KP322" s="338"/>
      <c r="KQ322" s="338"/>
      <c r="KR322" s="338"/>
      <c r="KS322" s="338"/>
      <c r="KT322" s="338"/>
      <c r="KU322" s="338"/>
      <c r="KV322" s="338"/>
      <c r="KW322" s="337"/>
      <c r="KX322" s="336"/>
      <c r="KY322" s="336"/>
      <c r="KZ322" s="336"/>
      <c r="LA322" s="336"/>
      <c r="LB322" s="336"/>
      <c r="LC322" s="336"/>
      <c r="LD322" s="336"/>
      <c r="LE322" s="336"/>
      <c r="LF322" s="336"/>
      <c r="LG322" s="336"/>
      <c r="LH322" s="336"/>
      <c r="LI322" s="336"/>
      <c r="LJ322" s="336"/>
      <c r="LK322" s="336"/>
      <c r="LL322" s="336"/>
      <c r="LM322" s="336"/>
      <c r="LN322" s="336"/>
      <c r="LO322" s="336"/>
      <c r="LP322" s="336"/>
      <c r="LQ322" s="337"/>
      <c r="MN322" s="10"/>
      <c r="OA322" s="10"/>
    </row>
    <row r="323" spans="1:391" s="370" customFormat="1" x14ac:dyDescent="0.25">
      <c r="A323" s="68"/>
      <c r="B323" s="10"/>
      <c r="C323" s="68"/>
      <c r="D323" s="68"/>
      <c r="E323" s="68"/>
      <c r="F323" s="68"/>
      <c r="G323" s="68"/>
      <c r="H323" s="68"/>
      <c r="I323" s="68"/>
      <c r="J323" s="68"/>
      <c r="K323" s="68"/>
      <c r="L323" s="68"/>
      <c r="M323" s="68"/>
      <c r="N323" s="68"/>
      <c r="O323" s="68"/>
      <c r="P323" s="68"/>
      <c r="Q323" s="68"/>
      <c r="R323" s="68"/>
      <c r="S323" s="68"/>
      <c r="T323" s="70"/>
      <c r="AC323" s="68"/>
      <c r="AD323" s="70"/>
      <c r="AM323" s="68"/>
      <c r="AN323" s="70"/>
      <c r="AU323" s="68"/>
      <c r="AV323" s="70"/>
      <c r="BB323" s="68"/>
      <c r="BC323" s="70"/>
      <c r="BD323" s="68"/>
      <c r="BE323" s="68"/>
      <c r="BF323" s="68"/>
      <c r="BG323" s="68"/>
      <c r="BH323" s="68"/>
      <c r="BI323" s="68"/>
      <c r="BJ323" s="70"/>
      <c r="BM323" s="68"/>
      <c r="BN323" s="70"/>
      <c r="BT323" s="68"/>
      <c r="BU323" s="70"/>
      <c r="BZ323" s="10"/>
      <c r="CF323" s="10"/>
      <c r="CI323" s="389"/>
      <c r="CJ323" s="389"/>
      <c r="CK323" s="68"/>
      <c r="CL323" s="70"/>
      <c r="CO323" s="10"/>
      <c r="CU323" s="10"/>
      <c r="DA323" s="10"/>
      <c r="DB323" s="70"/>
      <c r="DC323" s="70"/>
      <c r="DF323" s="68"/>
      <c r="DG323" s="70"/>
      <c r="DH323" s="68"/>
      <c r="DI323" s="386"/>
      <c r="DJ323" s="425"/>
      <c r="DL323" s="68"/>
      <c r="DM323" s="70"/>
      <c r="DQ323" s="68"/>
      <c r="DR323" s="70"/>
      <c r="DS323" s="338"/>
      <c r="DT323" s="338"/>
      <c r="DU323" s="338"/>
      <c r="DW323" s="338"/>
      <c r="DX323" s="338"/>
      <c r="DY323" s="338"/>
      <c r="EA323" s="338"/>
      <c r="EB323" s="338"/>
      <c r="EC323" s="338"/>
      <c r="EE323" s="338"/>
      <c r="EF323" s="338"/>
      <c r="EG323" s="338"/>
      <c r="EI323" s="336"/>
      <c r="EJ323" s="336"/>
      <c r="EK323" s="336"/>
      <c r="EL323" s="336"/>
      <c r="EM323" s="336"/>
      <c r="EN323" s="336"/>
      <c r="EO323" s="337"/>
      <c r="EP323" s="342"/>
      <c r="EQ323" s="336"/>
      <c r="ER323" s="342"/>
      <c r="ES323" s="336"/>
      <c r="ET323" s="342"/>
      <c r="EU323" s="336"/>
      <c r="EV323" s="342"/>
      <c r="EW323" s="336"/>
      <c r="EX323" s="342"/>
      <c r="EY323" s="342"/>
      <c r="EZ323" s="342"/>
      <c r="FA323" s="337"/>
      <c r="FE323" s="338"/>
      <c r="FH323" s="338"/>
      <c r="FI323" s="338"/>
      <c r="FJ323" s="338"/>
      <c r="FK323" s="338"/>
      <c r="FL323" s="338"/>
      <c r="FM323" s="337"/>
      <c r="FN323" s="336"/>
      <c r="FO323" s="336"/>
      <c r="FP323" s="336"/>
      <c r="FQ323" s="336"/>
      <c r="FR323" s="336"/>
      <c r="FS323" s="336"/>
      <c r="FT323" s="336"/>
      <c r="FU323" s="336"/>
      <c r="FV323" s="336"/>
      <c r="FW323" s="337"/>
      <c r="FX323" s="532"/>
      <c r="FY323" s="341"/>
      <c r="FZ323" s="341"/>
      <c r="GA323" s="336"/>
      <c r="GB323" s="341"/>
      <c r="GC323" s="341"/>
      <c r="GD323" s="341"/>
      <c r="GE323" s="336"/>
      <c r="GF323" s="336"/>
      <c r="GG323" s="336"/>
      <c r="GH323" s="336"/>
      <c r="GI323" s="336"/>
      <c r="GJ323" s="337"/>
      <c r="GM323" s="338"/>
      <c r="GN323" s="338"/>
      <c r="GO323" s="338"/>
      <c r="GS323" s="338"/>
      <c r="GT323" s="338"/>
      <c r="GU323" s="338"/>
      <c r="GY323" s="338"/>
      <c r="GZ323" s="338"/>
      <c r="HA323" s="338"/>
      <c r="HE323" s="338"/>
      <c r="HF323" s="338"/>
      <c r="HG323" s="338"/>
      <c r="HN323" s="68"/>
      <c r="HO323" s="68"/>
      <c r="HP323" s="68"/>
      <c r="HQ323" s="336"/>
      <c r="HR323" s="68"/>
      <c r="HS323" s="68"/>
      <c r="HT323" s="10"/>
      <c r="HW323" s="338"/>
      <c r="HX323" s="338"/>
      <c r="HY323" s="338"/>
      <c r="IC323" s="338"/>
      <c r="ID323" s="338"/>
      <c r="IE323" s="338"/>
      <c r="II323" s="338"/>
      <c r="IJ323" s="338"/>
      <c r="IK323" s="338"/>
      <c r="IO323" s="338"/>
      <c r="IP323" s="338"/>
      <c r="IQ323" s="338"/>
      <c r="IX323" s="68"/>
      <c r="IY323" s="68"/>
      <c r="IZ323" s="68"/>
      <c r="JA323" s="68"/>
      <c r="JB323" s="68"/>
      <c r="JC323" s="68"/>
      <c r="JD323" s="10"/>
      <c r="JG323" s="338"/>
      <c r="JH323" s="338"/>
      <c r="JI323" s="338"/>
      <c r="JM323" s="338"/>
      <c r="JN323" s="338"/>
      <c r="JQ323" s="338"/>
      <c r="JR323" s="338"/>
      <c r="JS323" s="338"/>
      <c r="JW323" s="358"/>
      <c r="JX323" s="336"/>
      <c r="JY323" s="336"/>
      <c r="JZ323" s="336"/>
      <c r="KA323" s="336"/>
      <c r="KB323" s="336"/>
      <c r="KC323" s="336"/>
      <c r="KD323" s="336"/>
      <c r="KE323" s="336"/>
      <c r="KF323" s="336"/>
      <c r="KG323" s="337"/>
      <c r="KH323" s="338"/>
      <c r="KI323" s="338"/>
      <c r="KJ323" s="338"/>
      <c r="KK323" s="338"/>
      <c r="KL323" s="338"/>
      <c r="KM323" s="338"/>
      <c r="KN323" s="338"/>
      <c r="KO323" s="338"/>
      <c r="KP323" s="338"/>
      <c r="KQ323" s="338"/>
      <c r="KR323" s="338"/>
      <c r="KS323" s="338"/>
      <c r="KT323" s="338"/>
      <c r="KU323" s="338"/>
      <c r="KV323" s="338"/>
      <c r="KW323" s="337"/>
      <c r="KX323" s="336"/>
      <c r="KY323" s="336"/>
      <c r="KZ323" s="336"/>
      <c r="LA323" s="336"/>
      <c r="LB323" s="336"/>
      <c r="LC323" s="336"/>
      <c r="LD323" s="336"/>
      <c r="LE323" s="336"/>
      <c r="LF323" s="336"/>
      <c r="LG323" s="336"/>
      <c r="LH323" s="336"/>
      <c r="LI323" s="336"/>
      <c r="LJ323" s="336"/>
      <c r="LK323" s="336"/>
      <c r="LL323" s="336"/>
      <c r="LM323" s="336"/>
      <c r="LN323" s="336"/>
      <c r="LO323" s="336"/>
      <c r="LP323" s="336"/>
      <c r="LQ323" s="337"/>
      <c r="MN323" s="10"/>
      <c r="OA323" s="10"/>
    </row>
    <row r="324" spans="1:391" s="370" customFormat="1" x14ac:dyDescent="0.25">
      <c r="A324" s="68"/>
      <c r="B324" s="10"/>
      <c r="C324" s="68"/>
      <c r="D324" s="68"/>
      <c r="E324" s="68"/>
      <c r="F324" s="68"/>
      <c r="G324" s="68"/>
      <c r="H324" s="68"/>
      <c r="I324" s="68"/>
      <c r="J324" s="68"/>
      <c r="K324" s="68"/>
      <c r="L324" s="68"/>
      <c r="M324" s="68"/>
      <c r="N324" s="68"/>
      <c r="O324" s="68"/>
      <c r="P324" s="68"/>
      <c r="Q324" s="68"/>
      <c r="R324" s="68"/>
      <c r="S324" s="68"/>
      <c r="T324" s="70"/>
      <c r="AC324" s="68"/>
      <c r="AD324" s="70"/>
      <c r="AM324" s="68"/>
      <c r="AN324" s="70"/>
      <c r="AU324" s="68"/>
      <c r="AV324" s="70"/>
      <c r="BB324" s="68"/>
      <c r="BC324" s="70"/>
      <c r="BD324" s="68"/>
      <c r="BE324" s="68"/>
      <c r="BF324" s="68"/>
      <c r="BG324" s="68"/>
      <c r="BH324" s="68"/>
      <c r="BI324" s="68"/>
      <c r="BJ324" s="70"/>
      <c r="BM324" s="68"/>
      <c r="BN324" s="70"/>
      <c r="BT324" s="68"/>
      <c r="BU324" s="70"/>
      <c r="BZ324" s="10"/>
      <c r="CF324" s="10"/>
      <c r="CI324" s="389"/>
      <c r="CJ324" s="389"/>
      <c r="CK324" s="68"/>
      <c r="CL324" s="70"/>
      <c r="CO324" s="10"/>
      <c r="CU324" s="10"/>
      <c r="DA324" s="10"/>
      <c r="DB324" s="70"/>
      <c r="DC324" s="70"/>
      <c r="DF324" s="68"/>
      <c r="DG324" s="70"/>
      <c r="DH324" s="68"/>
      <c r="DI324" s="386"/>
      <c r="DJ324" s="425"/>
      <c r="DL324" s="68"/>
      <c r="DM324" s="70"/>
      <c r="DQ324" s="68"/>
      <c r="DR324" s="70"/>
      <c r="DS324" s="338"/>
      <c r="DT324" s="338"/>
      <c r="DU324" s="338"/>
      <c r="DW324" s="338"/>
      <c r="DX324" s="338"/>
      <c r="DY324" s="338"/>
      <c r="EA324" s="338"/>
      <c r="EB324" s="338"/>
      <c r="EC324" s="338"/>
      <c r="EE324" s="338"/>
      <c r="EF324" s="338"/>
      <c r="EG324" s="338"/>
      <c r="EI324" s="336"/>
      <c r="EJ324" s="336"/>
      <c r="EK324" s="336"/>
      <c r="EL324" s="336"/>
      <c r="EM324" s="336"/>
      <c r="EN324" s="336"/>
      <c r="EO324" s="337"/>
      <c r="EP324" s="342"/>
      <c r="EQ324" s="336"/>
      <c r="ER324" s="342"/>
      <c r="ES324" s="336"/>
      <c r="ET324" s="342"/>
      <c r="EU324" s="336"/>
      <c r="EV324" s="342"/>
      <c r="EW324" s="336"/>
      <c r="EX324" s="342"/>
      <c r="EY324" s="342"/>
      <c r="EZ324" s="342"/>
      <c r="FA324" s="337"/>
      <c r="FE324" s="338"/>
      <c r="FH324" s="338"/>
      <c r="FI324" s="338"/>
      <c r="FJ324" s="338"/>
      <c r="FK324" s="338"/>
      <c r="FL324" s="338"/>
      <c r="FM324" s="337"/>
      <c r="FN324" s="336"/>
      <c r="FO324" s="336"/>
      <c r="FP324" s="336"/>
      <c r="FQ324" s="336"/>
      <c r="FR324" s="336"/>
      <c r="FS324" s="336"/>
      <c r="FT324" s="336"/>
      <c r="FU324" s="336"/>
      <c r="FV324" s="336"/>
      <c r="FW324" s="337"/>
      <c r="FX324" s="532"/>
      <c r="FY324" s="341"/>
      <c r="FZ324" s="341"/>
      <c r="GA324" s="336"/>
      <c r="GB324" s="341"/>
      <c r="GC324" s="341"/>
      <c r="GD324" s="341"/>
      <c r="GE324" s="336"/>
      <c r="GF324" s="336"/>
      <c r="GG324" s="336"/>
      <c r="GH324" s="336"/>
      <c r="GI324" s="336"/>
      <c r="GJ324" s="337"/>
      <c r="GM324" s="338"/>
      <c r="GN324" s="338"/>
      <c r="GO324" s="338"/>
      <c r="GS324" s="338"/>
      <c r="GT324" s="338"/>
      <c r="GU324" s="338"/>
      <c r="GY324" s="338"/>
      <c r="GZ324" s="338"/>
      <c r="HA324" s="338"/>
      <c r="HE324" s="338"/>
      <c r="HF324" s="338"/>
      <c r="HG324" s="338"/>
      <c r="HN324" s="68"/>
      <c r="HO324" s="68"/>
      <c r="HP324" s="68"/>
      <c r="HQ324" s="336"/>
      <c r="HR324" s="68"/>
      <c r="HS324" s="68"/>
      <c r="HT324" s="10"/>
      <c r="HW324" s="338"/>
      <c r="HX324" s="338"/>
      <c r="HY324" s="338"/>
      <c r="IC324" s="338"/>
      <c r="ID324" s="338"/>
      <c r="IE324" s="338"/>
      <c r="II324" s="338"/>
      <c r="IJ324" s="338"/>
      <c r="IK324" s="338"/>
      <c r="IO324" s="338"/>
      <c r="IP324" s="338"/>
      <c r="IQ324" s="338"/>
      <c r="IX324" s="68"/>
      <c r="IY324" s="68"/>
      <c r="IZ324" s="68"/>
      <c r="JA324" s="68"/>
      <c r="JB324" s="68"/>
      <c r="JC324" s="68"/>
      <c r="JD324" s="10"/>
      <c r="JG324" s="338"/>
      <c r="JH324" s="338"/>
      <c r="JI324" s="338"/>
      <c r="JM324" s="338"/>
      <c r="JN324" s="338"/>
      <c r="JQ324" s="338"/>
      <c r="JR324" s="338"/>
      <c r="JS324" s="338"/>
      <c r="JW324" s="358"/>
      <c r="JX324" s="336"/>
      <c r="JY324" s="336"/>
      <c r="JZ324" s="336"/>
      <c r="KA324" s="336"/>
      <c r="KB324" s="336"/>
      <c r="KC324" s="336"/>
      <c r="KD324" s="336"/>
      <c r="KE324" s="336"/>
      <c r="KF324" s="336"/>
      <c r="KG324" s="337"/>
      <c r="KH324" s="338"/>
      <c r="KI324" s="338"/>
      <c r="KJ324" s="338"/>
      <c r="KK324" s="338"/>
      <c r="KL324" s="338"/>
      <c r="KM324" s="338"/>
      <c r="KN324" s="338"/>
      <c r="KO324" s="338"/>
      <c r="KP324" s="338"/>
      <c r="KQ324" s="338"/>
      <c r="KR324" s="338"/>
      <c r="KS324" s="338"/>
      <c r="KT324" s="338"/>
      <c r="KU324" s="338"/>
      <c r="KV324" s="338"/>
      <c r="KW324" s="337"/>
      <c r="KX324" s="336"/>
      <c r="KY324" s="336"/>
      <c r="KZ324" s="336"/>
      <c r="LA324" s="336"/>
      <c r="LB324" s="336"/>
      <c r="LC324" s="336"/>
      <c r="LD324" s="336"/>
      <c r="LE324" s="336"/>
      <c r="LF324" s="336"/>
      <c r="LG324" s="336"/>
      <c r="LH324" s="336"/>
      <c r="LI324" s="336"/>
      <c r="LJ324" s="336"/>
      <c r="LK324" s="336"/>
      <c r="LL324" s="336"/>
      <c r="LM324" s="336"/>
      <c r="LN324" s="336"/>
      <c r="LO324" s="336"/>
      <c r="LP324" s="336"/>
      <c r="LQ324" s="337"/>
      <c r="MN324" s="10"/>
      <c r="OA324" s="10"/>
    </row>
    <row r="325" spans="1:391" s="370" customFormat="1" x14ac:dyDescent="0.25">
      <c r="A325" s="68"/>
      <c r="B325" s="10"/>
      <c r="C325" s="68"/>
      <c r="D325" s="68"/>
      <c r="E325" s="68"/>
      <c r="F325" s="68"/>
      <c r="G325" s="68"/>
      <c r="H325" s="68"/>
      <c r="I325" s="68"/>
      <c r="J325" s="68"/>
      <c r="K325" s="68"/>
      <c r="L325" s="68"/>
      <c r="M325" s="68"/>
      <c r="N325" s="68"/>
      <c r="O325" s="68"/>
      <c r="P325" s="68"/>
      <c r="Q325" s="68"/>
      <c r="R325" s="68"/>
      <c r="S325" s="68"/>
      <c r="T325" s="70"/>
      <c r="AC325" s="68"/>
      <c r="AD325" s="70"/>
      <c r="AM325" s="68"/>
      <c r="AN325" s="70"/>
      <c r="AU325" s="68"/>
      <c r="AV325" s="70"/>
      <c r="BB325" s="68"/>
      <c r="BC325" s="70"/>
      <c r="BD325" s="68"/>
      <c r="BE325" s="68"/>
      <c r="BF325" s="68"/>
      <c r="BG325" s="68"/>
      <c r="BH325" s="68"/>
      <c r="BI325" s="68"/>
      <c r="BJ325" s="70"/>
      <c r="BM325" s="68"/>
      <c r="BN325" s="70"/>
      <c r="BT325" s="68"/>
      <c r="BU325" s="70"/>
      <c r="BZ325" s="10"/>
      <c r="CF325" s="10"/>
      <c r="CI325" s="389"/>
      <c r="CJ325" s="389"/>
      <c r="CK325" s="68"/>
      <c r="CL325" s="70"/>
      <c r="CO325" s="10"/>
      <c r="CU325" s="10"/>
      <c r="DA325" s="10"/>
      <c r="DB325" s="70"/>
      <c r="DC325" s="70"/>
      <c r="DF325" s="68"/>
      <c r="DG325" s="70"/>
      <c r="DH325" s="68"/>
      <c r="DI325" s="386"/>
      <c r="DJ325" s="425"/>
      <c r="DL325" s="68"/>
      <c r="DM325" s="70"/>
      <c r="DQ325" s="68"/>
      <c r="DR325" s="70"/>
      <c r="DS325" s="338"/>
      <c r="DT325" s="338"/>
      <c r="DU325" s="338"/>
      <c r="DW325" s="338"/>
      <c r="DX325" s="338"/>
      <c r="DY325" s="338"/>
      <c r="EA325" s="338"/>
      <c r="EB325" s="338"/>
      <c r="EC325" s="338"/>
      <c r="EE325" s="338"/>
      <c r="EF325" s="338"/>
      <c r="EG325" s="338"/>
      <c r="EI325" s="336"/>
      <c r="EJ325" s="336"/>
      <c r="EK325" s="336"/>
      <c r="EL325" s="336"/>
      <c r="EM325" s="336"/>
      <c r="EN325" s="336"/>
      <c r="EO325" s="337"/>
      <c r="EP325" s="342"/>
      <c r="EQ325" s="336"/>
      <c r="ER325" s="342"/>
      <c r="ES325" s="336"/>
      <c r="ET325" s="342"/>
      <c r="EU325" s="336"/>
      <c r="EV325" s="342"/>
      <c r="EW325" s="336"/>
      <c r="EX325" s="342"/>
      <c r="EY325" s="342"/>
      <c r="EZ325" s="342"/>
      <c r="FA325" s="337"/>
      <c r="FE325" s="338"/>
      <c r="FH325" s="338"/>
      <c r="FI325" s="338"/>
      <c r="FJ325" s="338"/>
      <c r="FK325" s="338"/>
      <c r="FL325" s="338"/>
      <c r="FM325" s="337"/>
      <c r="FN325" s="336"/>
      <c r="FO325" s="336"/>
      <c r="FP325" s="336"/>
      <c r="FQ325" s="336"/>
      <c r="FR325" s="336"/>
      <c r="FS325" s="336"/>
      <c r="FT325" s="336"/>
      <c r="FU325" s="336"/>
      <c r="FV325" s="336"/>
      <c r="FW325" s="337"/>
      <c r="FX325" s="532"/>
      <c r="FY325" s="341"/>
      <c r="FZ325" s="341"/>
      <c r="GA325" s="336"/>
      <c r="GB325" s="341"/>
      <c r="GC325" s="341"/>
      <c r="GD325" s="341"/>
      <c r="GE325" s="336"/>
      <c r="GF325" s="336"/>
      <c r="GG325" s="336"/>
      <c r="GH325" s="336"/>
      <c r="GI325" s="336"/>
      <c r="GJ325" s="337"/>
      <c r="GM325" s="338"/>
      <c r="GN325" s="338"/>
      <c r="GO325" s="338"/>
      <c r="GS325" s="338"/>
      <c r="GT325" s="338"/>
      <c r="GU325" s="338"/>
      <c r="GY325" s="338"/>
      <c r="GZ325" s="338"/>
      <c r="HA325" s="338"/>
      <c r="HE325" s="338"/>
      <c r="HF325" s="338"/>
      <c r="HG325" s="338"/>
      <c r="HN325" s="68"/>
      <c r="HO325" s="68"/>
      <c r="HP325" s="68"/>
      <c r="HQ325" s="336"/>
      <c r="HR325" s="68"/>
      <c r="HS325" s="68"/>
      <c r="HT325" s="10"/>
      <c r="HW325" s="338"/>
      <c r="HX325" s="338"/>
      <c r="HY325" s="338"/>
      <c r="IC325" s="338"/>
      <c r="ID325" s="338"/>
      <c r="IE325" s="338"/>
      <c r="II325" s="338"/>
      <c r="IJ325" s="338"/>
      <c r="IK325" s="338"/>
      <c r="IO325" s="338"/>
      <c r="IP325" s="338"/>
      <c r="IQ325" s="338"/>
      <c r="IX325" s="68"/>
      <c r="IY325" s="68"/>
      <c r="IZ325" s="68"/>
      <c r="JA325" s="68"/>
      <c r="JB325" s="68"/>
      <c r="JC325" s="68"/>
      <c r="JD325" s="10"/>
      <c r="JG325" s="338"/>
      <c r="JH325" s="338"/>
      <c r="JI325" s="338"/>
      <c r="JM325" s="338"/>
      <c r="JN325" s="338"/>
      <c r="JQ325" s="338"/>
      <c r="JR325" s="338"/>
      <c r="JS325" s="338"/>
      <c r="JW325" s="358"/>
      <c r="JX325" s="336"/>
      <c r="JY325" s="336"/>
      <c r="JZ325" s="336"/>
      <c r="KA325" s="336"/>
      <c r="KB325" s="336"/>
      <c r="KC325" s="336"/>
      <c r="KD325" s="336"/>
      <c r="KE325" s="336"/>
      <c r="KF325" s="336"/>
      <c r="KG325" s="337"/>
      <c r="KH325" s="338"/>
      <c r="KI325" s="338"/>
      <c r="KJ325" s="338"/>
      <c r="KK325" s="338"/>
      <c r="KL325" s="338"/>
      <c r="KM325" s="338"/>
      <c r="KN325" s="338"/>
      <c r="KO325" s="338"/>
      <c r="KP325" s="338"/>
      <c r="KQ325" s="338"/>
      <c r="KR325" s="338"/>
      <c r="KS325" s="338"/>
      <c r="KT325" s="338"/>
      <c r="KU325" s="338"/>
      <c r="KV325" s="338"/>
      <c r="KW325" s="337"/>
      <c r="KX325" s="336"/>
      <c r="KY325" s="336"/>
      <c r="KZ325" s="336"/>
      <c r="LA325" s="336"/>
      <c r="LB325" s="336"/>
      <c r="LC325" s="336"/>
      <c r="LD325" s="336"/>
      <c r="LE325" s="336"/>
      <c r="LF325" s="336"/>
      <c r="LG325" s="336"/>
      <c r="LH325" s="336"/>
      <c r="LI325" s="336"/>
      <c r="LJ325" s="336"/>
      <c r="LK325" s="336"/>
      <c r="LL325" s="336"/>
      <c r="LM325" s="336"/>
      <c r="LN325" s="336"/>
      <c r="LO325" s="336"/>
      <c r="LP325" s="336"/>
      <c r="LQ325" s="337"/>
      <c r="MN325" s="10"/>
      <c r="OA325" s="10"/>
    </row>
    <row r="326" spans="1:391" s="370" customFormat="1" x14ac:dyDescent="0.25">
      <c r="A326" s="68"/>
      <c r="B326" s="10"/>
      <c r="C326" s="68"/>
      <c r="D326" s="68"/>
      <c r="E326" s="68"/>
      <c r="F326" s="68"/>
      <c r="G326" s="68"/>
      <c r="H326" s="68"/>
      <c r="I326" s="68"/>
      <c r="J326" s="68"/>
      <c r="K326" s="68"/>
      <c r="L326" s="68"/>
      <c r="M326" s="68"/>
      <c r="N326" s="68"/>
      <c r="O326" s="68"/>
      <c r="P326" s="68"/>
      <c r="Q326" s="68"/>
      <c r="R326" s="68"/>
      <c r="S326" s="68"/>
      <c r="T326" s="70"/>
      <c r="AC326" s="68"/>
      <c r="AD326" s="70"/>
      <c r="AM326" s="68"/>
      <c r="AN326" s="70"/>
      <c r="AU326" s="68"/>
      <c r="AV326" s="70"/>
      <c r="BB326" s="68"/>
      <c r="BC326" s="70"/>
      <c r="BD326" s="68"/>
      <c r="BE326" s="68"/>
      <c r="BF326" s="68"/>
      <c r="BG326" s="68"/>
      <c r="BH326" s="68"/>
      <c r="BI326" s="68"/>
      <c r="BJ326" s="70"/>
      <c r="BM326" s="68"/>
      <c r="BN326" s="70"/>
      <c r="BT326" s="68"/>
      <c r="BU326" s="70"/>
      <c r="BZ326" s="10"/>
      <c r="CF326" s="10"/>
      <c r="CI326" s="389"/>
      <c r="CJ326" s="389"/>
      <c r="CK326" s="68"/>
      <c r="CL326" s="70"/>
      <c r="CO326" s="10"/>
      <c r="CU326" s="10"/>
      <c r="DA326" s="10"/>
      <c r="DB326" s="70"/>
      <c r="DC326" s="70"/>
      <c r="DF326" s="68"/>
      <c r="DG326" s="70"/>
      <c r="DH326" s="68"/>
      <c r="DI326" s="386"/>
      <c r="DJ326" s="425"/>
      <c r="DL326" s="68"/>
      <c r="DM326" s="70"/>
      <c r="DQ326" s="68"/>
      <c r="DR326" s="70"/>
      <c r="DS326" s="338"/>
      <c r="DT326" s="338"/>
      <c r="DU326" s="338"/>
      <c r="DW326" s="338"/>
      <c r="DX326" s="338"/>
      <c r="DY326" s="338"/>
      <c r="EA326" s="338"/>
      <c r="EB326" s="338"/>
      <c r="EC326" s="338"/>
      <c r="EE326" s="338"/>
      <c r="EF326" s="338"/>
      <c r="EG326" s="338"/>
      <c r="EI326" s="336"/>
      <c r="EJ326" s="336"/>
      <c r="EK326" s="336"/>
      <c r="EL326" s="336"/>
      <c r="EM326" s="336"/>
      <c r="EN326" s="336"/>
      <c r="EO326" s="337"/>
      <c r="EP326" s="342"/>
      <c r="EQ326" s="336"/>
      <c r="ER326" s="342"/>
      <c r="ES326" s="336"/>
      <c r="ET326" s="342"/>
      <c r="EU326" s="336"/>
      <c r="EV326" s="342"/>
      <c r="EW326" s="336"/>
      <c r="EX326" s="342"/>
      <c r="EY326" s="342"/>
      <c r="EZ326" s="342"/>
      <c r="FA326" s="337"/>
      <c r="FE326" s="338"/>
      <c r="FH326" s="338"/>
      <c r="FI326" s="338"/>
      <c r="FJ326" s="338"/>
      <c r="FK326" s="338"/>
      <c r="FL326" s="338"/>
      <c r="FM326" s="337"/>
      <c r="FN326" s="336"/>
      <c r="FO326" s="336"/>
      <c r="FP326" s="336"/>
      <c r="FQ326" s="336"/>
      <c r="FR326" s="336"/>
      <c r="FS326" s="336"/>
      <c r="FT326" s="336"/>
      <c r="FU326" s="336"/>
      <c r="FV326" s="336"/>
      <c r="FW326" s="337"/>
      <c r="FX326" s="532"/>
      <c r="FY326" s="341"/>
      <c r="FZ326" s="341"/>
      <c r="GA326" s="336"/>
      <c r="GB326" s="341"/>
      <c r="GC326" s="341"/>
      <c r="GD326" s="341"/>
      <c r="GE326" s="336"/>
      <c r="GF326" s="336"/>
      <c r="GG326" s="336"/>
      <c r="GH326" s="336"/>
      <c r="GI326" s="336"/>
      <c r="GJ326" s="337"/>
      <c r="GM326" s="338"/>
      <c r="GN326" s="338"/>
      <c r="GO326" s="338"/>
      <c r="GS326" s="338"/>
      <c r="GT326" s="338"/>
      <c r="GU326" s="338"/>
      <c r="GY326" s="338"/>
      <c r="GZ326" s="338"/>
      <c r="HA326" s="338"/>
      <c r="HE326" s="338"/>
      <c r="HF326" s="338"/>
      <c r="HG326" s="338"/>
      <c r="HN326" s="68"/>
      <c r="HO326" s="68"/>
      <c r="HP326" s="68"/>
      <c r="HQ326" s="336"/>
      <c r="HR326" s="68"/>
      <c r="HS326" s="68"/>
      <c r="HT326" s="10"/>
      <c r="HW326" s="338"/>
      <c r="HX326" s="338"/>
      <c r="HY326" s="338"/>
      <c r="IC326" s="338"/>
      <c r="ID326" s="338"/>
      <c r="IE326" s="338"/>
      <c r="II326" s="338"/>
      <c r="IJ326" s="338"/>
      <c r="IK326" s="338"/>
      <c r="IO326" s="338"/>
      <c r="IP326" s="338"/>
      <c r="IQ326" s="338"/>
      <c r="IX326" s="68"/>
      <c r="IY326" s="68"/>
      <c r="IZ326" s="68"/>
      <c r="JA326" s="68"/>
      <c r="JB326" s="68"/>
      <c r="JC326" s="68"/>
      <c r="JD326" s="10"/>
      <c r="JG326" s="338"/>
      <c r="JH326" s="338"/>
      <c r="JI326" s="338"/>
      <c r="JM326" s="338"/>
      <c r="JN326" s="338"/>
      <c r="JQ326" s="338"/>
      <c r="JR326" s="338"/>
      <c r="JS326" s="338"/>
      <c r="JW326" s="358"/>
      <c r="JX326" s="336"/>
      <c r="JY326" s="336"/>
      <c r="JZ326" s="336"/>
      <c r="KA326" s="336"/>
      <c r="KB326" s="336"/>
      <c r="KC326" s="336"/>
      <c r="KD326" s="336"/>
      <c r="KE326" s="336"/>
      <c r="KF326" s="336"/>
      <c r="KG326" s="337"/>
      <c r="KH326" s="338"/>
      <c r="KI326" s="338"/>
      <c r="KJ326" s="338"/>
      <c r="KK326" s="338"/>
      <c r="KL326" s="338"/>
      <c r="KM326" s="338"/>
      <c r="KN326" s="338"/>
      <c r="KO326" s="338"/>
      <c r="KP326" s="338"/>
      <c r="KQ326" s="338"/>
      <c r="KR326" s="338"/>
      <c r="KS326" s="338"/>
      <c r="KT326" s="338"/>
      <c r="KU326" s="338"/>
      <c r="KV326" s="338"/>
      <c r="KW326" s="337"/>
      <c r="KX326" s="336"/>
      <c r="KY326" s="336"/>
      <c r="KZ326" s="336"/>
      <c r="LA326" s="336"/>
      <c r="LB326" s="336"/>
      <c r="LC326" s="336"/>
      <c r="LD326" s="336"/>
      <c r="LE326" s="336"/>
      <c r="LF326" s="336"/>
      <c r="LG326" s="336"/>
      <c r="LH326" s="336"/>
      <c r="LI326" s="336"/>
      <c r="LJ326" s="336"/>
      <c r="LK326" s="336"/>
      <c r="LL326" s="336"/>
      <c r="LM326" s="336"/>
      <c r="LN326" s="336"/>
      <c r="LO326" s="336"/>
      <c r="LP326" s="336"/>
      <c r="LQ326" s="337"/>
      <c r="MN326" s="10"/>
      <c r="OA326" s="10"/>
    </row>
    <row r="327" spans="1:391" s="370" customFormat="1" x14ac:dyDescent="0.25">
      <c r="A327" s="68"/>
      <c r="B327" s="10"/>
      <c r="C327" s="68"/>
      <c r="D327" s="68"/>
      <c r="E327" s="68"/>
      <c r="F327" s="68"/>
      <c r="G327" s="68"/>
      <c r="H327" s="68"/>
      <c r="I327" s="68"/>
      <c r="J327" s="68"/>
      <c r="K327" s="68"/>
      <c r="L327" s="68"/>
      <c r="M327" s="68"/>
      <c r="N327" s="68"/>
      <c r="O327" s="68"/>
      <c r="P327" s="68"/>
      <c r="Q327" s="68"/>
      <c r="R327" s="68"/>
      <c r="S327" s="68"/>
      <c r="T327" s="70"/>
      <c r="AC327" s="68"/>
      <c r="AD327" s="70"/>
      <c r="AM327" s="68"/>
      <c r="AN327" s="70"/>
      <c r="AU327" s="68"/>
      <c r="AV327" s="70"/>
      <c r="BB327" s="68"/>
      <c r="BC327" s="70"/>
      <c r="BD327" s="68"/>
      <c r="BE327" s="68"/>
      <c r="BF327" s="68"/>
      <c r="BG327" s="68"/>
      <c r="BH327" s="68"/>
      <c r="BI327" s="68"/>
      <c r="BJ327" s="70"/>
      <c r="BM327" s="68"/>
      <c r="BN327" s="70"/>
      <c r="BT327" s="68"/>
      <c r="BU327" s="70"/>
      <c r="BZ327" s="10"/>
      <c r="CF327" s="10"/>
      <c r="CI327" s="389"/>
      <c r="CJ327" s="389"/>
      <c r="CK327" s="68"/>
      <c r="CL327" s="70"/>
      <c r="CO327" s="10"/>
      <c r="CU327" s="10"/>
      <c r="DA327" s="10"/>
      <c r="DB327" s="70"/>
      <c r="DC327" s="70"/>
      <c r="DF327" s="68"/>
      <c r="DG327" s="70"/>
      <c r="DH327" s="68"/>
      <c r="DI327" s="386"/>
      <c r="DJ327" s="425"/>
      <c r="DL327" s="68"/>
      <c r="DM327" s="70"/>
      <c r="DQ327" s="68"/>
      <c r="DR327" s="70"/>
      <c r="DS327" s="338"/>
      <c r="DT327" s="338"/>
      <c r="DU327" s="338"/>
      <c r="DW327" s="338"/>
      <c r="DX327" s="338"/>
      <c r="DY327" s="338"/>
      <c r="EA327" s="338"/>
      <c r="EB327" s="338"/>
      <c r="EC327" s="338"/>
      <c r="EE327" s="338"/>
      <c r="EF327" s="338"/>
      <c r="EG327" s="338"/>
      <c r="EI327" s="336"/>
      <c r="EJ327" s="336"/>
      <c r="EK327" s="336"/>
      <c r="EL327" s="336"/>
      <c r="EM327" s="336"/>
      <c r="EN327" s="336"/>
      <c r="EO327" s="337"/>
      <c r="EP327" s="342"/>
      <c r="EQ327" s="336"/>
      <c r="ER327" s="342"/>
      <c r="ES327" s="336"/>
      <c r="ET327" s="342"/>
      <c r="EU327" s="336"/>
      <c r="EV327" s="342"/>
      <c r="EW327" s="336"/>
      <c r="EX327" s="342"/>
      <c r="EY327" s="342"/>
      <c r="EZ327" s="342"/>
      <c r="FA327" s="337"/>
      <c r="FE327" s="338"/>
      <c r="FH327" s="338"/>
      <c r="FI327" s="338"/>
      <c r="FJ327" s="338"/>
      <c r="FK327" s="338"/>
      <c r="FL327" s="338"/>
      <c r="FM327" s="337"/>
      <c r="FN327" s="336"/>
      <c r="FO327" s="336"/>
      <c r="FP327" s="336"/>
      <c r="FQ327" s="336"/>
      <c r="FR327" s="336"/>
      <c r="FS327" s="336"/>
      <c r="FT327" s="336"/>
      <c r="FU327" s="336"/>
      <c r="FV327" s="336"/>
      <c r="FW327" s="337"/>
      <c r="FX327" s="532"/>
      <c r="FY327" s="341"/>
      <c r="FZ327" s="341"/>
      <c r="GA327" s="336"/>
      <c r="GB327" s="341"/>
      <c r="GC327" s="341"/>
      <c r="GD327" s="341"/>
      <c r="GE327" s="336"/>
      <c r="GF327" s="336"/>
      <c r="GG327" s="336"/>
      <c r="GH327" s="336"/>
      <c r="GI327" s="336"/>
      <c r="GJ327" s="337"/>
      <c r="GM327" s="338"/>
      <c r="GN327" s="338"/>
      <c r="GO327" s="338"/>
      <c r="GS327" s="338"/>
      <c r="GT327" s="338"/>
      <c r="GU327" s="338"/>
      <c r="GY327" s="338"/>
      <c r="GZ327" s="338"/>
      <c r="HA327" s="338"/>
      <c r="HE327" s="338"/>
      <c r="HF327" s="338"/>
      <c r="HG327" s="338"/>
      <c r="HN327" s="68"/>
      <c r="HO327" s="68"/>
      <c r="HP327" s="68"/>
      <c r="HQ327" s="336"/>
      <c r="HR327" s="68"/>
      <c r="HS327" s="68"/>
      <c r="HT327" s="10"/>
      <c r="HW327" s="338"/>
      <c r="HX327" s="338"/>
      <c r="HY327" s="338"/>
      <c r="IC327" s="338"/>
      <c r="ID327" s="338"/>
      <c r="IE327" s="338"/>
      <c r="II327" s="338"/>
      <c r="IJ327" s="338"/>
      <c r="IK327" s="338"/>
      <c r="IO327" s="338"/>
      <c r="IP327" s="338"/>
      <c r="IQ327" s="338"/>
      <c r="IX327" s="68"/>
      <c r="IY327" s="68"/>
      <c r="IZ327" s="68"/>
      <c r="JA327" s="68"/>
      <c r="JB327" s="68"/>
      <c r="JC327" s="68"/>
      <c r="JD327" s="10"/>
      <c r="JG327" s="338"/>
      <c r="JH327" s="338"/>
      <c r="JI327" s="338"/>
      <c r="JM327" s="338"/>
      <c r="JN327" s="338"/>
      <c r="JQ327" s="338"/>
      <c r="JR327" s="338"/>
      <c r="JS327" s="338"/>
      <c r="JW327" s="358"/>
      <c r="JX327" s="336"/>
      <c r="JY327" s="336"/>
      <c r="JZ327" s="336"/>
      <c r="KA327" s="336"/>
      <c r="KB327" s="336"/>
      <c r="KC327" s="336"/>
      <c r="KD327" s="336"/>
      <c r="KE327" s="336"/>
      <c r="KF327" s="336"/>
      <c r="KG327" s="337"/>
      <c r="KH327" s="338"/>
      <c r="KI327" s="338"/>
      <c r="KJ327" s="338"/>
      <c r="KK327" s="338"/>
      <c r="KL327" s="338"/>
      <c r="KM327" s="338"/>
      <c r="KN327" s="338"/>
      <c r="KO327" s="338"/>
      <c r="KP327" s="338"/>
      <c r="KQ327" s="338"/>
      <c r="KR327" s="338"/>
      <c r="KS327" s="338"/>
      <c r="KT327" s="338"/>
      <c r="KU327" s="338"/>
      <c r="KV327" s="338"/>
      <c r="KW327" s="337"/>
      <c r="KX327" s="336"/>
      <c r="KY327" s="336"/>
      <c r="KZ327" s="336"/>
      <c r="LA327" s="336"/>
      <c r="LB327" s="336"/>
      <c r="LC327" s="336"/>
      <c r="LD327" s="336"/>
      <c r="LE327" s="336"/>
      <c r="LF327" s="336"/>
      <c r="LG327" s="336"/>
      <c r="LH327" s="336"/>
      <c r="LI327" s="336"/>
      <c r="LJ327" s="336"/>
      <c r="LK327" s="336"/>
      <c r="LL327" s="336"/>
      <c r="LM327" s="336"/>
      <c r="LN327" s="336"/>
      <c r="LO327" s="336"/>
      <c r="LP327" s="336"/>
      <c r="LQ327" s="337"/>
      <c r="MN327" s="10"/>
      <c r="OA327" s="10"/>
    </row>
    <row r="328" spans="1:391" s="370" customFormat="1" x14ac:dyDescent="0.25">
      <c r="A328" s="68"/>
      <c r="B328" s="10"/>
      <c r="C328" s="68"/>
      <c r="D328" s="68"/>
      <c r="E328" s="68"/>
      <c r="F328" s="68"/>
      <c r="G328" s="68"/>
      <c r="H328" s="68"/>
      <c r="I328" s="68"/>
      <c r="J328" s="68"/>
      <c r="K328" s="68"/>
      <c r="L328" s="68"/>
      <c r="M328" s="68"/>
      <c r="N328" s="68"/>
      <c r="O328" s="68"/>
      <c r="P328" s="68"/>
      <c r="Q328" s="68"/>
      <c r="R328" s="68"/>
      <c r="S328" s="68"/>
      <c r="T328" s="70"/>
      <c r="AC328" s="68"/>
      <c r="AD328" s="70"/>
      <c r="AM328" s="68"/>
      <c r="AN328" s="70"/>
      <c r="AU328" s="68"/>
      <c r="AV328" s="70"/>
      <c r="BB328" s="68"/>
      <c r="BC328" s="70"/>
      <c r="BD328" s="68"/>
      <c r="BE328" s="68"/>
      <c r="BF328" s="68"/>
      <c r="BG328" s="68"/>
      <c r="BH328" s="68"/>
      <c r="BI328" s="68"/>
      <c r="BJ328" s="70"/>
      <c r="BM328" s="68"/>
      <c r="BN328" s="70"/>
      <c r="BT328" s="68"/>
      <c r="BU328" s="70"/>
      <c r="BZ328" s="10"/>
      <c r="CF328" s="10"/>
      <c r="CI328" s="389"/>
      <c r="CJ328" s="389"/>
      <c r="CK328" s="68"/>
      <c r="CL328" s="70"/>
      <c r="CO328" s="10"/>
      <c r="CU328" s="10"/>
      <c r="DA328" s="10"/>
      <c r="DB328" s="70"/>
      <c r="DC328" s="70"/>
      <c r="DF328" s="68"/>
      <c r="DG328" s="70"/>
      <c r="DH328" s="68"/>
      <c r="DI328" s="386"/>
      <c r="DJ328" s="425"/>
      <c r="DL328" s="68"/>
      <c r="DM328" s="70"/>
      <c r="DQ328" s="68"/>
      <c r="DR328" s="70"/>
      <c r="DS328" s="338"/>
      <c r="DT328" s="338"/>
      <c r="DU328" s="338"/>
      <c r="DW328" s="338"/>
      <c r="DX328" s="338"/>
      <c r="DY328" s="338"/>
      <c r="EA328" s="338"/>
      <c r="EB328" s="338"/>
      <c r="EC328" s="338"/>
      <c r="EE328" s="338"/>
      <c r="EF328" s="338"/>
      <c r="EG328" s="338"/>
      <c r="EI328" s="336"/>
      <c r="EJ328" s="336"/>
      <c r="EK328" s="336"/>
      <c r="EL328" s="336"/>
      <c r="EM328" s="336"/>
      <c r="EN328" s="336"/>
      <c r="EO328" s="337"/>
      <c r="EP328" s="342"/>
      <c r="EQ328" s="336"/>
      <c r="ER328" s="342"/>
      <c r="ES328" s="336"/>
      <c r="ET328" s="342"/>
      <c r="EU328" s="336"/>
      <c r="EV328" s="342"/>
      <c r="EW328" s="336"/>
      <c r="EX328" s="342"/>
      <c r="EY328" s="342"/>
      <c r="EZ328" s="342"/>
      <c r="FA328" s="337"/>
      <c r="FE328" s="338"/>
      <c r="FH328" s="338"/>
      <c r="FI328" s="338"/>
      <c r="FJ328" s="338"/>
      <c r="FK328" s="338"/>
      <c r="FL328" s="338"/>
      <c r="FM328" s="337"/>
      <c r="FN328" s="336"/>
      <c r="FO328" s="336"/>
      <c r="FP328" s="336"/>
      <c r="FQ328" s="336"/>
      <c r="FR328" s="336"/>
      <c r="FS328" s="336"/>
      <c r="FT328" s="336"/>
      <c r="FU328" s="336"/>
      <c r="FV328" s="336"/>
      <c r="FW328" s="337"/>
      <c r="FX328" s="532"/>
      <c r="FY328" s="341"/>
      <c r="FZ328" s="341"/>
      <c r="GA328" s="336"/>
      <c r="GB328" s="341"/>
      <c r="GC328" s="341"/>
      <c r="GD328" s="341"/>
      <c r="GE328" s="336"/>
      <c r="GF328" s="336"/>
      <c r="GG328" s="336"/>
      <c r="GH328" s="336"/>
      <c r="GI328" s="336"/>
      <c r="GJ328" s="337"/>
      <c r="GM328" s="338"/>
      <c r="GN328" s="338"/>
      <c r="GO328" s="338"/>
      <c r="GS328" s="338"/>
      <c r="GT328" s="338"/>
      <c r="GU328" s="338"/>
      <c r="GY328" s="338"/>
      <c r="GZ328" s="338"/>
      <c r="HA328" s="338"/>
      <c r="HE328" s="338"/>
      <c r="HF328" s="338"/>
      <c r="HG328" s="338"/>
      <c r="HN328" s="68"/>
      <c r="HO328" s="68"/>
      <c r="HP328" s="68"/>
      <c r="HQ328" s="336"/>
      <c r="HR328" s="68"/>
      <c r="HS328" s="68"/>
      <c r="HT328" s="10"/>
      <c r="HW328" s="338"/>
      <c r="HX328" s="338"/>
      <c r="HY328" s="338"/>
      <c r="IC328" s="338"/>
      <c r="ID328" s="338"/>
      <c r="IE328" s="338"/>
      <c r="II328" s="338"/>
      <c r="IJ328" s="338"/>
      <c r="IK328" s="338"/>
      <c r="IO328" s="338"/>
      <c r="IP328" s="338"/>
      <c r="IQ328" s="338"/>
      <c r="IX328" s="68"/>
      <c r="IY328" s="68"/>
      <c r="IZ328" s="68"/>
      <c r="JA328" s="68"/>
      <c r="JB328" s="68"/>
      <c r="JC328" s="68"/>
      <c r="JD328" s="10"/>
      <c r="JG328" s="338"/>
      <c r="JH328" s="338"/>
      <c r="JI328" s="338"/>
      <c r="JM328" s="338"/>
      <c r="JN328" s="338"/>
      <c r="JQ328" s="338"/>
      <c r="JR328" s="338"/>
      <c r="JS328" s="338"/>
      <c r="JW328" s="358"/>
      <c r="JX328" s="336"/>
      <c r="JY328" s="336"/>
      <c r="JZ328" s="336"/>
      <c r="KA328" s="336"/>
      <c r="KB328" s="336"/>
      <c r="KC328" s="336"/>
      <c r="KD328" s="336"/>
      <c r="KE328" s="336"/>
      <c r="KF328" s="336"/>
      <c r="KG328" s="337"/>
      <c r="KH328" s="338"/>
      <c r="KI328" s="338"/>
      <c r="KJ328" s="338"/>
      <c r="KK328" s="338"/>
      <c r="KL328" s="338"/>
      <c r="KM328" s="338"/>
      <c r="KN328" s="338"/>
      <c r="KO328" s="338"/>
      <c r="KP328" s="338"/>
      <c r="KQ328" s="338"/>
      <c r="KR328" s="338"/>
      <c r="KS328" s="338"/>
      <c r="KT328" s="338"/>
      <c r="KU328" s="338"/>
      <c r="KV328" s="338"/>
      <c r="KW328" s="337"/>
      <c r="KX328" s="336"/>
      <c r="KY328" s="336"/>
      <c r="KZ328" s="336"/>
      <c r="LA328" s="336"/>
      <c r="LB328" s="336"/>
      <c r="LC328" s="336"/>
      <c r="LD328" s="336"/>
      <c r="LE328" s="336"/>
      <c r="LF328" s="336"/>
      <c r="LG328" s="336"/>
      <c r="LH328" s="336"/>
      <c r="LI328" s="336"/>
      <c r="LJ328" s="336"/>
      <c r="LK328" s="336"/>
      <c r="LL328" s="336"/>
      <c r="LM328" s="336"/>
      <c r="LN328" s="336"/>
      <c r="LO328" s="336"/>
      <c r="LP328" s="336"/>
      <c r="LQ328" s="337"/>
      <c r="MN328" s="10"/>
      <c r="OA328" s="10"/>
    </row>
    <row r="329" spans="1:391" s="370" customFormat="1" x14ac:dyDescent="0.25">
      <c r="A329" s="68"/>
      <c r="B329" s="10"/>
      <c r="C329" s="68"/>
      <c r="D329" s="68"/>
      <c r="E329" s="68"/>
      <c r="F329" s="68"/>
      <c r="G329" s="68"/>
      <c r="H329" s="68"/>
      <c r="I329" s="68"/>
      <c r="J329" s="68"/>
      <c r="K329" s="68"/>
      <c r="L329" s="68"/>
      <c r="M329" s="68"/>
      <c r="N329" s="68"/>
      <c r="O329" s="68"/>
      <c r="P329" s="68"/>
      <c r="Q329" s="68"/>
      <c r="R329" s="68"/>
      <c r="S329" s="68"/>
      <c r="T329" s="70"/>
      <c r="AC329" s="68"/>
      <c r="AD329" s="70"/>
      <c r="AM329" s="68"/>
      <c r="AN329" s="70"/>
      <c r="AU329" s="68"/>
      <c r="AV329" s="70"/>
      <c r="BB329" s="68"/>
      <c r="BC329" s="70"/>
      <c r="BD329" s="68"/>
      <c r="BE329" s="68"/>
      <c r="BF329" s="68"/>
      <c r="BG329" s="68"/>
      <c r="BH329" s="68"/>
      <c r="BI329" s="68"/>
      <c r="BJ329" s="70"/>
      <c r="BM329" s="68"/>
      <c r="BN329" s="70"/>
      <c r="BT329" s="68"/>
      <c r="BU329" s="70"/>
      <c r="BZ329" s="10"/>
      <c r="CF329" s="10"/>
      <c r="CI329" s="389"/>
      <c r="CJ329" s="389"/>
      <c r="CK329" s="68"/>
      <c r="CL329" s="70"/>
      <c r="CO329" s="10"/>
      <c r="CU329" s="10"/>
      <c r="DA329" s="10"/>
      <c r="DB329" s="70"/>
      <c r="DC329" s="70"/>
      <c r="DF329" s="68"/>
      <c r="DG329" s="70"/>
      <c r="DH329" s="68"/>
      <c r="DI329" s="386"/>
      <c r="DJ329" s="425"/>
      <c r="DL329" s="68"/>
      <c r="DM329" s="70"/>
      <c r="DQ329" s="68"/>
      <c r="DR329" s="70"/>
      <c r="DS329" s="338"/>
      <c r="DT329" s="338"/>
      <c r="DU329" s="338"/>
      <c r="DW329" s="338"/>
      <c r="DX329" s="338"/>
      <c r="DY329" s="338"/>
      <c r="EA329" s="338"/>
      <c r="EB329" s="338"/>
      <c r="EC329" s="338"/>
      <c r="EE329" s="338"/>
      <c r="EF329" s="338"/>
      <c r="EG329" s="338"/>
      <c r="EI329" s="336"/>
      <c r="EJ329" s="336"/>
      <c r="EK329" s="336"/>
      <c r="EL329" s="336"/>
      <c r="EM329" s="336"/>
      <c r="EN329" s="336"/>
      <c r="EO329" s="337"/>
      <c r="EP329" s="342"/>
      <c r="EQ329" s="336"/>
      <c r="ER329" s="342"/>
      <c r="ES329" s="336"/>
      <c r="ET329" s="342"/>
      <c r="EU329" s="336"/>
      <c r="EV329" s="342"/>
      <c r="EW329" s="336"/>
      <c r="EX329" s="342"/>
      <c r="EY329" s="342"/>
      <c r="EZ329" s="342"/>
      <c r="FA329" s="337"/>
      <c r="FE329" s="338"/>
      <c r="FH329" s="338"/>
      <c r="FI329" s="338"/>
      <c r="FJ329" s="338"/>
      <c r="FK329" s="338"/>
      <c r="FL329" s="338"/>
      <c r="FM329" s="337"/>
      <c r="FN329" s="336"/>
      <c r="FO329" s="336"/>
      <c r="FP329" s="336"/>
      <c r="FQ329" s="336"/>
      <c r="FR329" s="336"/>
      <c r="FS329" s="336"/>
      <c r="FT329" s="336"/>
      <c r="FU329" s="336"/>
      <c r="FV329" s="336"/>
      <c r="FW329" s="337"/>
      <c r="FX329" s="532"/>
      <c r="FY329" s="341"/>
      <c r="FZ329" s="341"/>
      <c r="GA329" s="336"/>
      <c r="GB329" s="341"/>
      <c r="GC329" s="341"/>
      <c r="GD329" s="341"/>
      <c r="GE329" s="336"/>
      <c r="GF329" s="336"/>
      <c r="GG329" s="336"/>
      <c r="GH329" s="336"/>
      <c r="GI329" s="336"/>
      <c r="GJ329" s="337"/>
      <c r="GM329" s="338"/>
      <c r="GN329" s="338"/>
      <c r="GO329" s="338"/>
      <c r="GS329" s="338"/>
      <c r="GT329" s="338"/>
      <c r="GU329" s="338"/>
      <c r="GY329" s="338"/>
      <c r="GZ329" s="338"/>
      <c r="HA329" s="338"/>
      <c r="HE329" s="338"/>
      <c r="HF329" s="338"/>
      <c r="HG329" s="338"/>
      <c r="HN329" s="68"/>
      <c r="HO329" s="68"/>
      <c r="HP329" s="68"/>
      <c r="HQ329" s="336"/>
      <c r="HR329" s="68"/>
      <c r="HS329" s="68"/>
      <c r="HT329" s="10"/>
      <c r="HW329" s="338"/>
      <c r="HX329" s="338"/>
      <c r="HY329" s="338"/>
      <c r="IC329" s="338"/>
      <c r="ID329" s="338"/>
      <c r="IE329" s="338"/>
      <c r="II329" s="338"/>
      <c r="IJ329" s="338"/>
      <c r="IK329" s="338"/>
      <c r="IO329" s="338"/>
      <c r="IP329" s="338"/>
      <c r="IQ329" s="338"/>
      <c r="IX329" s="68"/>
      <c r="IY329" s="68"/>
      <c r="IZ329" s="68"/>
      <c r="JA329" s="68"/>
      <c r="JB329" s="68"/>
      <c r="JC329" s="68"/>
      <c r="JD329" s="10"/>
      <c r="JG329" s="338"/>
      <c r="JH329" s="338"/>
      <c r="JI329" s="338"/>
      <c r="JM329" s="338"/>
      <c r="JN329" s="338"/>
      <c r="JQ329" s="338"/>
      <c r="JR329" s="338"/>
      <c r="JS329" s="338"/>
      <c r="JW329" s="358"/>
      <c r="JX329" s="336"/>
      <c r="JY329" s="336"/>
      <c r="JZ329" s="336"/>
      <c r="KA329" s="336"/>
      <c r="KB329" s="336"/>
      <c r="KC329" s="336"/>
      <c r="KD329" s="336"/>
      <c r="KE329" s="336"/>
      <c r="KF329" s="336"/>
      <c r="KG329" s="337"/>
      <c r="KH329" s="338"/>
      <c r="KI329" s="338"/>
      <c r="KJ329" s="338"/>
      <c r="KK329" s="338"/>
      <c r="KL329" s="338"/>
      <c r="KM329" s="338"/>
      <c r="KN329" s="338"/>
      <c r="KO329" s="338"/>
      <c r="KP329" s="338"/>
      <c r="KQ329" s="338"/>
      <c r="KR329" s="338"/>
      <c r="KS329" s="338"/>
      <c r="KT329" s="338"/>
      <c r="KU329" s="338"/>
      <c r="KV329" s="338"/>
      <c r="KW329" s="337"/>
      <c r="KX329" s="336"/>
      <c r="KY329" s="336"/>
      <c r="KZ329" s="336"/>
      <c r="LA329" s="336"/>
      <c r="LB329" s="336"/>
      <c r="LC329" s="336"/>
      <c r="LD329" s="336"/>
      <c r="LE329" s="336"/>
      <c r="LF329" s="336"/>
      <c r="LG329" s="336"/>
      <c r="LH329" s="336"/>
      <c r="LI329" s="336"/>
      <c r="LJ329" s="336"/>
      <c r="LK329" s="336"/>
      <c r="LL329" s="336"/>
      <c r="LM329" s="336"/>
      <c r="LN329" s="336"/>
      <c r="LO329" s="336"/>
      <c r="LP329" s="336"/>
      <c r="LQ329" s="337"/>
      <c r="MN329" s="10"/>
      <c r="OA329" s="10"/>
    </row>
    <row r="330" spans="1:391" s="370" customFormat="1" x14ac:dyDescent="0.25">
      <c r="A330" s="68"/>
      <c r="B330" s="10"/>
      <c r="C330" s="68"/>
      <c r="D330" s="68"/>
      <c r="E330" s="68"/>
      <c r="F330" s="68"/>
      <c r="G330" s="68"/>
      <c r="H330" s="68"/>
      <c r="I330" s="68"/>
      <c r="J330" s="68"/>
      <c r="K330" s="68"/>
      <c r="L330" s="68"/>
      <c r="M330" s="68"/>
      <c r="N330" s="68"/>
      <c r="O330" s="68"/>
      <c r="P330" s="68"/>
      <c r="Q330" s="68"/>
      <c r="R330" s="68"/>
      <c r="S330" s="68"/>
      <c r="T330" s="70"/>
      <c r="AC330" s="68"/>
      <c r="AD330" s="70"/>
      <c r="AM330" s="68"/>
      <c r="AN330" s="70"/>
      <c r="AU330" s="68"/>
      <c r="AV330" s="70"/>
      <c r="BB330" s="68"/>
      <c r="BC330" s="70"/>
      <c r="BD330" s="68"/>
      <c r="BE330" s="68"/>
      <c r="BF330" s="68"/>
      <c r="BG330" s="68"/>
      <c r="BH330" s="68"/>
      <c r="BI330" s="68"/>
      <c r="BJ330" s="70"/>
      <c r="BM330" s="68"/>
      <c r="BN330" s="70"/>
      <c r="BT330" s="68"/>
      <c r="BU330" s="70"/>
      <c r="BZ330" s="10"/>
      <c r="CF330" s="10"/>
      <c r="CI330" s="389"/>
      <c r="CJ330" s="389"/>
      <c r="CK330" s="68"/>
      <c r="CL330" s="70"/>
      <c r="CO330" s="10"/>
      <c r="CU330" s="10"/>
      <c r="DA330" s="10"/>
      <c r="DB330" s="70"/>
      <c r="DC330" s="70"/>
      <c r="DF330" s="68"/>
      <c r="DG330" s="70"/>
      <c r="DH330" s="68"/>
      <c r="DI330" s="386"/>
      <c r="DJ330" s="425"/>
      <c r="DL330" s="68"/>
      <c r="DM330" s="70"/>
      <c r="DQ330" s="68"/>
      <c r="DR330" s="70"/>
      <c r="DS330" s="338"/>
      <c r="DT330" s="338"/>
      <c r="DU330" s="338"/>
      <c r="DW330" s="338"/>
      <c r="DX330" s="338"/>
      <c r="DY330" s="338"/>
      <c r="EA330" s="338"/>
      <c r="EB330" s="338"/>
      <c r="EC330" s="338"/>
      <c r="EE330" s="338"/>
      <c r="EF330" s="338"/>
      <c r="EG330" s="338"/>
      <c r="EI330" s="336"/>
      <c r="EJ330" s="336"/>
      <c r="EK330" s="336"/>
      <c r="EL330" s="336"/>
      <c r="EM330" s="336"/>
      <c r="EN330" s="336"/>
      <c r="EO330" s="337"/>
      <c r="EP330" s="342"/>
      <c r="EQ330" s="336"/>
      <c r="ER330" s="342"/>
      <c r="ES330" s="336"/>
      <c r="ET330" s="342"/>
      <c r="EU330" s="336"/>
      <c r="EV330" s="342"/>
      <c r="EW330" s="336"/>
      <c r="EX330" s="342"/>
      <c r="EY330" s="342"/>
      <c r="EZ330" s="342"/>
      <c r="FA330" s="337"/>
      <c r="FE330" s="338"/>
      <c r="FH330" s="338"/>
      <c r="FI330" s="338"/>
      <c r="FJ330" s="338"/>
      <c r="FK330" s="338"/>
      <c r="FL330" s="338"/>
      <c r="FM330" s="337"/>
      <c r="FN330" s="336"/>
      <c r="FO330" s="336"/>
      <c r="FP330" s="336"/>
      <c r="FQ330" s="336"/>
      <c r="FR330" s="336"/>
      <c r="FS330" s="336"/>
      <c r="FT330" s="336"/>
      <c r="FU330" s="336"/>
      <c r="FV330" s="336"/>
      <c r="FW330" s="337"/>
      <c r="FX330" s="532"/>
      <c r="FY330" s="341"/>
      <c r="FZ330" s="341"/>
      <c r="GA330" s="336"/>
      <c r="GB330" s="341"/>
      <c r="GC330" s="341"/>
      <c r="GD330" s="341"/>
      <c r="GE330" s="336"/>
      <c r="GF330" s="336"/>
      <c r="GG330" s="336"/>
      <c r="GH330" s="336"/>
      <c r="GI330" s="336"/>
      <c r="GJ330" s="337"/>
      <c r="GM330" s="338"/>
      <c r="GN330" s="338"/>
      <c r="GO330" s="338"/>
      <c r="GS330" s="338"/>
      <c r="GT330" s="338"/>
      <c r="GU330" s="338"/>
      <c r="GY330" s="338"/>
      <c r="GZ330" s="338"/>
      <c r="HA330" s="338"/>
      <c r="HE330" s="338"/>
      <c r="HF330" s="338"/>
      <c r="HG330" s="338"/>
      <c r="HN330" s="68"/>
      <c r="HO330" s="68"/>
      <c r="HP330" s="68"/>
      <c r="HQ330" s="336"/>
      <c r="HR330" s="68"/>
      <c r="HS330" s="68"/>
      <c r="HT330" s="10"/>
      <c r="HW330" s="338"/>
      <c r="HX330" s="338"/>
      <c r="HY330" s="338"/>
      <c r="IC330" s="338"/>
      <c r="ID330" s="338"/>
      <c r="IE330" s="338"/>
      <c r="II330" s="338"/>
      <c r="IJ330" s="338"/>
      <c r="IK330" s="338"/>
      <c r="IO330" s="338"/>
      <c r="IP330" s="338"/>
      <c r="IQ330" s="338"/>
      <c r="IX330" s="68"/>
      <c r="IY330" s="68"/>
      <c r="IZ330" s="68"/>
      <c r="JA330" s="68"/>
      <c r="JB330" s="68"/>
      <c r="JC330" s="68"/>
      <c r="JD330" s="10"/>
      <c r="JG330" s="338"/>
      <c r="JH330" s="338"/>
      <c r="JI330" s="338"/>
      <c r="JM330" s="338"/>
      <c r="JN330" s="338"/>
      <c r="JQ330" s="338"/>
      <c r="JR330" s="338"/>
      <c r="JS330" s="338"/>
      <c r="JW330" s="358"/>
      <c r="JX330" s="336"/>
      <c r="JY330" s="336"/>
      <c r="JZ330" s="336"/>
      <c r="KA330" s="336"/>
      <c r="KB330" s="336"/>
      <c r="KC330" s="336"/>
      <c r="KD330" s="336"/>
      <c r="KE330" s="336"/>
      <c r="KF330" s="336"/>
      <c r="KG330" s="337"/>
      <c r="KH330" s="338"/>
      <c r="KI330" s="338"/>
      <c r="KJ330" s="338"/>
      <c r="KK330" s="338"/>
      <c r="KL330" s="338"/>
      <c r="KM330" s="338"/>
      <c r="KN330" s="338"/>
      <c r="KO330" s="338"/>
      <c r="KP330" s="338"/>
      <c r="KQ330" s="338"/>
      <c r="KR330" s="338"/>
      <c r="KS330" s="338"/>
      <c r="KT330" s="338"/>
      <c r="KU330" s="338"/>
      <c r="KV330" s="338"/>
      <c r="KW330" s="337"/>
      <c r="KX330" s="336"/>
      <c r="KY330" s="336"/>
      <c r="KZ330" s="336"/>
      <c r="LA330" s="336"/>
      <c r="LB330" s="336"/>
      <c r="LC330" s="336"/>
      <c r="LD330" s="336"/>
      <c r="LE330" s="336"/>
      <c r="LF330" s="336"/>
      <c r="LG330" s="336"/>
      <c r="LH330" s="336"/>
      <c r="LI330" s="336"/>
      <c r="LJ330" s="336"/>
      <c r="LK330" s="336"/>
      <c r="LL330" s="336"/>
      <c r="LM330" s="336"/>
      <c r="LN330" s="336"/>
      <c r="LO330" s="336"/>
      <c r="LP330" s="336"/>
      <c r="LQ330" s="337"/>
      <c r="MN330" s="10"/>
      <c r="OA330" s="10"/>
    </row>
    <row r="331" spans="1:391" s="370" customFormat="1" x14ac:dyDescent="0.25">
      <c r="A331" s="68"/>
      <c r="B331" s="10"/>
      <c r="C331" s="68"/>
      <c r="D331" s="68"/>
      <c r="E331" s="68"/>
      <c r="F331" s="68"/>
      <c r="G331" s="68"/>
      <c r="H331" s="68"/>
      <c r="I331" s="68"/>
      <c r="J331" s="68"/>
      <c r="K331" s="68"/>
      <c r="L331" s="68"/>
      <c r="M331" s="68"/>
      <c r="N331" s="68"/>
      <c r="O331" s="68"/>
      <c r="P331" s="68"/>
      <c r="Q331" s="68"/>
      <c r="R331" s="68"/>
      <c r="S331" s="68"/>
      <c r="T331" s="70"/>
      <c r="AC331" s="68"/>
      <c r="AD331" s="70"/>
      <c r="AM331" s="68"/>
      <c r="AN331" s="70"/>
      <c r="AU331" s="68"/>
      <c r="AV331" s="70"/>
      <c r="BB331" s="68"/>
      <c r="BC331" s="70"/>
      <c r="BD331" s="68"/>
      <c r="BE331" s="68"/>
      <c r="BF331" s="68"/>
      <c r="BG331" s="68"/>
      <c r="BH331" s="68"/>
      <c r="BI331" s="68"/>
      <c r="BJ331" s="70"/>
      <c r="BM331" s="68"/>
      <c r="BN331" s="70"/>
      <c r="BT331" s="68"/>
      <c r="BU331" s="70"/>
      <c r="BZ331" s="10"/>
      <c r="CF331" s="10"/>
      <c r="CI331" s="389"/>
      <c r="CJ331" s="389"/>
      <c r="CK331" s="68"/>
      <c r="CL331" s="70"/>
      <c r="CO331" s="10"/>
      <c r="CU331" s="10"/>
      <c r="DA331" s="10"/>
      <c r="DB331" s="70"/>
      <c r="DC331" s="70"/>
      <c r="DF331" s="68"/>
      <c r="DG331" s="70"/>
      <c r="DH331" s="68"/>
      <c r="DI331" s="386"/>
      <c r="DJ331" s="425"/>
      <c r="DL331" s="68"/>
      <c r="DM331" s="70"/>
      <c r="DQ331" s="68"/>
      <c r="DR331" s="70"/>
      <c r="DS331" s="338"/>
      <c r="DT331" s="338"/>
      <c r="DU331" s="338"/>
      <c r="DW331" s="338"/>
      <c r="DX331" s="338"/>
      <c r="DY331" s="338"/>
      <c r="EA331" s="338"/>
      <c r="EB331" s="338"/>
      <c r="EC331" s="338"/>
      <c r="EE331" s="338"/>
      <c r="EF331" s="338"/>
      <c r="EG331" s="338"/>
      <c r="EI331" s="336"/>
      <c r="EJ331" s="336"/>
      <c r="EK331" s="336"/>
      <c r="EL331" s="336"/>
      <c r="EM331" s="336"/>
      <c r="EN331" s="336"/>
      <c r="EO331" s="337"/>
      <c r="EP331" s="342"/>
      <c r="EQ331" s="336"/>
      <c r="ER331" s="342"/>
      <c r="ES331" s="336"/>
      <c r="ET331" s="342"/>
      <c r="EU331" s="336"/>
      <c r="EV331" s="342"/>
      <c r="EW331" s="336"/>
      <c r="EX331" s="342"/>
      <c r="EY331" s="342"/>
      <c r="EZ331" s="342"/>
      <c r="FA331" s="337"/>
      <c r="FE331" s="338"/>
      <c r="FH331" s="338"/>
      <c r="FI331" s="338"/>
      <c r="FJ331" s="338"/>
      <c r="FK331" s="338"/>
      <c r="FL331" s="338"/>
      <c r="FM331" s="337"/>
      <c r="FN331" s="336"/>
      <c r="FO331" s="336"/>
      <c r="FP331" s="336"/>
      <c r="FQ331" s="336"/>
      <c r="FR331" s="336"/>
      <c r="FS331" s="336"/>
      <c r="FT331" s="336"/>
      <c r="FU331" s="336"/>
      <c r="FV331" s="336"/>
      <c r="FW331" s="337"/>
      <c r="FX331" s="532"/>
      <c r="FY331" s="341"/>
      <c r="FZ331" s="341"/>
      <c r="GA331" s="336"/>
      <c r="GB331" s="341"/>
      <c r="GC331" s="341"/>
      <c r="GD331" s="341"/>
      <c r="GE331" s="336"/>
      <c r="GF331" s="336"/>
      <c r="GG331" s="336"/>
      <c r="GH331" s="336"/>
      <c r="GI331" s="336"/>
      <c r="GJ331" s="337"/>
      <c r="GM331" s="338"/>
      <c r="GN331" s="338"/>
      <c r="GO331" s="338"/>
      <c r="GS331" s="338"/>
      <c r="GT331" s="338"/>
      <c r="GU331" s="338"/>
      <c r="GY331" s="338"/>
      <c r="GZ331" s="338"/>
      <c r="HA331" s="338"/>
      <c r="HE331" s="338"/>
      <c r="HF331" s="338"/>
      <c r="HG331" s="338"/>
      <c r="HN331" s="68"/>
      <c r="HO331" s="68"/>
      <c r="HP331" s="68"/>
      <c r="HQ331" s="336"/>
      <c r="HR331" s="68"/>
      <c r="HS331" s="68"/>
      <c r="HT331" s="10"/>
      <c r="HW331" s="338"/>
      <c r="HX331" s="338"/>
      <c r="HY331" s="338"/>
      <c r="IC331" s="338"/>
      <c r="ID331" s="338"/>
      <c r="IE331" s="338"/>
      <c r="II331" s="338"/>
      <c r="IJ331" s="338"/>
      <c r="IK331" s="338"/>
      <c r="IO331" s="338"/>
      <c r="IP331" s="338"/>
      <c r="IQ331" s="338"/>
      <c r="IX331" s="68"/>
      <c r="IY331" s="68"/>
      <c r="IZ331" s="68"/>
      <c r="JA331" s="68"/>
      <c r="JB331" s="68"/>
      <c r="JC331" s="68"/>
      <c r="JD331" s="10"/>
      <c r="JG331" s="338"/>
      <c r="JH331" s="338"/>
      <c r="JI331" s="338"/>
      <c r="JM331" s="338"/>
      <c r="JN331" s="338"/>
      <c r="JQ331" s="338"/>
      <c r="JR331" s="338"/>
      <c r="JS331" s="338"/>
      <c r="JW331" s="358"/>
      <c r="JX331" s="336"/>
      <c r="JY331" s="336"/>
      <c r="JZ331" s="336"/>
      <c r="KA331" s="336"/>
      <c r="KB331" s="336"/>
      <c r="KC331" s="336"/>
      <c r="KD331" s="336"/>
      <c r="KE331" s="336"/>
      <c r="KF331" s="336"/>
      <c r="KG331" s="337"/>
      <c r="KH331" s="338"/>
      <c r="KI331" s="338"/>
      <c r="KJ331" s="338"/>
      <c r="KK331" s="338"/>
      <c r="KL331" s="338"/>
      <c r="KM331" s="338"/>
      <c r="KN331" s="338"/>
      <c r="KO331" s="338"/>
      <c r="KP331" s="338"/>
      <c r="KQ331" s="338"/>
      <c r="KR331" s="338"/>
      <c r="KS331" s="338"/>
      <c r="KT331" s="338"/>
      <c r="KU331" s="338"/>
      <c r="KV331" s="338"/>
      <c r="KW331" s="337"/>
      <c r="KX331" s="336"/>
      <c r="KY331" s="336"/>
      <c r="KZ331" s="336"/>
      <c r="LA331" s="336"/>
      <c r="LB331" s="336"/>
      <c r="LC331" s="336"/>
      <c r="LD331" s="336"/>
      <c r="LE331" s="336"/>
      <c r="LF331" s="336"/>
      <c r="LG331" s="336"/>
      <c r="LH331" s="336"/>
      <c r="LI331" s="336"/>
      <c r="LJ331" s="336"/>
      <c r="LK331" s="336"/>
      <c r="LL331" s="336"/>
      <c r="LM331" s="336"/>
      <c r="LN331" s="336"/>
      <c r="LO331" s="336"/>
      <c r="LP331" s="336"/>
      <c r="LQ331" s="337"/>
      <c r="MN331" s="10"/>
      <c r="OA331" s="10"/>
    </row>
    <row r="332" spans="1:391" s="370" customFormat="1" x14ac:dyDescent="0.25">
      <c r="A332" s="68"/>
      <c r="B332" s="10"/>
      <c r="C332" s="68"/>
      <c r="D332" s="68"/>
      <c r="E332" s="68"/>
      <c r="F332" s="68"/>
      <c r="G332" s="68"/>
      <c r="H332" s="68"/>
      <c r="I332" s="68"/>
      <c r="J332" s="68"/>
      <c r="K332" s="68"/>
      <c r="L332" s="68"/>
      <c r="M332" s="68"/>
      <c r="N332" s="68"/>
      <c r="O332" s="68"/>
      <c r="P332" s="68"/>
      <c r="Q332" s="68"/>
      <c r="R332" s="68"/>
      <c r="S332" s="68"/>
      <c r="T332" s="70"/>
      <c r="AC332" s="68"/>
      <c r="AD332" s="70"/>
      <c r="AM332" s="68"/>
      <c r="AN332" s="70"/>
      <c r="AU332" s="68"/>
      <c r="AV332" s="70"/>
      <c r="BB332" s="68"/>
      <c r="BC332" s="70"/>
      <c r="BD332" s="68"/>
      <c r="BE332" s="68"/>
      <c r="BF332" s="68"/>
      <c r="BG332" s="68"/>
      <c r="BH332" s="68"/>
      <c r="BI332" s="68"/>
      <c r="BJ332" s="70"/>
      <c r="BM332" s="68"/>
      <c r="BN332" s="70"/>
      <c r="BT332" s="68"/>
      <c r="BU332" s="70"/>
      <c r="BZ332" s="10"/>
      <c r="CF332" s="10"/>
      <c r="CI332" s="389"/>
      <c r="CJ332" s="389"/>
      <c r="CK332" s="68"/>
      <c r="CL332" s="70"/>
      <c r="CO332" s="10"/>
      <c r="CU332" s="10"/>
      <c r="DA332" s="10"/>
      <c r="DB332" s="70"/>
      <c r="DC332" s="70"/>
      <c r="DF332" s="68"/>
      <c r="DG332" s="70"/>
      <c r="DH332" s="68"/>
      <c r="DI332" s="386"/>
      <c r="DJ332" s="425"/>
      <c r="DL332" s="68"/>
      <c r="DM332" s="70"/>
      <c r="DQ332" s="68"/>
      <c r="DR332" s="70"/>
      <c r="DS332" s="338"/>
      <c r="DT332" s="338"/>
      <c r="DU332" s="338"/>
      <c r="DW332" s="338"/>
      <c r="DX332" s="338"/>
      <c r="DY332" s="338"/>
      <c r="EA332" s="338"/>
      <c r="EB332" s="338"/>
      <c r="EC332" s="338"/>
      <c r="EE332" s="338"/>
      <c r="EF332" s="338"/>
      <c r="EG332" s="338"/>
      <c r="EI332" s="336"/>
      <c r="EJ332" s="336"/>
      <c r="EK332" s="336"/>
      <c r="EL332" s="336"/>
      <c r="EM332" s="336"/>
      <c r="EN332" s="336"/>
      <c r="EO332" s="337"/>
      <c r="EP332" s="342"/>
      <c r="EQ332" s="336"/>
      <c r="ER332" s="342"/>
      <c r="ES332" s="336"/>
      <c r="ET332" s="342"/>
      <c r="EU332" s="336"/>
      <c r="EV332" s="342"/>
      <c r="EW332" s="336"/>
      <c r="EX332" s="342"/>
      <c r="EY332" s="342"/>
      <c r="EZ332" s="342"/>
      <c r="FA332" s="337"/>
      <c r="FE332" s="338"/>
      <c r="FH332" s="338"/>
      <c r="FI332" s="338"/>
      <c r="FJ332" s="338"/>
      <c r="FK332" s="338"/>
      <c r="FL332" s="338"/>
      <c r="FM332" s="337"/>
      <c r="FN332" s="336"/>
      <c r="FO332" s="336"/>
      <c r="FP332" s="336"/>
      <c r="FQ332" s="336"/>
      <c r="FR332" s="336"/>
      <c r="FS332" s="336"/>
      <c r="FT332" s="336"/>
      <c r="FU332" s="336"/>
      <c r="FV332" s="336"/>
      <c r="FW332" s="337"/>
      <c r="FX332" s="532"/>
      <c r="FY332" s="341"/>
      <c r="FZ332" s="341"/>
      <c r="GA332" s="336"/>
      <c r="GB332" s="341"/>
      <c r="GC332" s="341"/>
      <c r="GD332" s="341"/>
      <c r="GE332" s="336"/>
      <c r="GF332" s="336"/>
      <c r="GG332" s="336"/>
      <c r="GH332" s="336"/>
      <c r="GI332" s="336"/>
      <c r="GJ332" s="337"/>
      <c r="GM332" s="338"/>
      <c r="GN332" s="338"/>
      <c r="GO332" s="338"/>
      <c r="GS332" s="338"/>
      <c r="GT332" s="338"/>
      <c r="GU332" s="338"/>
      <c r="GY332" s="338"/>
      <c r="GZ332" s="338"/>
      <c r="HA332" s="338"/>
      <c r="HE332" s="338"/>
      <c r="HF332" s="338"/>
      <c r="HG332" s="338"/>
      <c r="HN332" s="68"/>
      <c r="HO332" s="68"/>
      <c r="HP332" s="68"/>
      <c r="HQ332" s="336"/>
      <c r="HR332" s="68"/>
      <c r="HS332" s="68"/>
      <c r="HT332" s="10"/>
      <c r="HW332" s="338"/>
      <c r="HX332" s="338"/>
      <c r="HY332" s="338"/>
      <c r="IC332" s="338"/>
      <c r="ID332" s="338"/>
      <c r="IE332" s="338"/>
      <c r="II332" s="338"/>
      <c r="IJ332" s="338"/>
      <c r="IK332" s="338"/>
      <c r="IO332" s="338"/>
      <c r="IP332" s="338"/>
      <c r="IQ332" s="338"/>
      <c r="IX332" s="68"/>
      <c r="IY332" s="68"/>
      <c r="IZ332" s="68"/>
      <c r="JA332" s="68"/>
      <c r="JB332" s="68"/>
      <c r="JC332" s="68"/>
      <c r="JD332" s="10"/>
      <c r="JG332" s="338"/>
      <c r="JH332" s="338"/>
      <c r="JI332" s="338"/>
      <c r="JM332" s="338"/>
      <c r="JN332" s="338"/>
      <c r="JQ332" s="338"/>
      <c r="JR332" s="338"/>
      <c r="JS332" s="338"/>
      <c r="JW332" s="358"/>
      <c r="JX332" s="336"/>
      <c r="JY332" s="336"/>
      <c r="JZ332" s="336"/>
      <c r="KA332" s="336"/>
      <c r="KB332" s="336"/>
      <c r="KC332" s="336"/>
      <c r="KD332" s="336"/>
      <c r="KE332" s="336"/>
      <c r="KF332" s="336"/>
      <c r="KG332" s="337"/>
      <c r="KH332" s="338"/>
      <c r="KI332" s="338"/>
      <c r="KJ332" s="338"/>
      <c r="KK332" s="338"/>
      <c r="KL332" s="338"/>
      <c r="KM332" s="338"/>
      <c r="KN332" s="338"/>
      <c r="KO332" s="338"/>
      <c r="KP332" s="338"/>
      <c r="KQ332" s="338"/>
      <c r="KR332" s="338"/>
      <c r="KS332" s="338"/>
      <c r="KT332" s="338"/>
      <c r="KU332" s="338"/>
      <c r="KV332" s="338"/>
      <c r="KW332" s="337"/>
      <c r="KX332" s="336"/>
      <c r="KY332" s="336"/>
      <c r="KZ332" s="336"/>
      <c r="LA332" s="336"/>
      <c r="LB332" s="336"/>
      <c r="LC332" s="336"/>
      <c r="LD332" s="336"/>
      <c r="LE332" s="336"/>
      <c r="LF332" s="336"/>
      <c r="LG332" s="336"/>
      <c r="LH332" s="336"/>
      <c r="LI332" s="336"/>
      <c r="LJ332" s="336"/>
      <c r="LK332" s="336"/>
      <c r="LL332" s="336"/>
      <c r="LM332" s="336"/>
      <c r="LN332" s="336"/>
      <c r="LO332" s="336"/>
      <c r="LP332" s="336"/>
      <c r="LQ332" s="337"/>
      <c r="MN332" s="10"/>
      <c r="OA332" s="10"/>
    </row>
    <row r="333" spans="1:391" s="370" customFormat="1" x14ac:dyDescent="0.25">
      <c r="A333" s="68"/>
      <c r="B333" s="10"/>
      <c r="C333" s="68"/>
      <c r="D333" s="68"/>
      <c r="E333" s="68"/>
      <c r="F333" s="68"/>
      <c r="G333" s="68"/>
      <c r="H333" s="68"/>
      <c r="I333" s="68"/>
      <c r="J333" s="68"/>
      <c r="K333" s="68"/>
      <c r="L333" s="68"/>
      <c r="M333" s="68"/>
      <c r="N333" s="68"/>
      <c r="O333" s="68"/>
      <c r="P333" s="68"/>
      <c r="Q333" s="68"/>
      <c r="R333" s="68"/>
      <c r="S333" s="68"/>
      <c r="T333" s="70"/>
      <c r="AC333" s="68"/>
      <c r="AD333" s="70"/>
      <c r="AM333" s="68"/>
      <c r="AN333" s="70"/>
      <c r="AU333" s="68"/>
      <c r="AV333" s="70"/>
      <c r="BB333" s="68"/>
      <c r="BC333" s="70"/>
      <c r="BD333" s="68"/>
      <c r="BE333" s="68"/>
      <c r="BF333" s="68"/>
      <c r="BG333" s="68"/>
      <c r="BH333" s="68"/>
      <c r="BI333" s="68"/>
      <c r="BJ333" s="70"/>
      <c r="BM333" s="68"/>
      <c r="BN333" s="70"/>
      <c r="BT333" s="68"/>
      <c r="BU333" s="70"/>
      <c r="BZ333" s="10"/>
      <c r="CF333" s="10"/>
      <c r="CI333" s="389"/>
      <c r="CJ333" s="389"/>
      <c r="CK333" s="68"/>
      <c r="CL333" s="70"/>
      <c r="CO333" s="10"/>
      <c r="CU333" s="10"/>
      <c r="DA333" s="10"/>
      <c r="DB333" s="70"/>
      <c r="DC333" s="70"/>
      <c r="DF333" s="68"/>
      <c r="DG333" s="70"/>
      <c r="DH333" s="68"/>
      <c r="DI333" s="386"/>
      <c r="DJ333" s="425"/>
      <c r="DL333" s="68"/>
      <c r="DM333" s="70"/>
      <c r="DQ333" s="68"/>
      <c r="DR333" s="70"/>
      <c r="DS333" s="338"/>
      <c r="DT333" s="338"/>
      <c r="DU333" s="338"/>
      <c r="DW333" s="338"/>
      <c r="DX333" s="338"/>
      <c r="DY333" s="338"/>
      <c r="EA333" s="338"/>
      <c r="EB333" s="338"/>
      <c r="EC333" s="338"/>
      <c r="EE333" s="338"/>
      <c r="EF333" s="338"/>
      <c r="EG333" s="338"/>
      <c r="EI333" s="336"/>
      <c r="EJ333" s="336"/>
      <c r="EK333" s="336"/>
      <c r="EL333" s="336"/>
      <c r="EM333" s="336"/>
      <c r="EN333" s="336"/>
      <c r="EO333" s="337"/>
      <c r="EP333" s="342"/>
      <c r="EQ333" s="336"/>
      <c r="ER333" s="342"/>
      <c r="ES333" s="336"/>
      <c r="ET333" s="342"/>
      <c r="EU333" s="336"/>
      <c r="EV333" s="342"/>
      <c r="EW333" s="336"/>
      <c r="EX333" s="342"/>
      <c r="EY333" s="342"/>
      <c r="EZ333" s="342"/>
      <c r="FA333" s="337"/>
      <c r="FE333" s="338"/>
      <c r="FH333" s="338"/>
      <c r="FI333" s="338"/>
      <c r="FJ333" s="338"/>
      <c r="FK333" s="338"/>
      <c r="FL333" s="338"/>
      <c r="FM333" s="337"/>
      <c r="FN333" s="336"/>
      <c r="FO333" s="336"/>
      <c r="FP333" s="336"/>
      <c r="FQ333" s="336"/>
      <c r="FR333" s="336"/>
      <c r="FS333" s="336"/>
      <c r="FT333" s="336"/>
      <c r="FU333" s="336"/>
      <c r="FV333" s="336"/>
      <c r="FW333" s="337"/>
      <c r="FX333" s="532"/>
      <c r="FY333" s="341"/>
      <c r="FZ333" s="341"/>
      <c r="GA333" s="336"/>
      <c r="GB333" s="341"/>
      <c r="GC333" s="341"/>
      <c r="GD333" s="341"/>
      <c r="GE333" s="336"/>
      <c r="GF333" s="336"/>
      <c r="GG333" s="336"/>
      <c r="GH333" s="336"/>
      <c r="GI333" s="336"/>
      <c r="GJ333" s="337"/>
      <c r="GM333" s="338"/>
      <c r="GN333" s="338"/>
      <c r="GO333" s="338"/>
      <c r="GS333" s="338"/>
      <c r="GT333" s="338"/>
      <c r="GU333" s="338"/>
      <c r="GY333" s="338"/>
      <c r="GZ333" s="338"/>
      <c r="HA333" s="338"/>
      <c r="HE333" s="338"/>
      <c r="HF333" s="338"/>
      <c r="HG333" s="338"/>
      <c r="HN333" s="68"/>
      <c r="HO333" s="68"/>
      <c r="HP333" s="68"/>
      <c r="HQ333" s="336"/>
      <c r="HR333" s="68"/>
      <c r="HS333" s="68"/>
      <c r="HT333" s="10"/>
      <c r="HW333" s="338"/>
      <c r="HX333" s="338"/>
      <c r="HY333" s="338"/>
      <c r="IC333" s="338"/>
      <c r="ID333" s="338"/>
      <c r="IE333" s="338"/>
      <c r="II333" s="338"/>
      <c r="IJ333" s="338"/>
      <c r="IK333" s="338"/>
      <c r="IO333" s="338"/>
      <c r="IP333" s="338"/>
      <c r="IQ333" s="338"/>
      <c r="IX333" s="68"/>
      <c r="IY333" s="68"/>
      <c r="IZ333" s="68"/>
      <c r="JA333" s="68"/>
      <c r="JB333" s="68"/>
      <c r="JC333" s="68"/>
      <c r="JD333" s="10"/>
      <c r="JG333" s="338"/>
      <c r="JH333" s="338"/>
      <c r="JI333" s="338"/>
      <c r="JM333" s="338"/>
      <c r="JN333" s="338"/>
      <c r="JQ333" s="338"/>
      <c r="JR333" s="338"/>
      <c r="JS333" s="338"/>
      <c r="JW333" s="358"/>
      <c r="JX333" s="336"/>
      <c r="JY333" s="336"/>
      <c r="JZ333" s="336"/>
      <c r="KA333" s="336"/>
      <c r="KB333" s="336"/>
      <c r="KC333" s="336"/>
      <c r="KD333" s="336"/>
      <c r="KE333" s="336"/>
      <c r="KF333" s="336"/>
      <c r="KG333" s="337"/>
      <c r="KH333" s="338"/>
      <c r="KI333" s="338"/>
      <c r="KJ333" s="338"/>
      <c r="KK333" s="338"/>
      <c r="KL333" s="338"/>
      <c r="KM333" s="338"/>
      <c r="KN333" s="338"/>
      <c r="KO333" s="338"/>
      <c r="KP333" s="338"/>
      <c r="KQ333" s="338"/>
      <c r="KR333" s="338"/>
      <c r="KS333" s="338"/>
      <c r="KT333" s="338"/>
      <c r="KU333" s="338"/>
      <c r="KV333" s="338"/>
      <c r="KW333" s="337"/>
      <c r="KX333" s="336"/>
      <c r="KY333" s="336"/>
      <c r="KZ333" s="336"/>
      <c r="LA333" s="336"/>
      <c r="LB333" s="336"/>
      <c r="LC333" s="336"/>
      <c r="LD333" s="336"/>
      <c r="LE333" s="336"/>
      <c r="LF333" s="336"/>
      <c r="LG333" s="336"/>
      <c r="LH333" s="336"/>
      <c r="LI333" s="336"/>
      <c r="LJ333" s="336"/>
      <c r="LK333" s="336"/>
      <c r="LL333" s="336"/>
      <c r="LM333" s="336"/>
      <c r="LN333" s="336"/>
      <c r="LO333" s="336"/>
      <c r="LP333" s="336"/>
      <c r="LQ333" s="337"/>
      <c r="MN333" s="10"/>
      <c r="OA333" s="10"/>
    </row>
    <row r="334" spans="1:391" s="370" customFormat="1" x14ac:dyDescent="0.25">
      <c r="A334" s="68"/>
      <c r="B334" s="10"/>
      <c r="C334" s="68"/>
      <c r="D334" s="68"/>
      <c r="E334" s="68"/>
      <c r="F334" s="68"/>
      <c r="G334" s="68"/>
      <c r="H334" s="68"/>
      <c r="I334" s="68"/>
      <c r="J334" s="68"/>
      <c r="K334" s="68"/>
      <c r="L334" s="68"/>
      <c r="M334" s="68"/>
      <c r="N334" s="68"/>
      <c r="O334" s="68"/>
      <c r="P334" s="68"/>
      <c r="Q334" s="68"/>
      <c r="R334" s="68"/>
      <c r="S334" s="68"/>
      <c r="T334" s="70"/>
      <c r="AC334" s="68"/>
      <c r="AD334" s="70"/>
      <c r="AM334" s="68"/>
      <c r="AN334" s="70"/>
      <c r="AU334" s="68"/>
      <c r="AV334" s="70"/>
      <c r="BB334" s="68"/>
      <c r="BC334" s="70"/>
      <c r="BD334" s="68"/>
      <c r="BE334" s="68"/>
      <c r="BF334" s="68"/>
      <c r="BG334" s="68"/>
      <c r="BH334" s="68"/>
      <c r="BI334" s="68"/>
      <c r="BJ334" s="70"/>
      <c r="BM334" s="68"/>
      <c r="BN334" s="70"/>
      <c r="BT334" s="68"/>
      <c r="BU334" s="70"/>
      <c r="BZ334" s="10"/>
      <c r="CF334" s="10"/>
      <c r="CI334" s="389"/>
      <c r="CJ334" s="389"/>
      <c r="CK334" s="68"/>
      <c r="CL334" s="70"/>
      <c r="CO334" s="10"/>
      <c r="CU334" s="10"/>
      <c r="DA334" s="10"/>
      <c r="DB334" s="70"/>
      <c r="DC334" s="70"/>
      <c r="DF334" s="68"/>
      <c r="DG334" s="70"/>
      <c r="DH334" s="68"/>
      <c r="DI334" s="386"/>
      <c r="DJ334" s="425"/>
      <c r="DL334" s="68"/>
      <c r="DM334" s="70"/>
      <c r="DQ334" s="68"/>
      <c r="DR334" s="70"/>
      <c r="DS334" s="338"/>
      <c r="DT334" s="338"/>
      <c r="DU334" s="338"/>
      <c r="DW334" s="338"/>
      <c r="DX334" s="338"/>
      <c r="DY334" s="338"/>
      <c r="EA334" s="338"/>
      <c r="EB334" s="338"/>
      <c r="EC334" s="338"/>
      <c r="EE334" s="338"/>
      <c r="EF334" s="338"/>
      <c r="EG334" s="338"/>
      <c r="EI334" s="336"/>
      <c r="EJ334" s="336"/>
      <c r="EK334" s="336"/>
      <c r="EL334" s="336"/>
      <c r="EM334" s="336"/>
      <c r="EN334" s="336"/>
      <c r="EO334" s="337"/>
      <c r="EP334" s="342"/>
      <c r="EQ334" s="336"/>
      <c r="ER334" s="342"/>
      <c r="ES334" s="336"/>
      <c r="ET334" s="342"/>
      <c r="EU334" s="336"/>
      <c r="EV334" s="342"/>
      <c r="EW334" s="336"/>
      <c r="EX334" s="342"/>
      <c r="EY334" s="342"/>
      <c r="EZ334" s="342"/>
      <c r="FA334" s="337"/>
      <c r="FE334" s="338"/>
      <c r="FH334" s="338"/>
      <c r="FI334" s="338"/>
      <c r="FJ334" s="338"/>
      <c r="FK334" s="338"/>
      <c r="FL334" s="338"/>
      <c r="FM334" s="337"/>
      <c r="FN334" s="336"/>
      <c r="FO334" s="336"/>
      <c r="FP334" s="336"/>
      <c r="FQ334" s="336"/>
      <c r="FR334" s="336"/>
      <c r="FS334" s="336"/>
      <c r="FT334" s="336"/>
      <c r="FU334" s="336"/>
      <c r="FV334" s="336"/>
      <c r="FW334" s="337"/>
      <c r="FX334" s="532"/>
      <c r="FY334" s="341"/>
      <c r="FZ334" s="341"/>
      <c r="GA334" s="336"/>
      <c r="GB334" s="341"/>
      <c r="GC334" s="341"/>
      <c r="GD334" s="341"/>
      <c r="GE334" s="336"/>
      <c r="GF334" s="336"/>
      <c r="GG334" s="336"/>
      <c r="GH334" s="336"/>
      <c r="GI334" s="336"/>
      <c r="GJ334" s="337"/>
      <c r="GM334" s="338"/>
      <c r="GN334" s="338"/>
      <c r="GO334" s="338"/>
      <c r="GS334" s="338"/>
      <c r="GT334" s="338"/>
      <c r="GU334" s="338"/>
      <c r="GY334" s="338"/>
      <c r="GZ334" s="338"/>
      <c r="HA334" s="338"/>
      <c r="HE334" s="338"/>
      <c r="HF334" s="338"/>
      <c r="HG334" s="338"/>
      <c r="HN334" s="68"/>
      <c r="HO334" s="68"/>
      <c r="HP334" s="68"/>
      <c r="HQ334" s="336"/>
      <c r="HR334" s="68"/>
      <c r="HS334" s="68"/>
      <c r="HT334" s="10"/>
      <c r="HW334" s="338"/>
      <c r="HX334" s="338"/>
      <c r="HY334" s="338"/>
      <c r="IC334" s="338"/>
      <c r="ID334" s="338"/>
      <c r="IE334" s="338"/>
      <c r="II334" s="338"/>
      <c r="IJ334" s="338"/>
      <c r="IK334" s="338"/>
      <c r="IO334" s="338"/>
      <c r="IP334" s="338"/>
      <c r="IQ334" s="338"/>
      <c r="IX334" s="68"/>
      <c r="IY334" s="68"/>
      <c r="IZ334" s="68"/>
      <c r="JA334" s="68"/>
      <c r="JB334" s="68"/>
      <c r="JC334" s="68"/>
      <c r="JD334" s="10"/>
      <c r="JG334" s="338"/>
      <c r="JH334" s="338"/>
      <c r="JI334" s="338"/>
      <c r="JM334" s="338"/>
      <c r="JN334" s="338"/>
      <c r="JQ334" s="338"/>
      <c r="JR334" s="338"/>
      <c r="JS334" s="338"/>
      <c r="JW334" s="358"/>
      <c r="JX334" s="336"/>
      <c r="JY334" s="336"/>
      <c r="JZ334" s="336"/>
      <c r="KA334" s="336"/>
      <c r="KB334" s="336"/>
      <c r="KC334" s="336"/>
      <c r="KD334" s="336"/>
      <c r="KE334" s="336"/>
      <c r="KF334" s="336"/>
      <c r="KG334" s="337"/>
      <c r="KH334" s="338"/>
      <c r="KI334" s="338"/>
      <c r="KJ334" s="338"/>
      <c r="KK334" s="338"/>
      <c r="KL334" s="338"/>
      <c r="KM334" s="338"/>
      <c r="KN334" s="338"/>
      <c r="KO334" s="338"/>
      <c r="KP334" s="338"/>
      <c r="KQ334" s="338"/>
      <c r="KR334" s="338"/>
      <c r="KS334" s="338"/>
      <c r="KT334" s="338"/>
      <c r="KU334" s="338"/>
      <c r="KV334" s="338"/>
      <c r="KW334" s="337"/>
      <c r="KX334" s="336"/>
      <c r="KY334" s="336"/>
      <c r="KZ334" s="336"/>
      <c r="LA334" s="336"/>
      <c r="LB334" s="336"/>
      <c r="LC334" s="336"/>
      <c r="LD334" s="336"/>
      <c r="LE334" s="336"/>
      <c r="LF334" s="336"/>
      <c r="LG334" s="336"/>
      <c r="LH334" s="336"/>
      <c r="LI334" s="336"/>
      <c r="LJ334" s="336"/>
      <c r="LK334" s="336"/>
      <c r="LL334" s="336"/>
      <c r="LM334" s="336"/>
      <c r="LN334" s="336"/>
      <c r="LO334" s="336"/>
      <c r="LP334" s="336"/>
      <c r="LQ334" s="337"/>
      <c r="MN334" s="10"/>
      <c r="OA334" s="10"/>
    </row>
    <row r="335" spans="1:391" s="370" customFormat="1" x14ac:dyDescent="0.25">
      <c r="A335" s="68"/>
      <c r="B335" s="10"/>
      <c r="C335" s="68"/>
      <c r="D335" s="68"/>
      <c r="E335" s="68"/>
      <c r="F335" s="68"/>
      <c r="G335" s="68"/>
      <c r="H335" s="68"/>
      <c r="I335" s="68"/>
      <c r="J335" s="68"/>
      <c r="K335" s="68"/>
      <c r="L335" s="68"/>
      <c r="M335" s="68"/>
      <c r="N335" s="68"/>
      <c r="O335" s="68"/>
      <c r="P335" s="68"/>
      <c r="Q335" s="68"/>
      <c r="R335" s="68"/>
      <c r="S335" s="68"/>
      <c r="T335" s="70"/>
      <c r="AC335" s="68"/>
      <c r="AD335" s="70"/>
      <c r="AM335" s="68"/>
      <c r="AN335" s="70"/>
      <c r="AU335" s="68"/>
      <c r="AV335" s="70"/>
      <c r="BB335" s="68"/>
      <c r="BC335" s="70"/>
      <c r="BD335" s="68"/>
      <c r="BE335" s="68"/>
      <c r="BF335" s="68"/>
      <c r="BG335" s="68"/>
      <c r="BH335" s="68"/>
      <c r="BI335" s="68"/>
      <c r="BJ335" s="70"/>
      <c r="BM335" s="68"/>
      <c r="BN335" s="70"/>
      <c r="BT335" s="68"/>
      <c r="BU335" s="70"/>
      <c r="BZ335" s="10"/>
      <c r="CF335" s="10"/>
      <c r="CI335" s="389"/>
      <c r="CJ335" s="389"/>
      <c r="CK335" s="68"/>
      <c r="CL335" s="70"/>
      <c r="CO335" s="10"/>
      <c r="CU335" s="10"/>
      <c r="DA335" s="10"/>
      <c r="DB335" s="70"/>
      <c r="DC335" s="70"/>
      <c r="DF335" s="68"/>
      <c r="DG335" s="70"/>
      <c r="DH335" s="68"/>
      <c r="DI335" s="386"/>
      <c r="DJ335" s="425"/>
      <c r="DL335" s="68"/>
      <c r="DM335" s="70"/>
      <c r="DQ335" s="68"/>
      <c r="DR335" s="70"/>
      <c r="DS335" s="338"/>
      <c r="DT335" s="338"/>
      <c r="DU335" s="338"/>
      <c r="DW335" s="338"/>
      <c r="DX335" s="338"/>
      <c r="DY335" s="338"/>
      <c r="EA335" s="338"/>
      <c r="EB335" s="338"/>
      <c r="EC335" s="338"/>
      <c r="EE335" s="338"/>
      <c r="EF335" s="338"/>
      <c r="EG335" s="338"/>
      <c r="EI335" s="336"/>
      <c r="EJ335" s="336"/>
      <c r="EK335" s="336"/>
      <c r="EL335" s="336"/>
      <c r="EM335" s="336"/>
      <c r="EN335" s="336"/>
      <c r="EO335" s="337"/>
      <c r="EP335" s="342"/>
      <c r="EQ335" s="336"/>
      <c r="ER335" s="342"/>
      <c r="ES335" s="336"/>
      <c r="ET335" s="342"/>
      <c r="EU335" s="336"/>
      <c r="EV335" s="342"/>
      <c r="EW335" s="336"/>
      <c r="EX335" s="342"/>
      <c r="EY335" s="342"/>
      <c r="EZ335" s="342"/>
      <c r="FA335" s="337"/>
      <c r="FE335" s="338"/>
      <c r="FH335" s="338"/>
      <c r="FI335" s="338"/>
      <c r="FJ335" s="338"/>
      <c r="FK335" s="338"/>
      <c r="FL335" s="338"/>
      <c r="FM335" s="337"/>
      <c r="FN335" s="336"/>
      <c r="FO335" s="336"/>
      <c r="FP335" s="336"/>
      <c r="FQ335" s="336"/>
      <c r="FR335" s="336"/>
      <c r="FS335" s="336"/>
      <c r="FT335" s="336"/>
      <c r="FU335" s="336"/>
      <c r="FV335" s="336"/>
      <c r="FW335" s="337"/>
      <c r="FX335" s="532"/>
      <c r="FY335" s="341"/>
      <c r="FZ335" s="341"/>
      <c r="GA335" s="336"/>
      <c r="GB335" s="341"/>
      <c r="GC335" s="341"/>
      <c r="GD335" s="341"/>
      <c r="GE335" s="336"/>
      <c r="GF335" s="336"/>
      <c r="GG335" s="336"/>
      <c r="GH335" s="336"/>
      <c r="GI335" s="336"/>
      <c r="GJ335" s="337"/>
      <c r="GM335" s="338"/>
      <c r="GN335" s="338"/>
      <c r="GO335" s="338"/>
      <c r="GS335" s="338"/>
      <c r="GT335" s="338"/>
      <c r="GU335" s="338"/>
      <c r="GY335" s="338"/>
      <c r="GZ335" s="338"/>
      <c r="HA335" s="338"/>
      <c r="HE335" s="338"/>
      <c r="HF335" s="338"/>
      <c r="HG335" s="338"/>
      <c r="HN335" s="68"/>
      <c r="HO335" s="68"/>
      <c r="HP335" s="68"/>
      <c r="HQ335" s="336"/>
      <c r="HR335" s="68"/>
      <c r="HS335" s="68"/>
      <c r="HT335" s="10"/>
      <c r="HW335" s="338"/>
      <c r="HX335" s="338"/>
      <c r="HY335" s="338"/>
      <c r="IC335" s="338"/>
      <c r="ID335" s="338"/>
      <c r="IE335" s="338"/>
      <c r="II335" s="338"/>
      <c r="IJ335" s="338"/>
      <c r="IK335" s="338"/>
      <c r="IO335" s="338"/>
      <c r="IP335" s="338"/>
      <c r="IQ335" s="338"/>
      <c r="IX335" s="68"/>
      <c r="IY335" s="68"/>
      <c r="IZ335" s="68"/>
      <c r="JA335" s="68"/>
      <c r="JB335" s="68"/>
      <c r="JC335" s="68"/>
      <c r="JD335" s="10"/>
      <c r="JG335" s="338"/>
      <c r="JH335" s="338"/>
      <c r="JI335" s="338"/>
      <c r="JM335" s="338"/>
      <c r="JN335" s="338"/>
      <c r="JQ335" s="338"/>
      <c r="JR335" s="338"/>
      <c r="JS335" s="338"/>
      <c r="JW335" s="358"/>
      <c r="JX335" s="336"/>
      <c r="JY335" s="336"/>
      <c r="JZ335" s="336"/>
      <c r="KA335" s="336"/>
      <c r="KB335" s="336"/>
      <c r="KC335" s="336"/>
      <c r="KD335" s="336"/>
      <c r="KE335" s="336"/>
      <c r="KF335" s="336"/>
      <c r="KG335" s="337"/>
      <c r="KH335" s="338"/>
      <c r="KI335" s="338"/>
      <c r="KJ335" s="338"/>
      <c r="KK335" s="338"/>
      <c r="KL335" s="338"/>
      <c r="KM335" s="338"/>
      <c r="KN335" s="338"/>
      <c r="KO335" s="338"/>
      <c r="KP335" s="338"/>
      <c r="KQ335" s="338"/>
      <c r="KR335" s="338"/>
      <c r="KS335" s="338"/>
      <c r="KT335" s="338"/>
      <c r="KU335" s="338"/>
      <c r="KV335" s="338"/>
      <c r="KW335" s="337"/>
      <c r="KX335" s="336"/>
      <c r="KY335" s="336"/>
      <c r="KZ335" s="336"/>
      <c r="LA335" s="336"/>
      <c r="LB335" s="336"/>
      <c r="LC335" s="336"/>
      <c r="LD335" s="336"/>
      <c r="LE335" s="336"/>
      <c r="LF335" s="336"/>
      <c r="LG335" s="336"/>
      <c r="LH335" s="336"/>
      <c r="LI335" s="336"/>
      <c r="LJ335" s="336"/>
      <c r="LK335" s="336"/>
      <c r="LL335" s="336"/>
      <c r="LM335" s="336"/>
      <c r="LN335" s="336"/>
      <c r="LO335" s="336"/>
      <c r="LP335" s="336"/>
      <c r="LQ335" s="337"/>
      <c r="MN335" s="10"/>
      <c r="OA335" s="10"/>
    </row>
    <row r="336" spans="1:391" s="370" customFormat="1" x14ac:dyDescent="0.25">
      <c r="A336" s="68"/>
      <c r="B336" s="10"/>
      <c r="C336" s="68"/>
      <c r="D336" s="68"/>
      <c r="E336" s="68"/>
      <c r="F336" s="68"/>
      <c r="G336" s="68"/>
      <c r="H336" s="68"/>
      <c r="I336" s="68"/>
      <c r="J336" s="68"/>
      <c r="K336" s="68"/>
      <c r="L336" s="68"/>
      <c r="M336" s="68"/>
      <c r="N336" s="68"/>
      <c r="O336" s="68"/>
      <c r="P336" s="68"/>
      <c r="Q336" s="68"/>
      <c r="R336" s="68"/>
      <c r="S336" s="68"/>
      <c r="T336" s="70"/>
      <c r="AC336" s="68"/>
      <c r="AD336" s="70"/>
      <c r="AM336" s="68"/>
      <c r="AN336" s="70"/>
      <c r="AU336" s="68"/>
      <c r="AV336" s="70"/>
      <c r="BB336" s="68"/>
      <c r="BC336" s="70"/>
      <c r="BD336" s="68"/>
      <c r="BE336" s="68"/>
      <c r="BF336" s="68"/>
      <c r="BG336" s="68"/>
      <c r="BH336" s="68"/>
      <c r="BI336" s="68"/>
      <c r="BJ336" s="70"/>
      <c r="BM336" s="68"/>
      <c r="BN336" s="70"/>
      <c r="BT336" s="68"/>
      <c r="BU336" s="70"/>
      <c r="BZ336" s="10"/>
      <c r="CF336" s="10"/>
      <c r="CI336" s="389"/>
      <c r="CJ336" s="389"/>
      <c r="CK336" s="68"/>
      <c r="CL336" s="70"/>
      <c r="CO336" s="10"/>
      <c r="CU336" s="10"/>
      <c r="DA336" s="10"/>
      <c r="DB336" s="70"/>
      <c r="DC336" s="70"/>
      <c r="DF336" s="68"/>
      <c r="DG336" s="70"/>
      <c r="DH336" s="68"/>
      <c r="DI336" s="386"/>
      <c r="DJ336" s="425"/>
      <c r="DL336" s="68"/>
      <c r="DM336" s="70"/>
      <c r="DQ336" s="68"/>
      <c r="DR336" s="70"/>
      <c r="DS336" s="338"/>
      <c r="DT336" s="338"/>
      <c r="DU336" s="338"/>
      <c r="DW336" s="338"/>
      <c r="DX336" s="338"/>
      <c r="DY336" s="338"/>
      <c r="EA336" s="338"/>
      <c r="EB336" s="338"/>
      <c r="EC336" s="338"/>
      <c r="EE336" s="338"/>
      <c r="EF336" s="338"/>
      <c r="EG336" s="338"/>
      <c r="EI336" s="336"/>
      <c r="EJ336" s="336"/>
      <c r="EK336" s="336"/>
      <c r="EL336" s="336"/>
      <c r="EM336" s="336"/>
      <c r="EN336" s="336"/>
      <c r="EO336" s="337"/>
      <c r="EP336" s="342"/>
      <c r="EQ336" s="336"/>
      <c r="ER336" s="342"/>
      <c r="ES336" s="336"/>
      <c r="ET336" s="342"/>
      <c r="EU336" s="336"/>
      <c r="EV336" s="342"/>
      <c r="EW336" s="336"/>
      <c r="EX336" s="342"/>
      <c r="EY336" s="342"/>
      <c r="EZ336" s="342"/>
      <c r="FA336" s="337"/>
      <c r="FE336" s="338"/>
      <c r="FH336" s="338"/>
      <c r="FI336" s="338"/>
      <c r="FJ336" s="338"/>
      <c r="FK336" s="338"/>
      <c r="FL336" s="338"/>
      <c r="FM336" s="337"/>
      <c r="FN336" s="336"/>
      <c r="FO336" s="336"/>
      <c r="FP336" s="336"/>
      <c r="FQ336" s="336"/>
      <c r="FR336" s="336"/>
      <c r="FS336" s="336"/>
      <c r="FT336" s="336"/>
      <c r="FU336" s="336"/>
      <c r="FV336" s="336"/>
      <c r="FW336" s="337"/>
      <c r="FX336" s="532"/>
      <c r="FY336" s="341"/>
      <c r="FZ336" s="341"/>
      <c r="GA336" s="336"/>
      <c r="GB336" s="341"/>
      <c r="GC336" s="341"/>
      <c r="GD336" s="341"/>
      <c r="GE336" s="336"/>
      <c r="GF336" s="336"/>
      <c r="GG336" s="336"/>
      <c r="GH336" s="336"/>
      <c r="GI336" s="336"/>
      <c r="GJ336" s="337"/>
      <c r="GM336" s="338"/>
      <c r="GN336" s="338"/>
      <c r="GO336" s="338"/>
      <c r="GS336" s="338"/>
      <c r="GT336" s="338"/>
      <c r="GU336" s="338"/>
      <c r="GY336" s="338"/>
      <c r="GZ336" s="338"/>
      <c r="HA336" s="338"/>
      <c r="HE336" s="338"/>
      <c r="HF336" s="338"/>
      <c r="HG336" s="338"/>
      <c r="HN336" s="68"/>
      <c r="HO336" s="68"/>
      <c r="HP336" s="68"/>
      <c r="HQ336" s="336"/>
      <c r="HR336" s="68"/>
      <c r="HS336" s="68"/>
      <c r="HT336" s="10"/>
      <c r="HW336" s="338"/>
      <c r="HX336" s="338"/>
      <c r="HY336" s="338"/>
      <c r="IC336" s="338"/>
      <c r="ID336" s="338"/>
      <c r="IE336" s="338"/>
      <c r="II336" s="338"/>
      <c r="IJ336" s="338"/>
      <c r="IK336" s="338"/>
      <c r="IO336" s="338"/>
      <c r="IP336" s="338"/>
      <c r="IQ336" s="338"/>
      <c r="IX336" s="68"/>
      <c r="IY336" s="68"/>
      <c r="IZ336" s="68"/>
      <c r="JA336" s="68"/>
      <c r="JB336" s="68"/>
      <c r="JC336" s="68"/>
      <c r="JD336" s="10"/>
      <c r="JG336" s="338"/>
      <c r="JH336" s="338"/>
      <c r="JI336" s="338"/>
      <c r="JM336" s="338"/>
      <c r="JN336" s="338"/>
      <c r="JQ336" s="338"/>
      <c r="JR336" s="338"/>
      <c r="JS336" s="338"/>
      <c r="JW336" s="358"/>
      <c r="JX336" s="336"/>
      <c r="JY336" s="336"/>
      <c r="JZ336" s="336"/>
      <c r="KA336" s="336"/>
      <c r="KB336" s="336"/>
      <c r="KC336" s="336"/>
      <c r="KD336" s="336"/>
      <c r="KE336" s="336"/>
      <c r="KF336" s="336"/>
      <c r="KG336" s="337"/>
      <c r="KH336" s="338"/>
      <c r="KI336" s="338"/>
      <c r="KJ336" s="338"/>
      <c r="KK336" s="338"/>
      <c r="KL336" s="338"/>
      <c r="KM336" s="338"/>
      <c r="KN336" s="338"/>
      <c r="KO336" s="338"/>
      <c r="KP336" s="338"/>
      <c r="KQ336" s="338"/>
      <c r="KR336" s="338"/>
      <c r="KS336" s="338"/>
      <c r="KT336" s="338"/>
      <c r="KU336" s="338"/>
      <c r="KV336" s="338"/>
      <c r="KW336" s="337"/>
      <c r="KX336" s="336"/>
      <c r="KY336" s="336"/>
      <c r="KZ336" s="336"/>
      <c r="LA336" s="336"/>
      <c r="LB336" s="336"/>
      <c r="LC336" s="336"/>
      <c r="LD336" s="336"/>
      <c r="LE336" s="336"/>
      <c r="LF336" s="336"/>
      <c r="LG336" s="336"/>
      <c r="LH336" s="336"/>
      <c r="LI336" s="336"/>
      <c r="LJ336" s="336"/>
      <c r="LK336" s="336"/>
      <c r="LL336" s="336"/>
      <c r="LM336" s="336"/>
      <c r="LN336" s="336"/>
      <c r="LO336" s="336"/>
      <c r="LP336" s="336"/>
      <c r="LQ336" s="337"/>
      <c r="MN336" s="10"/>
      <c r="OA336" s="10"/>
    </row>
    <row r="337" spans="1:391" s="370" customFormat="1" x14ac:dyDescent="0.25">
      <c r="A337" s="68"/>
      <c r="B337" s="10"/>
      <c r="C337" s="68"/>
      <c r="D337" s="68"/>
      <c r="E337" s="68"/>
      <c r="F337" s="68"/>
      <c r="G337" s="68"/>
      <c r="H337" s="68"/>
      <c r="I337" s="68"/>
      <c r="J337" s="68"/>
      <c r="K337" s="68"/>
      <c r="L337" s="68"/>
      <c r="M337" s="68"/>
      <c r="N337" s="68"/>
      <c r="O337" s="68"/>
      <c r="P337" s="68"/>
      <c r="Q337" s="68"/>
      <c r="R337" s="68"/>
      <c r="S337" s="68"/>
      <c r="T337" s="70"/>
      <c r="AC337" s="68"/>
      <c r="AD337" s="70"/>
      <c r="AM337" s="68"/>
      <c r="AN337" s="70"/>
      <c r="AU337" s="68"/>
      <c r="AV337" s="70"/>
      <c r="BB337" s="68"/>
      <c r="BC337" s="70"/>
      <c r="BD337" s="68"/>
      <c r="BE337" s="68"/>
      <c r="BF337" s="68"/>
      <c r="BG337" s="68"/>
      <c r="BH337" s="68"/>
      <c r="BI337" s="68"/>
      <c r="BJ337" s="70"/>
      <c r="BM337" s="68"/>
      <c r="BN337" s="70"/>
      <c r="BT337" s="68"/>
      <c r="BU337" s="70"/>
      <c r="BZ337" s="10"/>
      <c r="CF337" s="10"/>
      <c r="CI337" s="389"/>
      <c r="CJ337" s="389"/>
      <c r="CK337" s="68"/>
      <c r="CL337" s="70"/>
      <c r="CO337" s="10"/>
      <c r="CU337" s="10"/>
      <c r="DA337" s="10"/>
      <c r="DB337" s="70"/>
      <c r="DC337" s="70"/>
      <c r="DF337" s="68"/>
      <c r="DG337" s="70"/>
      <c r="DH337" s="68"/>
      <c r="DI337" s="386"/>
      <c r="DJ337" s="425"/>
      <c r="DL337" s="68"/>
      <c r="DM337" s="70"/>
      <c r="DQ337" s="68"/>
      <c r="DR337" s="70"/>
      <c r="DS337" s="338"/>
      <c r="DT337" s="338"/>
      <c r="DU337" s="338"/>
      <c r="DW337" s="338"/>
      <c r="DX337" s="338"/>
      <c r="DY337" s="338"/>
      <c r="EA337" s="338"/>
      <c r="EB337" s="338"/>
      <c r="EC337" s="338"/>
      <c r="EE337" s="338"/>
      <c r="EF337" s="338"/>
      <c r="EG337" s="338"/>
      <c r="EI337" s="336"/>
      <c r="EJ337" s="336"/>
      <c r="EK337" s="336"/>
      <c r="EL337" s="336"/>
      <c r="EM337" s="336"/>
      <c r="EN337" s="336"/>
      <c r="EO337" s="337"/>
      <c r="EP337" s="342"/>
      <c r="EQ337" s="336"/>
      <c r="ER337" s="342"/>
      <c r="ES337" s="336"/>
      <c r="ET337" s="342"/>
      <c r="EU337" s="336"/>
      <c r="EV337" s="342"/>
      <c r="EW337" s="336"/>
      <c r="EX337" s="342"/>
      <c r="EY337" s="342"/>
      <c r="EZ337" s="342"/>
      <c r="FA337" s="337"/>
      <c r="FE337" s="338"/>
      <c r="FH337" s="338"/>
      <c r="FI337" s="338"/>
      <c r="FJ337" s="338"/>
      <c r="FK337" s="338"/>
      <c r="FL337" s="338"/>
      <c r="FM337" s="337"/>
      <c r="FN337" s="336"/>
      <c r="FO337" s="336"/>
      <c r="FP337" s="336"/>
      <c r="FQ337" s="336"/>
      <c r="FR337" s="336"/>
      <c r="FS337" s="336"/>
      <c r="FT337" s="336"/>
      <c r="FU337" s="336"/>
      <c r="FV337" s="336"/>
      <c r="FW337" s="337"/>
      <c r="FX337" s="532"/>
      <c r="FY337" s="341"/>
      <c r="FZ337" s="341"/>
      <c r="GA337" s="336"/>
      <c r="GB337" s="341"/>
      <c r="GC337" s="341"/>
      <c r="GD337" s="341"/>
      <c r="GE337" s="336"/>
      <c r="GF337" s="336"/>
      <c r="GG337" s="336"/>
      <c r="GH337" s="336"/>
      <c r="GI337" s="336"/>
      <c r="GJ337" s="337"/>
      <c r="GM337" s="338"/>
      <c r="GN337" s="338"/>
      <c r="GO337" s="338"/>
      <c r="GS337" s="338"/>
      <c r="GT337" s="338"/>
      <c r="GU337" s="338"/>
      <c r="GY337" s="338"/>
      <c r="GZ337" s="338"/>
      <c r="HA337" s="338"/>
      <c r="HE337" s="338"/>
      <c r="HF337" s="338"/>
      <c r="HG337" s="338"/>
      <c r="HN337" s="68"/>
      <c r="HO337" s="68"/>
      <c r="HP337" s="68"/>
      <c r="HQ337" s="336"/>
      <c r="HR337" s="68"/>
      <c r="HS337" s="68"/>
      <c r="HT337" s="10"/>
      <c r="HW337" s="338"/>
      <c r="HX337" s="338"/>
      <c r="HY337" s="338"/>
      <c r="IC337" s="338"/>
      <c r="ID337" s="338"/>
      <c r="IE337" s="338"/>
      <c r="II337" s="338"/>
      <c r="IJ337" s="338"/>
      <c r="IK337" s="338"/>
      <c r="IO337" s="338"/>
      <c r="IP337" s="338"/>
      <c r="IQ337" s="338"/>
      <c r="IX337" s="68"/>
      <c r="IY337" s="68"/>
      <c r="IZ337" s="68"/>
      <c r="JA337" s="68"/>
      <c r="JB337" s="68"/>
      <c r="JC337" s="68"/>
      <c r="JD337" s="10"/>
      <c r="JG337" s="338"/>
      <c r="JH337" s="338"/>
      <c r="JI337" s="338"/>
      <c r="JM337" s="338"/>
      <c r="JN337" s="338"/>
      <c r="JQ337" s="338"/>
      <c r="JR337" s="338"/>
      <c r="JS337" s="338"/>
      <c r="JW337" s="358"/>
      <c r="JX337" s="336"/>
      <c r="JY337" s="336"/>
      <c r="JZ337" s="336"/>
      <c r="KA337" s="336"/>
      <c r="KB337" s="336"/>
      <c r="KC337" s="336"/>
      <c r="KD337" s="336"/>
      <c r="KE337" s="336"/>
      <c r="KF337" s="336"/>
      <c r="KG337" s="337"/>
      <c r="KH337" s="338"/>
      <c r="KI337" s="338"/>
      <c r="KJ337" s="338"/>
      <c r="KK337" s="338"/>
      <c r="KL337" s="338"/>
      <c r="KM337" s="338"/>
      <c r="KN337" s="338"/>
      <c r="KO337" s="338"/>
      <c r="KP337" s="338"/>
      <c r="KQ337" s="338"/>
      <c r="KR337" s="338"/>
      <c r="KS337" s="338"/>
      <c r="KT337" s="338"/>
      <c r="KU337" s="338"/>
      <c r="KV337" s="338"/>
      <c r="KW337" s="337"/>
      <c r="KX337" s="336"/>
      <c r="KY337" s="336"/>
      <c r="KZ337" s="336"/>
      <c r="LA337" s="336"/>
      <c r="LB337" s="336"/>
      <c r="LC337" s="336"/>
      <c r="LD337" s="336"/>
      <c r="LE337" s="336"/>
      <c r="LF337" s="336"/>
      <c r="LG337" s="336"/>
      <c r="LH337" s="336"/>
      <c r="LI337" s="336"/>
      <c r="LJ337" s="336"/>
      <c r="LK337" s="336"/>
      <c r="LL337" s="336"/>
      <c r="LM337" s="336"/>
      <c r="LN337" s="336"/>
      <c r="LO337" s="336"/>
      <c r="LP337" s="336"/>
      <c r="LQ337" s="337"/>
      <c r="MN337" s="10"/>
      <c r="OA337" s="10"/>
    </row>
    <row r="338" spans="1:391" s="370" customFormat="1" x14ac:dyDescent="0.25">
      <c r="A338" s="68"/>
      <c r="B338" s="10"/>
      <c r="C338" s="68"/>
      <c r="D338" s="68"/>
      <c r="E338" s="68"/>
      <c r="F338" s="68"/>
      <c r="G338" s="68"/>
      <c r="H338" s="68"/>
      <c r="I338" s="68"/>
      <c r="J338" s="68"/>
      <c r="K338" s="68"/>
      <c r="L338" s="68"/>
      <c r="M338" s="68"/>
      <c r="N338" s="68"/>
      <c r="O338" s="68"/>
      <c r="P338" s="68"/>
      <c r="Q338" s="68"/>
      <c r="R338" s="68"/>
      <c r="S338" s="68"/>
      <c r="T338" s="70"/>
      <c r="AC338" s="68"/>
      <c r="AD338" s="70"/>
      <c r="AM338" s="68"/>
      <c r="AN338" s="70"/>
      <c r="AU338" s="68"/>
      <c r="AV338" s="70"/>
      <c r="BB338" s="68"/>
      <c r="BC338" s="70"/>
      <c r="BD338" s="68"/>
      <c r="BE338" s="68"/>
      <c r="BF338" s="68"/>
      <c r="BG338" s="68"/>
      <c r="BH338" s="68"/>
      <c r="BI338" s="68"/>
      <c r="BJ338" s="70"/>
      <c r="BM338" s="68"/>
      <c r="BN338" s="70"/>
      <c r="BT338" s="68"/>
      <c r="BU338" s="70"/>
      <c r="BZ338" s="10"/>
      <c r="CF338" s="10"/>
      <c r="CI338" s="389"/>
      <c r="CJ338" s="389"/>
      <c r="CK338" s="68"/>
      <c r="CL338" s="70"/>
      <c r="CO338" s="10"/>
      <c r="CU338" s="10"/>
      <c r="DA338" s="10"/>
      <c r="DB338" s="70"/>
      <c r="DC338" s="70"/>
      <c r="DF338" s="68"/>
      <c r="DG338" s="70"/>
      <c r="DH338" s="68"/>
      <c r="DI338" s="386"/>
      <c r="DJ338" s="425"/>
      <c r="DL338" s="68"/>
      <c r="DM338" s="70"/>
      <c r="DQ338" s="68"/>
      <c r="DR338" s="70"/>
      <c r="DS338" s="338"/>
      <c r="DT338" s="338"/>
      <c r="DU338" s="338"/>
      <c r="DW338" s="338"/>
      <c r="DX338" s="338"/>
      <c r="DY338" s="338"/>
      <c r="EA338" s="338"/>
      <c r="EB338" s="338"/>
      <c r="EC338" s="338"/>
      <c r="EE338" s="338"/>
      <c r="EF338" s="338"/>
      <c r="EG338" s="338"/>
      <c r="EI338" s="336"/>
      <c r="EJ338" s="336"/>
      <c r="EK338" s="336"/>
      <c r="EL338" s="336"/>
      <c r="EM338" s="336"/>
      <c r="EN338" s="336"/>
      <c r="EO338" s="337"/>
      <c r="EP338" s="342"/>
      <c r="EQ338" s="336"/>
      <c r="ER338" s="342"/>
      <c r="ES338" s="336"/>
      <c r="ET338" s="342"/>
      <c r="EU338" s="336"/>
      <c r="EV338" s="342"/>
      <c r="EW338" s="336"/>
      <c r="EX338" s="342"/>
      <c r="EY338" s="342"/>
      <c r="EZ338" s="342"/>
      <c r="FA338" s="337"/>
      <c r="FE338" s="338"/>
      <c r="FH338" s="338"/>
      <c r="FI338" s="338"/>
      <c r="FJ338" s="338"/>
      <c r="FK338" s="338"/>
      <c r="FL338" s="338"/>
      <c r="FM338" s="337"/>
      <c r="FN338" s="336"/>
      <c r="FO338" s="336"/>
      <c r="FP338" s="336"/>
      <c r="FQ338" s="336"/>
      <c r="FR338" s="336"/>
      <c r="FS338" s="336"/>
      <c r="FT338" s="336"/>
      <c r="FU338" s="336"/>
      <c r="FV338" s="336"/>
      <c r="FW338" s="337"/>
      <c r="FX338" s="532"/>
      <c r="FY338" s="341"/>
      <c r="FZ338" s="341"/>
      <c r="GA338" s="336"/>
      <c r="GB338" s="341"/>
      <c r="GC338" s="341"/>
      <c r="GD338" s="341"/>
      <c r="GE338" s="336"/>
      <c r="GF338" s="336"/>
      <c r="GG338" s="336"/>
      <c r="GH338" s="336"/>
      <c r="GI338" s="336"/>
      <c r="GJ338" s="337"/>
      <c r="GM338" s="338"/>
      <c r="GN338" s="338"/>
      <c r="GO338" s="338"/>
      <c r="GS338" s="338"/>
      <c r="GT338" s="338"/>
      <c r="GU338" s="338"/>
      <c r="GY338" s="338"/>
      <c r="GZ338" s="338"/>
      <c r="HA338" s="338"/>
      <c r="HE338" s="338"/>
      <c r="HF338" s="338"/>
      <c r="HG338" s="338"/>
      <c r="HN338" s="68"/>
      <c r="HO338" s="68"/>
      <c r="HP338" s="68"/>
      <c r="HQ338" s="336"/>
      <c r="HR338" s="68"/>
      <c r="HS338" s="68"/>
      <c r="HT338" s="10"/>
      <c r="HW338" s="338"/>
      <c r="HX338" s="338"/>
      <c r="HY338" s="338"/>
      <c r="IC338" s="338"/>
      <c r="ID338" s="338"/>
      <c r="IE338" s="338"/>
      <c r="II338" s="338"/>
      <c r="IJ338" s="338"/>
      <c r="IK338" s="338"/>
      <c r="IO338" s="338"/>
      <c r="IP338" s="338"/>
      <c r="IQ338" s="338"/>
      <c r="IX338" s="68"/>
      <c r="IY338" s="68"/>
      <c r="IZ338" s="68"/>
      <c r="JA338" s="68"/>
      <c r="JB338" s="68"/>
      <c r="JC338" s="68"/>
      <c r="JD338" s="10"/>
      <c r="JG338" s="338"/>
      <c r="JH338" s="338"/>
      <c r="JI338" s="338"/>
      <c r="JM338" s="338"/>
      <c r="JN338" s="338"/>
      <c r="JQ338" s="338"/>
      <c r="JR338" s="338"/>
      <c r="JS338" s="338"/>
      <c r="JW338" s="358"/>
      <c r="JX338" s="336"/>
      <c r="JY338" s="336"/>
      <c r="JZ338" s="336"/>
      <c r="KA338" s="336"/>
      <c r="KB338" s="336"/>
      <c r="KC338" s="336"/>
      <c r="KD338" s="336"/>
      <c r="KE338" s="336"/>
      <c r="KF338" s="336"/>
      <c r="KG338" s="337"/>
      <c r="KH338" s="338"/>
      <c r="KI338" s="338"/>
      <c r="KJ338" s="338"/>
      <c r="KK338" s="338"/>
      <c r="KL338" s="338"/>
      <c r="KM338" s="338"/>
      <c r="KN338" s="338"/>
      <c r="KO338" s="338"/>
      <c r="KP338" s="338"/>
      <c r="KQ338" s="338"/>
      <c r="KR338" s="338"/>
      <c r="KS338" s="338"/>
      <c r="KT338" s="338"/>
      <c r="KU338" s="338"/>
      <c r="KV338" s="338"/>
      <c r="KW338" s="337"/>
      <c r="KX338" s="336"/>
      <c r="KY338" s="336"/>
      <c r="KZ338" s="336"/>
      <c r="LA338" s="336"/>
      <c r="LB338" s="336"/>
      <c r="LC338" s="336"/>
      <c r="LD338" s="336"/>
      <c r="LE338" s="336"/>
      <c r="LF338" s="336"/>
      <c r="LG338" s="336"/>
      <c r="LH338" s="336"/>
      <c r="LI338" s="336"/>
      <c r="LJ338" s="336"/>
      <c r="LK338" s="336"/>
      <c r="LL338" s="336"/>
      <c r="LM338" s="336"/>
      <c r="LN338" s="336"/>
      <c r="LO338" s="336"/>
      <c r="LP338" s="336"/>
      <c r="LQ338" s="337"/>
      <c r="MN338" s="10"/>
      <c r="OA338" s="10"/>
    </row>
    <row r="339" spans="1:391" s="370" customFormat="1" x14ac:dyDescent="0.25">
      <c r="A339" s="68"/>
      <c r="B339" s="10"/>
      <c r="C339" s="68"/>
      <c r="D339" s="68"/>
      <c r="E339" s="68"/>
      <c r="F339" s="68"/>
      <c r="G339" s="68"/>
      <c r="H339" s="68"/>
      <c r="I339" s="68"/>
      <c r="J339" s="68"/>
      <c r="K339" s="68"/>
      <c r="L339" s="68"/>
      <c r="M339" s="68"/>
      <c r="N339" s="68"/>
      <c r="O339" s="68"/>
      <c r="P339" s="68"/>
      <c r="Q339" s="68"/>
      <c r="R339" s="68"/>
      <c r="S339" s="68"/>
      <c r="T339" s="70"/>
      <c r="AC339" s="68"/>
      <c r="AD339" s="70"/>
      <c r="AM339" s="68"/>
      <c r="AN339" s="70"/>
      <c r="AU339" s="68"/>
      <c r="AV339" s="70"/>
      <c r="BB339" s="68"/>
      <c r="BC339" s="70"/>
      <c r="BD339" s="68"/>
      <c r="BE339" s="68"/>
      <c r="BF339" s="68"/>
      <c r="BG339" s="68"/>
      <c r="BH339" s="68"/>
      <c r="BI339" s="68"/>
      <c r="BJ339" s="70"/>
      <c r="BM339" s="68"/>
      <c r="BN339" s="70"/>
      <c r="BT339" s="68"/>
      <c r="BU339" s="70"/>
      <c r="BZ339" s="10"/>
      <c r="CF339" s="10"/>
      <c r="CI339" s="389"/>
      <c r="CJ339" s="389"/>
      <c r="CK339" s="68"/>
      <c r="CL339" s="70"/>
      <c r="CO339" s="10"/>
      <c r="CU339" s="10"/>
      <c r="DA339" s="10"/>
      <c r="DB339" s="70"/>
      <c r="DC339" s="70"/>
      <c r="DF339" s="68"/>
      <c r="DG339" s="70"/>
      <c r="DH339" s="68"/>
      <c r="DI339" s="386"/>
      <c r="DJ339" s="425"/>
      <c r="DL339" s="68"/>
      <c r="DM339" s="70"/>
      <c r="DQ339" s="68"/>
      <c r="DR339" s="70"/>
      <c r="DS339" s="338"/>
      <c r="DT339" s="338"/>
      <c r="DU339" s="338"/>
      <c r="DW339" s="338"/>
      <c r="DX339" s="338"/>
      <c r="DY339" s="338"/>
      <c r="EA339" s="338"/>
      <c r="EB339" s="338"/>
      <c r="EC339" s="338"/>
      <c r="EE339" s="338"/>
      <c r="EF339" s="338"/>
      <c r="EG339" s="338"/>
      <c r="EI339" s="336"/>
      <c r="EJ339" s="336"/>
      <c r="EK339" s="336"/>
      <c r="EL339" s="336"/>
      <c r="EM339" s="336"/>
      <c r="EN339" s="336"/>
      <c r="EO339" s="337"/>
      <c r="EP339" s="342"/>
      <c r="EQ339" s="336"/>
      <c r="ER339" s="342"/>
      <c r="ES339" s="336"/>
      <c r="ET339" s="342"/>
      <c r="EU339" s="336"/>
      <c r="EV339" s="342"/>
      <c r="EW339" s="336"/>
      <c r="EX339" s="342"/>
      <c r="EY339" s="342"/>
      <c r="EZ339" s="342"/>
      <c r="FA339" s="337"/>
      <c r="FE339" s="338"/>
      <c r="FH339" s="338"/>
      <c r="FI339" s="338"/>
      <c r="FJ339" s="338"/>
      <c r="FK339" s="338"/>
      <c r="FL339" s="338"/>
      <c r="FM339" s="337"/>
      <c r="FN339" s="336"/>
      <c r="FO339" s="336"/>
      <c r="FP339" s="336"/>
      <c r="FQ339" s="336"/>
      <c r="FR339" s="336"/>
      <c r="FS339" s="336"/>
      <c r="FT339" s="336"/>
      <c r="FU339" s="336"/>
      <c r="FV339" s="336"/>
      <c r="FW339" s="337"/>
      <c r="FX339" s="532"/>
      <c r="FY339" s="341"/>
      <c r="FZ339" s="341"/>
      <c r="GA339" s="336"/>
      <c r="GB339" s="341"/>
      <c r="GC339" s="341"/>
      <c r="GD339" s="341"/>
      <c r="GE339" s="336"/>
      <c r="GF339" s="336"/>
      <c r="GG339" s="336"/>
      <c r="GH339" s="336"/>
      <c r="GI339" s="336"/>
      <c r="GJ339" s="337"/>
      <c r="GM339" s="338"/>
      <c r="GN339" s="338"/>
      <c r="GO339" s="338"/>
      <c r="GS339" s="338"/>
      <c r="GT339" s="338"/>
      <c r="GU339" s="338"/>
      <c r="GY339" s="338"/>
      <c r="GZ339" s="338"/>
      <c r="HA339" s="338"/>
      <c r="HE339" s="338"/>
      <c r="HF339" s="338"/>
      <c r="HG339" s="338"/>
      <c r="HN339" s="68"/>
      <c r="HO339" s="68"/>
      <c r="HP339" s="68"/>
      <c r="HQ339" s="336"/>
      <c r="HR339" s="68"/>
      <c r="HS339" s="68"/>
      <c r="HT339" s="10"/>
      <c r="HW339" s="338"/>
      <c r="HX339" s="338"/>
      <c r="HY339" s="338"/>
      <c r="IC339" s="338"/>
      <c r="ID339" s="338"/>
      <c r="IE339" s="338"/>
      <c r="II339" s="338"/>
      <c r="IJ339" s="338"/>
      <c r="IK339" s="338"/>
      <c r="IO339" s="338"/>
      <c r="IP339" s="338"/>
      <c r="IQ339" s="338"/>
      <c r="IX339" s="68"/>
      <c r="IY339" s="68"/>
      <c r="IZ339" s="68"/>
      <c r="JA339" s="68"/>
      <c r="JB339" s="68"/>
      <c r="JC339" s="68"/>
      <c r="JD339" s="10"/>
      <c r="JG339" s="338"/>
      <c r="JH339" s="338"/>
      <c r="JI339" s="338"/>
      <c r="JM339" s="338"/>
      <c r="JN339" s="338"/>
      <c r="JQ339" s="338"/>
      <c r="JR339" s="338"/>
      <c r="JS339" s="338"/>
      <c r="JW339" s="358"/>
      <c r="JX339" s="336"/>
      <c r="JY339" s="336"/>
      <c r="JZ339" s="336"/>
      <c r="KA339" s="336"/>
      <c r="KB339" s="336"/>
      <c r="KC339" s="336"/>
      <c r="KD339" s="336"/>
      <c r="KE339" s="336"/>
      <c r="KF339" s="336"/>
      <c r="KG339" s="337"/>
      <c r="KH339" s="338"/>
      <c r="KI339" s="338"/>
      <c r="KJ339" s="338"/>
      <c r="KK339" s="338"/>
      <c r="KL339" s="338"/>
      <c r="KM339" s="338"/>
      <c r="KN339" s="338"/>
      <c r="KO339" s="338"/>
      <c r="KP339" s="338"/>
      <c r="KQ339" s="338"/>
      <c r="KR339" s="338"/>
      <c r="KS339" s="338"/>
      <c r="KT339" s="338"/>
      <c r="KU339" s="338"/>
      <c r="KV339" s="338"/>
      <c r="KW339" s="337"/>
      <c r="KX339" s="336"/>
      <c r="KY339" s="336"/>
      <c r="KZ339" s="336"/>
      <c r="LA339" s="336"/>
      <c r="LB339" s="336"/>
      <c r="LC339" s="336"/>
      <c r="LD339" s="336"/>
      <c r="LE339" s="336"/>
      <c r="LF339" s="336"/>
      <c r="LG339" s="336"/>
      <c r="LH339" s="336"/>
      <c r="LI339" s="336"/>
      <c r="LJ339" s="336"/>
      <c r="LK339" s="336"/>
      <c r="LL339" s="336"/>
      <c r="LM339" s="336"/>
      <c r="LN339" s="336"/>
      <c r="LO339" s="336"/>
      <c r="LP339" s="336"/>
      <c r="LQ339" s="337"/>
      <c r="MN339" s="10"/>
      <c r="OA339" s="10"/>
    </row>
    <row r="340" spans="1:391" s="370" customFormat="1" x14ac:dyDescent="0.25">
      <c r="A340" s="68"/>
      <c r="B340" s="10"/>
      <c r="C340" s="68"/>
      <c r="D340" s="68"/>
      <c r="E340" s="68"/>
      <c r="F340" s="68"/>
      <c r="G340" s="68"/>
      <c r="H340" s="68"/>
      <c r="I340" s="68"/>
      <c r="J340" s="68"/>
      <c r="K340" s="68"/>
      <c r="L340" s="68"/>
      <c r="M340" s="68"/>
      <c r="N340" s="68"/>
      <c r="O340" s="68"/>
      <c r="P340" s="68"/>
      <c r="Q340" s="68"/>
      <c r="R340" s="68"/>
      <c r="S340" s="68"/>
      <c r="T340" s="70"/>
      <c r="AC340" s="68"/>
      <c r="AD340" s="70"/>
      <c r="AM340" s="68"/>
      <c r="AN340" s="70"/>
      <c r="AU340" s="68"/>
      <c r="AV340" s="70"/>
      <c r="BB340" s="68"/>
      <c r="BC340" s="70"/>
      <c r="BD340" s="68"/>
      <c r="BE340" s="68"/>
      <c r="BF340" s="68"/>
      <c r="BG340" s="68"/>
      <c r="BH340" s="68"/>
      <c r="BI340" s="68"/>
      <c r="BJ340" s="70"/>
      <c r="BM340" s="68"/>
      <c r="BN340" s="70"/>
      <c r="BT340" s="68"/>
      <c r="BU340" s="70"/>
      <c r="BZ340" s="10"/>
      <c r="CF340" s="10"/>
      <c r="CI340" s="389"/>
      <c r="CJ340" s="389"/>
      <c r="CK340" s="68"/>
      <c r="CL340" s="70"/>
      <c r="CO340" s="10"/>
      <c r="CU340" s="10"/>
      <c r="DA340" s="10"/>
      <c r="DB340" s="70"/>
      <c r="DC340" s="70"/>
      <c r="DF340" s="68"/>
      <c r="DG340" s="70"/>
      <c r="DH340" s="68"/>
      <c r="DI340" s="386"/>
      <c r="DJ340" s="425"/>
      <c r="DL340" s="68"/>
      <c r="DM340" s="70"/>
      <c r="DQ340" s="68"/>
      <c r="DR340" s="70"/>
      <c r="DS340" s="338"/>
      <c r="DT340" s="338"/>
      <c r="DU340" s="338"/>
      <c r="DW340" s="338"/>
      <c r="DX340" s="338"/>
      <c r="DY340" s="338"/>
      <c r="EA340" s="338"/>
      <c r="EB340" s="338"/>
      <c r="EC340" s="338"/>
      <c r="EE340" s="338"/>
      <c r="EF340" s="338"/>
      <c r="EG340" s="338"/>
      <c r="EI340" s="336"/>
      <c r="EJ340" s="336"/>
      <c r="EK340" s="336"/>
      <c r="EL340" s="336"/>
      <c r="EM340" s="336"/>
      <c r="EN340" s="336"/>
      <c r="EO340" s="337"/>
      <c r="EP340" s="342"/>
      <c r="EQ340" s="336"/>
      <c r="ER340" s="342"/>
      <c r="ES340" s="336"/>
      <c r="ET340" s="342"/>
      <c r="EU340" s="336"/>
      <c r="EV340" s="342"/>
      <c r="EW340" s="336"/>
      <c r="EX340" s="342"/>
      <c r="EY340" s="342"/>
      <c r="EZ340" s="342"/>
      <c r="FA340" s="337"/>
      <c r="FE340" s="338"/>
      <c r="FH340" s="338"/>
      <c r="FI340" s="338"/>
      <c r="FJ340" s="338"/>
      <c r="FK340" s="338"/>
      <c r="FL340" s="338"/>
      <c r="FM340" s="337"/>
      <c r="FN340" s="336"/>
      <c r="FO340" s="336"/>
      <c r="FP340" s="336"/>
      <c r="FQ340" s="336"/>
      <c r="FR340" s="336"/>
      <c r="FS340" s="336"/>
      <c r="FT340" s="336"/>
      <c r="FU340" s="336"/>
      <c r="FV340" s="336"/>
      <c r="FW340" s="337"/>
      <c r="FX340" s="532"/>
      <c r="FY340" s="341"/>
      <c r="FZ340" s="341"/>
      <c r="GA340" s="336"/>
      <c r="GB340" s="341"/>
      <c r="GC340" s="341"/>
      <c r="GD340" s="341"/>
      <c r="GE340" s="336"/>
      <c r="GF340" s="336"/>
      <c r="GG340" s="336"/>
      <c r="GH340" s="336"/>
      <c r="GI340" s="336"/>
      <c r="GJ340" s="337"/>
      <c r="GM340" s="338"/>
      <c r="GN340" s="338"/>
      <c r="GO340" s="338"/>
      <c r="GS340" s="338"/>
      <c r="GT340" s="338"/>
      <c r="GU340" s="338"/>
      <c r="GY340" s="338"/>
      <c r="GZ340" s="338"/>
      <c r="HA340" s="338"/>
      <c r="HE340" s="338"/>
      <c r="HF340" s="338"/>
      <c r="HG340" s="338"/>
      <c r="HN340" s="68"/>
      <c r="HO340" s="68"/>
      <c r="HP340" s="68"/>
      <c r="HQ340" s="336"/>
      <c r="HR340" s="68"/>
      <c r="HS340" s="68"/>
      <c r="HT340" s="10"/>
      <c r="HW340" s="338"/>
      <c r="HX340" s="338"/>
      <c r="HY340" s="338"/>
      <c r="IC340" s="338"/>
      <c r="ID340" s="338"/>
      <c r="IE340" s="338"/>
      <c r="II340" s="338"/>
      <c r="IJ340" s="338"/>
      <c r="IK340" s="338"/>
      <c r="IO340" s="338"/>
      <c r="IP340" s="338"/>
      <c r="IQ340" s="338"/>
      <c r="IX340" s="68"/>
      <c r="IY340" s="68"/>
      <c r="IZ340" s="68"/>
      <c r="JA340" s="68"/>
      <c r="JB340" s="68"/>
      <c r="JC340" s="68"/>
      <c r="JD340" s="10"/>
      <c r="JG340" s="338"/>
      <c r="JH340" s="338"/>
      <c r="JI340" s="338"/>
      <c r="JM340" s="338"/>
      <c r="JN340" s="338"/>
      <c r="JQ340" s="338"/>
      <c r="JR340" s="338"/>
      <c r="JS340" s="338"/>
      <c r="JW340" s="358"/>
      <c r="JX340" s="336"/>
      <c r="JY340" s="336"/>
      <c r="JZ340" s="336"/>
      <c r="KA340" s="336"/>
      <c r="KB340" s="336"/>
      <c r="KC340" s="336"/>
      <c r="KD340" s="336"/>
      <c r="KE340" s="336"/>
      <c r="KF340" s="336"/>
      <c r="KG340" s="337"/>
      <c r="KH340" s="338"/>
      <c r="KI340" s="338"/>
      <c r="KJ340" s="338"/>
      <c r="KK340" s="338"/>
      <c r="KL340" s="338"/>
      <c r="KM340" s="338"/>
      <c r="KN340" s="338"/>
      <c r="KO340" s="338"/>
      <c r="KP340" s="338"/>
      <c r="KQ340" s="338"/>
      <c r="KR340" s="338"/>
      <c r="KS340" s="338"/>
      <c r="KT340" s="338"/>
      <c r="KU340" s="338"/>
      <c r="KV340" s="338"/>
      <c r="KW340" s="337"/>
      <c r="KX340" s="336"/>
      <c r="KY340" s="336"/>
      <c r="KZ340" s="336"/>
      <c r="LA340" s="336"/>
      <c r="LB340" s="336"/>
      <c r="LC340" s="336"/>
      <c r="LD340" s="336"/>
      <c r="LE340" s="336"/>
      <c r="LF340" s="336"/>
      <c r="LG340" s="336"/>
      <c r="LH340" s="336"/>
      <c r="LI340" s="336"/>
      <c r="LJ340" s="336"/>
      <c r="LK340" s="336"/>
      <c r="LL340" s="336"/>
      <c r="LM340" s="336"/>
      <c r="LN340" s="336"/>
      <c r="LO340" s="336"/>
      <c r="LP340" s="336"/>
      <c r="LQ340" s="337"/>
      <c r="MN340" s="10"/>
      <c r="OA340" s="10"/>
    </row>
    <row r="341" spans="1:391" s="370" customFormat="1" x14ac:dyDescent="0.25">
      <c r="A341" s="68"/>
      <c r="B341" s="10"/>
      <c r="C341" s="68"/>
      <c r="D341" s="68"/>
      <c r="E341" s="68"/>
      <c r="F341" s="68"/>
      <c r="G341" s="68"/>
      <c r="H341" s="68"/>
      <c r="I341" s="68"/>
      <c r="J341" s="68"/>
      <c r="K341" s="68"/>
      <c r="L341" s="68"/>
      <c r="M341" s="68"/>
      <c r="N341" s="68"/>
      <c r="O341" s="68"/>
      <c r="P341" s="68"/>
      <c r="Q341" s="68"/>
      <c r="R341" s="68"/>
      <c r="S341" s="68"/>
      <c r="T341" s="70"/>
      <c r="AC341" s="68"/>
      <c r="AD341" s="70"/>
      <c r="AM341" s="68"/>
      <c r="AN341" s="70"/>
      <c r="AU341" s="68"/>
      <c r="AV341" s="70"/>
      <c r="BB341" s="68"/>
      <c r="BC341" s="70"/>
      <c r="BD341" s="68"/>
      <c r="BE341" s="68"/>
      <c r="BF341" s="68"/>
      <c r="BG341" s="68"/>
      <c r="BH341" s="68"/>
      <c r="BI341" s="68"/>
      <c r="BJ341" s="70"/>
      <c r="BM341" s="68"/>
      <c r="BN341" s="70"/>
      <c r="BT341" s="68"/>
      <c r="BU341" s="70"/>
      <c r="BZ341" s="10"/>
      <c r="CF341" s="10"/>
      <c r="CI341" s="389"/>
      <c r="CJ341" s="389"/>
      <c r="CK341" s="68"/>
      <c r="CL341" s="70"/>
      <c r="CO341" s="10"/>
      <c r="CU341" s="10"/>
      <c r="DA341" s="10"/>
      <c r="DB341" s="70"/>
      <c r="DC341" s="70"/>
      <c r="DF341" s="68"/>
      <c r="DG341" s="70"/>
      <c r="DH341" s="68"/>
      <c r="DI341" s="386"/>
      <c r="DJ341" s="425"/>
      <c r="DL341" s="68"/>
      <c r="DM341" s="70"/>
      <c r="DQ341" s="68"/>
      <c r="DR341" s="70"/>
      <c r="DS341" s="338"/>
      <c r="DT341" s="338"/>
      <c r="DU341" s="338"/>
      <c r="DW341" s="338"/>
      <c r="DX341" s="338"/>
      <c r="DY341" s="338"/>
      <c r="EA341" s="338"/>
      <c r="EB341" s="338"/>
      <c r="EC341" s="338"/>
      <c r="EE341" s="338"/>
      <c r="EF341" s="338"/>
      <c r="EG341" s="338"/>
      <c r="EI341" s="336"/>
      <c r="EJ341" s="336"/>
      <c r="EK341" s="336"/>
      <c r="EL341" s="336"/>
      <c r="EM341" s="336"/>
      <c r="EN341" s="336"/>
      <c r="EO341" s="337"/>
      <c r="EP341" s="342"/>
      <c r="EQ341" s="336"/>
      <c r="ER341" s="342"/>
      <c r="ES341" s="336"/>
      <c r="ET341" s="342"/>
      <c r="EU341" s="336"/>
      <c r="EV341" s="342"/>
      <c r="EW341" s="336"/>
      <c r="EX341" s="342"/>
      <c r="EY341" s="342"/>
      <c r="EZ341" s="342"/>
      <c r="FA341" s="337"/>
      <c r="FE341" s="338"/>
      <c r="FH341" s="338"/>
      <c r="FI341" s="338"/>
      <c r="FJ341" s="338"/>
      <c r="FK341" s="338"/>
      <c r="FL341" s="338"/>
      <c r="FM341" s="337"/>
      <c r="FN341" s="336"/>
      <c r="FO341" s="336"/>
      <c r="FP341" s="336"/>
      <c r="FQ341" s="336"/>
      <c r="FR341" s="336"/>
      <c r="FS341" s="336"/>
      <c r="FT341" s="336"/>
      <c r="FU341" s="336"/>
      <c r="FV341" s="336"/>
      <c r="FW341" s="337"/>
      <c r="FX341" s="532"/>
      <c r="FY341" s="341"/>
      <c r="FZ341" s="341"/>
      <c r="GA341" s="336"/>
      <c r="GB341" s="341"/>
      <c r="GC341" s="341"/>
      <c r="GD341" s="341"/>
      <c r="GE341" s="336"/>
      <c r="GF341" s="336"/>
      <c r="GG341" s="336"/>
      <c r="GH341" s="336"/>
      <c r="GI341" s="336"/>
      <c r="GJ341" s="337"/>
      <c r="GM341" s="338"/>
      <c r="GN341" s="338"/>
      <c r="GO341" s="338"/>
      <c r="GS341" s="338"/>
      <c r="GT341" s="338"/>
      <c r="GU341" s="338"/>
      <c r="GY341" s="338"/>
      <c r="GZ341" s="338"/>
      <c r="HA341" s="338"/>
      <c r="HE341" s="338"/>
      <c r="HF341" s="338"/>
      <c r="HG341" s="338"/>
      <c r="HN341" s="68"/>
      <c r="HO341" s="68"/>
      <c r="HP341" s="68"/>
      <c r="HQ341" s="336"/>
      <c r="HR341" s="68"/>
      <c r="HS341" s="68"/>
      <c r="HT341" s="10"/>
      <c r="HW341" s="338"/>
      <c r="HX341" s="338"/>
      <c r="HY341" s="338"/>
      <c r="IC341" s="338"/>
      <c r="ID341" s="338"/>
      <c r="IE341" s="338"/>
      <c r="II341" s="338"/>
      <c r="IJ341" s="338"/>
      <c r="IK341" s="338"/>
      <c r="IO341" s="338"/>
      <c r="IP341" s="338"/>
      <c r="IQ341" s="338"/>
      <c r="IX341" s="68"/>
      <c r="IY341" s="68"/>
      <c r="IZ341" s="68"/>
      <c r="JA341" s="68"/>
      <c r="JB341" s="68"/>
      <c r="JC341" s="68"/>
      <c r="JD341" s="10"/>
      <c r="JG341" s="338"/>
      <c r="JH341" s="338"/>
      <c r="JI341" s="338"/>
      <c r="JM341" s="338"/>
      <c r="JN341" s="338"/>
      <c r="JQ341" s="338"/>
      <c r="JR341" s="338"/>
      <c r="JS341" s="338"/>
      <c r="JW341" s="358"/>
      <c r="JX341" s="336"/>
      <c r="JY341" s="336"/>
      <c r="JZ341" s="336"/>
      <c r="KA341" s="336"/>
      <c r="KB341" s="336"/>
      <c r="KC341" s="336"/>
      <c r="KD341" s="336"/>
      <c r="KE341" s="336"/>
      <c r="KF341" s="336"/>
      <c r="KG341" s="337"/>
      <c r="KH341" s="338"/>
      <c r="KI341" s="338"/>
      <c r="KJ341" s="338"/>
      <c r="KK341" s="338"/>
      <c r="KL341" s="338"/>
      <c r="KM341" s="338"/>
      <c r="KN341" s="338"/>
      <c r="KO341" s="338"/>
      <c r="KP341" s="338"/>
      <c r="KQ341" s="338"/>
      <c r="KR341" s="338"/>
      <c r="KS341" s="338"/>
      <c r="KT341" s="338"/>
      <c r="KU341" s="338"/>
      <c r="KV341" s="338"/>
      <c r="KW341" s="337"/>
      <c r="KX341" s="336"/>
      <c r="KY341" s="336"/>
      <c r="KZ341" s="336"/>
      <c r="LA341" s="336"/>
      <c r="LB341" s="336"/>
      <c r="LC341" s="336"/>
      <c r="LD341" s="336"/>
      <c r="LE341" s="336"/>
      <c r="LF341" s="336"/>
      <c r="LG341" s="336"/>
      <c r="LH341" s="336"/>
      <c r="LI341" s="336"/>
      <c r="LJ341" s="336"/>
      <c r="LK341" s="336"/>
      <c r="LL341" s="336"/>
      <c r="LM341" s="336"/>
      <c r="LN341" s="336"/>
      <c r="LO341" s="336"/>
      <c r="LP341" s="336"/>
      <c r="LQ341" s="337"/>
      <c r="MN341" s="10"/>
      <c r="OA341" s="10"/>
    </row>
    <row r="342" spans="1:391" s="370" customFormat="1" x14ac:dyDescent="0.25">
      <c r="A342" s="68"/>
      <c r="B342" s="10"/>
      <c r="C342" s="68"/>
      <c r="D342" s="68"/>
      <c r="E342" s="68"/>
      <c r="F342" s="68"/>
      <c r="G342" s="68"/>
      <c r="H342" s="68"/>
      <c r="I342" s="68"/>
      <c r="J342" s="68"/>
      <c r="K342" s="68"/>
      <c r="L342" s="68"/>
      <c r="M342" s="68"/>
      <c r="N342" s="68"/>
      <c r="O342" s="68"/>
      <c r="P342" s="68"/>
      <c r="Q342" s="68"/>
      <c r="R342" s="68"/>
      <c r="S342" s="68"/>
      <c r="T342" s="70"/>
      <c r="AC342" s="68"/>
      <c r="AD342" s="70"/>
      <c r="AM342" s="68"/>
      <c r="AN342" s="70"/>
      <c r="AU342" s="68"/>
      <c r="AV342" s="70"/>
      <c r="BB342" s="68"/>
      <c r="BC342" s="70"/>
      <c r="BD342" s="68"/>
      <c r="BE342" s="68"/>
      <c r="BF342" s="68"/>
      <c r="BG342" s="68"/>
      <c r="BH342" s="68"/>
      <c r="BI342" s="68"/>
      <c r="BJ342" s="70"/>
      <c r="BM342" s="68"/>
      <c r="BN342" s="70"/>
      <c r="BT342" s="68"/>
      <c r="BU342" s="70"/>
      <c r="BZ342" s="10"/>
      <c r="CF342" s="10"/>
      <c r="CI342" s="389"/>
      <c r="CJ342" s="389"/>
      <c r="CK342" s="68"/>
      <c r="CL342" s="70"/>
      <c r="CO342" s="10"/>
      <c r="CU342" s="10"/>
      <c r="DA342" s="10"/>
      <c r="DB342" s="70"/>
      <c r="DC342" s="70"/>
      <c r="DF342" s="68"/>
      <c r="DG342" s="70"/>
      <c r="DH342" s="68"/>
      <c r="DI342" s="386"/>
      <c r="DJ342" s="425"/>
      <c r="DL342" s="68"/>
      <c r="DM342" s="70"/>
      <c r="DQ342" s="68"/>
      <c r="DR342" s="70"/>
      <c r="DS342" s="338"/>
      <c r="DT342" s="338"/>
      <c r="DU342" s="338"/>
      <c r="DW342" s="338"/>
      <c r="DX342" s="338"/>
      <c r="DY342" s="338"/>
      <c r="EA342" s="338"/>
      <c r="EB342" s="338"/>
      <c r="EC342" s="338"/>
      <c r="EE342" s="338"/>
      <c r="EF342" s="338"/>
      <c r="EG342" s="338"/>
      <c r="EI342" s="336"/>
      <c r="EJ342" s="336"/>
      <c r="EK342" s="336"/>
      <c r="EL342" s="336"/>
      <c r="EM342" s="336"/>
      <c r="EN342" s="336"/>
      <c r="EO342" s="337"/>
      <c r="EP342" s="342"/>
      <c r="EQ342" s="336"/>
      <c r="ER342" s="342"/>
      <c r="ES342" s="336"/>
      <c r="ET342" s="342"/>
      <c r="EU342" s="336"/>
      <c r="EV342" s="342"/>
      <c r="EW342" s="336"/>
      <c r="EX342" s="342"/>
      <c r="EY342" s="342"/>
      <c r="EZ342" s="342"/>
      <c r="FA342" s="337"/>
      <c r="FE342" s="338"/>
      <c r="FH342" s="338"/>
      <c r="FI342" s="338"/>
      <c r="FJ342" s="338"/>
      <c r="FK342" s="338"/>
      <c r="FL342" s="338"/>
      <c r="FM342" s="337"/>
      <c r="FN342" s="336"/>
      <c r="FO342" s="336"/>
      <c r="FP342" s="336"/>
      <c r="FQ342" s="336"/>
      <c r="FR342" s="336"/>
      <c r="FS342" s="336"/>
      <c r="FT342" s="336"/>
      <c r="FU342" s="336"/>
      <c r="FV342" s="336"/>
      <c r="FW342" s="337"/>
      <c r="FX342" s="532"/>
      <c r="FY342" s="341"/>
      <c r="FZ342" s="341"/>
      <c r="GA342" s="336"/>
      <c r="GB342" s="341"/>
      <c r="GC342" s="341"/>
      <c r="GD342" s="341"/>
      <c r="GE342" s="336"/>
      <c r="GF342" s="336"/>
      <c r="GG342" s="336"/>
      <c r="GH342" s="336"/>
      <c r="GI342" s="336"/>
      <c r="GJ342" s="337"/>
      <c r="GM342" s="338"/>
      <c r="GN342" s="338"/>
      <c r="GO342" s="338"/>
      <c r="GS342" s="338"/>
      <c r="GT342" s="338"/>
      <c r="GU342" s="338"/>
      <c r="GY342" s="338"/>
      <c r="GZ342" s="338"/>
      <c r="HA342" s="338"/>
      <c r="HE342" s="338"/>
      <c r="HF342" s="338"/>
      <c r="HG342" s="338"/>
      <c r="HN342" s="68"/>
      <c r="HO342" s="68"/>
      <c r="HP342" s="68"/>
      <c r="HQ342" s="336"/>
      <c r="HR342" s="68"/>
      <c r="HS342" s="68"/>
      <c r="HT342" s="10"/>
      <c r="HW342" s="338"/>
      <c r="HX342" s="338"/>
      <c r="HY342" s="338"/>
      <c r="IC342" s="338"/>
      <c r="ID342" s="338"/>
      <c r="IE342" s="338"/>
      <c r="II342" s="338"/>
      <c r="IJ342" s="338"/>
      <c r="IK342" s="338"/>
      <c r="IO342" s="338"/>
      <c r="IP342" s="338"/>
      <c r="IQ342" s="338"/>
      <c r="IX342" s="68"/>
      <c r="IY342" s="68"/>
      <c r="IZ342" s="68"/>
      <c r="JA342" s="68"/>
      <c r="JB342" s="68"/>
      <c r="JC342" s="68"/>
      <c r="JD342" s="10"/>
      <c r="JG342" s="338"/>
      <c r="JH342" s="338"/>
      <c r="JI342" s="338"/>
      <c r="JM342" s="338"/>
      <c r="JN342" s="338"/>
      <c r="JQ342" s="338"/>
      <c r="JR342" s="338"/>
      <c r="JS342" s="338"/>
      <c r="JW342" s="358"/>
      <c r="JX342" s="336"/>
      <c r="JY342" s="336"/>
      <c r="JZ342" s="336"/>
      <c r="KA342" s="336"/>
      <c r="KB342" s="336"/>
      <c r="KC342" s="336"/>
      <c r="KD342" s="336"/>
      <c r="KE342" s="336"/>
      <c r="KF342" s="336"/>
      <c r="KG342" s="337"/>
      <c r="KH342" s="338"/>
      <c r="KI342" s="338"/>
      <c r="KJ342" s="338"/>
      <c r="KK342" s="338"/>
      <c r="KL342" s="338"/>
      <c r="KM342" s="338"/>
      <c r="KN342" s="338"/>
      <c r="KO342" s="338"/>
      <c r="KP342" s="338"/>
      <c r="KQ342" s="338"/>
      <c r="KR342" s="338"/>
      <c r="KS342" s="338"/>
      <c r="KT342" s="338"/>
      <c r="KU342" s="338"/>
      <c r="KV342" s="338"/>
      <c r="KW342" s="337"/>
      <c r="KX342" s="336"/>
      <c r="KY342" s="336"/>
      <c r="KZ342" s="336"/>
      <c r="LA342" s="336"/>
      <c r="LB342" s="336"/>
      <c r="LC342" s="336"/>
      <c r="LD342" s="336"/>
      <c r="LE342" s="336"/>
      <c r="LF342" s="336"/>
      <c r="LG342" s="336"/>
      <c r="LH342" s="336"/>
      <c r="LI342" s="336"/>
      <c r="LJ342" s="336"/>
      <c r="LK342" s="336"/>
      <c r="LL342" s="336"/>
      <c r="LM342" s="336"/>
      <c r="LN342" s="336"/>
      <c r="LO342" s="336"/>
      <c r="LP342" s="336"/>
      <c r="LQ342" s="337"/>
      <c r="MN342" s="10"/>
      <c r="OA342" s="10"/>
    </row>
    <row r="343" spans="1:391" s="370" customFormat="1" x14ac:dyDescent="0.25">
      <c r="A343" s="68"/>
      <c r="B343" s="10"/>
      <c r="C343" s="68"/>
      <c r="D343" s="68"/>
      <c r="E343" s="68"/>
      <c r="F343" s="68"/>
      <c r="G343" s="68"/>
      <c r="H343" s="68"/>
      <c r="I343" s="68"/>
      <c r="J343" s="68"/>
      <c r="K343" s="68"/>
      <c r="L343" s="68"/>
      <c r="M343" s="68"/>
      <c r="N343" s="68"/>
      <c r="O343" s="68"/>
      <c r="P343" s="68"/>
      <c r="Q343" s="68"/>
      <c r="R343" s="68"/>
      <c r="S343" s="68"/>
      <c r="T343" s="70"/>
      <c r="AC343" s="68"/>
      <c r="AD343" s="70"/>
      <c r="AM343" s="68"/>
      <c r="AN343" s="70"/>
      <c r="AU343" s="68"/>
      <c r="AV343" s="70"/>
      <c r="BB343" s="68"/>
      <c r="BC343" s="70"/>
      <c r="BD343" s="68"/>
      <c r="BE343" s="68"/>
      <c r="BF343" s="68"/>
      <c r="BG343" s="68"/>
      <c r="BH343" s="68"/>
      <c r="BI343" s="68"/>
      <c r="BJ343" s="70"/>
      <c r="BM343" s="68"/>
      <c r="BN343" s="70"/>
      <c r="BT343" s="68"/>
      <c r="BU343" s="70"/>
      <c r="BZ343" s="10"/>
      <c r="CF343" s="10"/>
      <c r="CI343" s="389"/>
      <c r="CJ343" s="389"/>
      <c r="CK343" s="68"/>
      <c r="CL343" s="70"/>
      <c r="CO343" s="10"/>
      <c r="CU343" s="10"/>
      <c r="DA343" s="10"/>
      <c r="DB343" s="70"/>
      <c r="DC343" s="70"/>
      <c r="DF343" s="68"/>
      <c r="DG343" s="70"/>
      <c r="DH343" s="68"/>
      <c r="DI343" s="386"/>
      <c r="DJ343" s="425"/>
      <c r="DL343" s="68"/>
      <c r="DM343" s="70"/>
      <c r="DQ343" s="68"/>
      <c r="DR343" s="70"/>
      <c r="DS343" s="338"/>
      <c r="DT343" s="338"/>
      <c r="DU343" s="338"/>
      <c r="DW343" s="338"/>
      <c r="DX343" s="338"/>
      <c r="DY343" s="338"/>
      <c r="EA343" s="338"/>
      <c r="EB343" s="338"/>
      <c r="EC343" s="338"/>
      <c r="EE343" s="338"/>
      <c r="EF343" s="338"/>
      <c r="EG343" s="338"/>
      <c r="EI343" s="336"/>
      <c r="EJ343" s="336"/>
      <c r="EK343" s="336"/>
      <c r="EL343" s="336"/>
      <c r="EM343" s="336"/>
      <c r="EN343" s="336"/>
      <c r="EO343" s="337"/>
      <c r="EP343" s="342"/>
      <c r="EQ343" s="336"/>
      <c r="ER343" s="342"/>
      <c r="ES343" s="336"/>
      <c r="ET343" s="342"/>
      <c r="EU343" s="336"/>
      <c r="EV343" s="342"/>
      <c r="EW343" s="336"/>
      <c r="EX343" s="342"/>
      <c r="EY343" s="342"/>
      <c r="EZ343" s="342"/>
      <c r="FA343" s="337"/>
      <c r="FE343" s="338"/>
      <c r="FH343" s="338"/>
      <c r="FI343" s="338"/>
      <c r="FJ343" s="338"/>
      <c r="FK343" s="338"/>
      <c r="FL343" s="338"/>
      <c r="FM343" s="337"/>
      <c r="FN343" s="336"/>
      <c r="FO343" s="336"/>
      <c r="FP343" s="336"/>
      <c r="FQ343" s="336"/>
      <c r="FR343" s="336"/>
      <c r="FS343" s="336"/>
      <c r="FT343" s="336"/>
      <c r="FU343" s="336"/>
      <c r="FV343" s="336"/>
      <c r="FW343" s="337"/>
      <c r="FX343" s="532"/>
      <c r="FY343" s="341"/>
      <c r="FZ343" s="341"/>
      <c r="GA343" s="336"/>
      <c r="GB343" s="341"/>
      <c r="GC343" s="341"/>
      <c r="GD343" s="341"/>
      <c r="GE343" s="336"/>
      <c r="GF343" s="336"/>
      <c r="GG343" s="336"/>
      <c r="GH343" s="336"/>
      <c r="GI343" s="336"/>
      <c r="GJ343" s="337"/>
      <c r="GM343" s="338"/>
      <c r="GN343" s="338"/>
      <c r="GO343" s="338"/>
      <c r="GS343" s="338"/>
      <c r="GT343" s="338"/>
      <c r="GU343" s="338"/>
      <c r="GY343" s="338"/>
      <c r="GZ343" s="338"/>
      <c r="HA343" s="338"/>
      <c r="HE343" s="338"/>
      <c r="HF343" s="338"/>
      <c r="HG343" s="338"/>
      <c r="HN343" s="68"/>
      <c r="HO343" s="68"/>
      <c r="HP343" s="68"/>
      <c r="HQ343" s="336"/>
      <c r="HR343" s="68"/>
      <c r="HS343" s="68"/>
      <c r="HT343" s="10"/>
      <c r="HW343" s="338"/>
      <c r="HX343" s="338"/>
      <c r="HY343" s="338"/>
      <c r="IC343" s="338"/>
      <c r="ID343" s="338"/>
      <c r="IE343" s="338"/>
      <c r="II343" s="338"/>
      <c r="IJ343" s="338"/>
      <c r="IK343" s="338"/>
      <c r="IO343" s="338"/>
      <c r="IP343" s="338"/>
      <c r="IQ343" s="338"/>
      <c r="IX343" s="68"/>
      <c r="IY343" s="68"/>
      <c r="IZ343" s="68"/>
      <c r="JA343" s="68"/>
      <c r="JB343" s="68"/>
      <c r="JC343" s="68"/>
      <c r="JD343" s="10"/>
      <c r="JG343" s="338"/>
      <c r="JH343" s="338"/>
      <c r="JI343" s="338"/>
      <c r="JM343" s="338"/>
      <c r="JN343" s="338"/>
      <c r="JQ343" s="338"/>
      <c r="JR343" s="338"/>
      <c r="JS343" s="338"/>
      <c r="JW343" s="358"/>
      <c r="JX343" s="336"/>
      <c r="JY343" s="336"/>
      <c r="JZ343" s="336"/>
      <c r="KA343" s="336"/>
      <c r="KB343" s="336"/>
      <c r="KC343" s="336"/>
      <c r="KD343" s="336"/>
      <c r="KE343" s="336"/>
      <c r="KF343" s="336"/>
      <c r="KG343" s="337"/>
      <c r="KH343" s="338"/>
      <c r="KI343" s="338"/>
      <c r="KJ343" s="338"/>
      <c r="KK343" s="338"/>
      <c r="KL343" s="338"/>
      <c r="KM343" s="338"/>
      <c r="KN343" s="338"/>
      <c r="KO343" s="338"/>
      <c r="KP343" s="338"/>
      <c r="KQ343" s="338"/>
      <c r="KR343" s="338"/>
      <c r="KS343" s="338"/>
      <c r="KT343" s="338"/>
      <c r="KU343" s="338"/>
      <c r="KV343" s="338"/>
      <c r="KW343" s="337"/>
      <c r="KX343" s="336"/>
      <c r="KY343" s="336"/>
      <c r="KZ343" s="336"/>
      <c r="LA343" s="336"/>
      <c r="LB343" s="336"/>
      <c r="LC343" s="336"/>
      <c r="LD343" s="336"/>
      <c r="LE343" s="336"/>
      <c r="LF343" s="336"/>
      <c r="LG343" s="336"/>
      <c r="LH343" s="336"/>
      <c r="LI343" s="336"/>
      <c r="LJ343" s="336"/>
      <c r="LK343" s="336"/>
      <c r="LL343" s="336"/>
      <c r="LM343" s="336"/>
      <c r="LN343" s="336"/>
      <c r="LO343" s="336"/>
      <c r="LP343" s="336"/>
      <c r="LQ343" s="337"/>
      <c r="MN343" s="10"/>
      <c r="OA343" s="10"/>
    </row>
    <row r="344" spans="1:391" s="370" customFormat="1" x14ac:dyDescent="0.25">
      <c r="A344" s="68"/>
      <c r="B344" s="10"/>
      <c r="C344" s="68"/>
      <c r="D344" s="68"/>
      <c r="E344" s="68"/>
      <c r="F344" s="68"/>
      <c r="G344" s="68"/>
      <c r="H344" s="68"/>
      <c r="I344" s="68"/>
      <c r="J344" s="68"/>
      <c r="K344" s="68"/>
      <c r="L344" s="68"/>
      <c r="M344" s="68"/>
      <c r="N344" s="68"/>
      <c r="O344" s="68"/>
      <c r="P344" s="68"/>
      <c r="Q344" s="68"/>
      <c r="R344" s="68"/>
      <c r="S344" s="68"/>
      <c r="T344" s="70"/>
      <c r="AC344" s="68"/>
      <c r="AD344" s="70"/>
      <c r="AM344" s="68"/>
      <c r="AN344" s="70"/>
      <c r="AU344" s="68"/>
      <c r="AV344" s="70"/>
      <c r="BB344" s="68"/>
      <c r="BC344" s="70"/>
      <c r="BD344" s="68"/>
      <c r="BE344" s="68"/>
      <c r="BF344" s="68"/>
      <c r="BG344" s="68"/>
      <c r="BH344" s="68"/>
      <c r="BI344" s="68"/>
      <c r="BJ344" s="70"/>
      <c r="BM344" s="68"/>
      <c r="BN344" s="70"/>
      <c r="BT344" s="68"/>
      <c r="BU344" s="70"/>
      <c r="BZ344" s="10"/>
      <c r="CF344" s="10"/>
      <c r="CI344" s="389"/>
      <c r="CJ344" s="389"/>
      <c r="CK344" s="68"/>
      <c r="CL344" s="70"/>
      <c r="CO344" s="10"/>
      <c r="CU344" s="10"/>
      <c r="DA344" s="10"/>
      <c r="DB344" s="70"/>
      <c r="DC344" s="70"/>
      <c r="DF344" s="68"/>
      <c r="DG344" s="70"/>
      <c r="DH344" s="68"/>
      <c r="DI344" s="386"/>
      <c r="DJ344" s="425"/>
      <c r="DL344" s="68"/>
      <c r="DM344" s="70"/>
      <c r="DQ344" s="68"/>
      <c r="DR344" s="70"/>
      <c r="DS344" s="338"/>
      <c r="DT344" s="338"/>
      <c r="DU344" s="338"/>
      <c r="DW344" s="338"/>
      <c r="DX344" s="338"/>
      <c r="DY344" s="338"/>
      <c r="EA344" s="338"/>
      <c r="EB344" s="338"/>
      <c r="EC344" s="338"/>
      <c r="EE344" s="338"/>
      <c r="EF344" s="338"/>
      <c r="EG344" s="338"/>
      <c r="EI344" s="336"/>
      <c r="EJ344" s="336"/>
      <c r="EK344" s="336"/>
      <c r="EL344" s="336"/>
      <c r="EM344" s="336"/>
      <c r="EN344" s="336"/>
      <c r="EO344" s="337"/>
      <c r="EP344" s="342"/>
      <c r="EQ344" s="336"/>
      <c r="ER344" s="342"/>
      <c r="ES344" s="336"/>
      <c r="ET344" s="342"/>
      <c r="EU344" s="336"/>
      <c r="EV344" s="342"/>
      <c r="EW344" s="336"/>
      <c r="EX344" s="342"/>
      <c r="EY344" s="342"/>
      <c r="EZ344" s="342"/>
      <c r="FA344" s="337"/>
      <c r="FE344" s="338"/>
      <c r="FH344" s="338"/>
      <c r="FI344" s="338"/>
      <c r="FJ344" s="338"/>
      <c r="FK344" s="338"/>
      <c r="FL344" s="338"/>
      <c r="FM344" s="337"/>
      <c r="FN344" s="336"/>
      <c r="FO344" s="336"/>
      <c r="FP344" s="336"/>
      <c r="FQ344" s="336"/>
      <c r="FR344" s="336"/>
      <c r="FS344" s="336"/>
      <c r="FT344" s="336"/>
      <c r="FU344" s="336"/>
      <c r="FV344" s="336"/>
      <c r="FW344" s="337"/>
      <c r="FX344" s="532"/>
      <c r="FY344" s="341"/>
      <c r="FZ344" s="341"/>
      <c r="GA344" s="336"/>
      <c r="GB344" s="341"/>
      <c r="GC344" s="341"/>
      <c r="GD344" s="341"/>
      <c r="GE344" s="336"/>
      <c r="GF344" s="336"/>
      <c r="GG344" s="336"/>
      <c r="GH344" s="336"/>
      <c r="GI344" s="336"/>
      <c r="GJ344" s="337"/>
      <c r="GM344" s="338"/>
      <c r="GN344" s="338"/>
      <c r="GO344" s="338"/>
      <c r="GS344" s="338"/>
      <c r="GT344" s="338"/>
      <c r="GU344" s="338"/>
      <c r="GY344" s="338"/>
      <c r="GZ344" s="338"/>
      <c r="HA344" s="338"/>
      <c r="HE344" s="338"/>
      <c r="HF344" s="338"/>
      <c r="HG344" s="338"/>
      <c r="HN344" s="68"/>
      <c r="HO344" s="68"/>
      <c r="HP344" s="68"/>
      <c r="HQ344" s="336"/>
      <c r="HR344" s="68"/>
      <c r="HS344" s="68"/>
      <c r="HT344" s="10"/>
      <c r="HW344" s="338"/>
      <c r="HX344" s="338"/>
      <c r="HY344" s="338"/>
      <c r="IC344" s="338"/>
      <c r="ID344" s="338"/>
      <c r="IE344" s="338"/>
      <c r="II344" s="338"/>
      <c r="IJ344" s="338"/>
      <c r="IK344" s="338"/>
      <c r="IO344" s="338"/>
      <c r="IP344" s="338"/>
      <c r="IQ344" s="338"/>
      <c r="IX344" s="68"/>
      <c r="IY344" s="68"/>
      <c r="IZ344" s="68"/>
      <c r="JA344" s="68"/>
      <c r="JB344" s="68"/>
      <c r="JC344" s="68"/>
      <c r="JD344" s="10"/>
      <c r="JG344" s="338"/>
      <c r="JH344" s="338"/>
      <c r="JI344" s="338"/>
      <c r="JM344" s="338"/>
      <c r="JN344" s="338"/>
      <c r="JQ344" s="338"/>
      <c r="JR344" s="338"/>
      <c r="JS344" s="338"/>
      <c r="JW344" s="358"/>
      <c r="JX344" s="336"/>
      <c r="JY344" s="336"/>
      <c r="JZ344" s="336"/>
      <c r="KA344" s="336"/>
      <c r="KB344" s="336"/>
      <c r="KC344" s="336"/>
      <c r="KD344" s="336"/>
      <c r="KE344" s="336"/>
      <c r="KF344" s="336"/>
      <c r="KG344" s="337"/>
      <c r="KH344" s="338"/>
      <c r="KI344" s="338"/>
      <c r="KJ344" s="338"/>
      <c r="KK344" s="338"/>
      <c r="KL344" s="338"/>
      <c r="KM344" s="338"/>
      <c r="KN344" s="338"/>
      <c r="KO344" s="338"/>
      <c r="KP344" s="338"/>
      <c r="KQ344" s="338"/>
      <c r="KR344" s="338"/>
      <c r="KS344" s="338"/>
      <c r="KT344" s="338"/>
      <c r="KU344" s="338"/>
      <c r="KV344" s="338"/>
      <c r="KW344" s="337"/>
      <c r="KX344" s="336"/>
      <c r="KY344" s="336"/>
      <c r="KZ344" s="336"/>
      <c r="LA344" s="336"/>
      <c r="LB344" s="336"/>
      <c r="LC344" s="336"/>
      <c r="LD344" s="336"/>
      <c r="LE344" s="336"/>
      <c r="LF344" s="336"/>
      <c r="LG344" s="336"/>
      <c r="LH344" s="336"/>
      <c r="LI344" s="336"/>
      <c r="LJ344" s="336"/>
      <c r="LK344" s="336"/>
      <c r="LL344" s="336"/>
      <c r="LM344" s="336"/>
      <c r="LN344" s="336"/>
      <c r="LO344" s="336"/>
      <c r="LP344" s="336"/>
      <c r="LQ344" s="337"/>
      <c r="MN344" s="10"/>
      <c r="OA344" s="10"/>
    </row>
    <row r="345" spans="1:391" s="370" customFormat="1" x14ac:dyDescent="0.25">
      <c r="A345" s="68"/>
      <c r="B345" s="10"/>
      <c r="C345" s="68"/>
      <c r="D345" s="68"/>
      <c r="E345" s="68"/>
      <c r="F345" s="68"/>
      <c r="G345" s="68"/>
      <c r="H345" s="68"/>
      <c r="I345" s="68"/>
      <c r="J345" s="68"/>
      <c r="K345" s="68"/>
      <c r="L345" s="68"/>
      <c r="M345" s="68"/>
      <c r="N345" s="68"/>
      <c r="O345" s="68"/>
      <c r="P345" s="68"/>
      <c r="Q345" s="68"/>
      <c r="R345" s="68"/>
      <c r="S345" s="68"/>
      <c r="T345" s="70"/>
      <c r="AC345" s="68"/>
      <c r="AD345" s="70"/>
      <c r="AM345" s="68"/>
      <c r="AN345" s="70"/>
      <c r="AU345" s="68"/>
      <c r="AV345" s="70"/>
      <c r="BB345" s="68"/>
      <c r="BC345" s="70"/>
      <c r="BD345" s="68"/>
      <c r="BE345" s="68"/>
      <c r="BF345" s="68"/>
      <c r="BG345" s="68"/>
      <c r="BH345" s="68"/>
      <c r="BI345" s="68"/>
      <c r="BJ345" s="70"/>
      <c r="BM345" s="68"/>
      <c r="BN345" s="70"/>
      <c r="BT345" s="68"/>
      <c r="BU345" s="70"/>
      <c r="BZ345" s="10"/>
      <c r="CF345" s="10"/>
      <c r="CI345" s="389"/>
      <c r="CJ345" s="389"/>
      <c r="CK345" s="68"/>
      <c r="CL345" s="70"/>
      <c r="CO345" s="10"/>
      <c r="CU345" s="10"/>
      <c r="DA345" s="10"/>
      <c r="DB345" s="70"/>
      <c r="DC345" s="70"/>
      <c r="DF345" s="68"/>
      <c r="DG345" s="70"/>
      <c r="DH345" s="68"/>
      <c r="DI345" s="386"/>
      <c r="DJ345" s="425"/>
      <c r="DL345" s="68"/>
      <c r="DM345" s="70"/>
      <c r="DQ345" s="68"/>
      <c r="DR345" s="70"/>
      <c r="DS345" s="338"/>
      <c r="DT345" s="338"/>
      <c r="DU345" s="338"/>
      <c r="DW345" s="338"/>
      <c r="DX345" s="338"/>
      <c r="DY345" s="338"/>
      <c r="EA345" s="338"/>
      <c r="EB345" s="338"/>
      <c r="EC345" s="338"/>
      <c r="EE345" s="338"/>
      <c r="EF345" s="338"/>
      <c r="EG345" s="338"/>
      <c r="EI345" s="336"/>
      <c r="EJ345" s="336"/>
      <c r="EK345" s="336"/>
      <c r="EL345" s="336"/>
      <c r="EM345" s="336"/>
      <c r="EN345" s="336"/>
      <c r="EO345" s="337"/>
      <c r="EP345" s="342"/>
      <c r="EQ345" s="336"/>
      <c r="ER345" s="342"/>
      <c r="ES345" s="336"/>
      <c r="ET345" s="342"/>
      <c r="EU345" s="336"/>
      <c r="EV345" s="342"/>
      <c r="EW345" s="336"/>
      <c r="EX345" s="342"/>
      <c r="EY345" s="342"/>
      <c r="EZ345" s="342"/>
      <c r="FA345" s="337"/>
      <c r="FE345" s="338"/>
      <c r="FH345" s="338"/>
      <c r="FI345" s="338"/>
      <c r="FJ345" s="338"/>
      <c r="FK345" s="338"/>
      <c r="FL345" s="338"/>
      <c r="FM345" s="337"/>
      <c r="FN345" s="336"/>
      <c r="FO345" s="336"/>
      <c r="FP345" s="336"/>
      <c r="FQ345" s="336"/>
      <c r="FR345" s="336"/>
      <c r="FS345" s="336"/>
      <c r="FT345" s="336"/>
      <c r="FU345" s="336"/>
      <c r="FV345" s="336"/>
      <c r="FW345" s="337"/>
      <c r="FX345" s="532"/>
      <c r="FY345" s="341"/>
      <c r="FZ345" s="341"/>
      <c r="GA345" s="336"/>
      <c r="GB345" s="341"/>
      <c r="GC345" s="341"/>
      <c r="GD345" s="341"/>
      <c r="GE345" s="336"/>
      <c r="GF345" s="336"/>
      <c r="GG345" s="336"/>
      <c r="GH345" s="336"/>
      <c r="GI345" s="336"/>
      <c r="GJ345" s="337"/>
      <c r="GM345" s="338"/>
      <c r="GN345" s="338"/>
      <c r="GO345" s="338"/>
      <c r="GS345" s="338"/>
      <c r="GT345" s="338"/>
      <c r="GU345" s="338"/>
      <c r="GY345" s="338"/>
      <c r="GZ345" s="338"/>
      <c r="HA345" s="338"/>
      <c r="HE345" s="338"/>
      <c r="HF345" s="338"/>
      <c r="HG345" s="338"/>
      <c r="HN345" s="68"/>
      <c r="HO345" s="68"/>
      <c r="HP345" s="68"/>
      <c r="HQ345" s="336"/>
      <c r="HR345" s="68"/>
      <c r="HS345" s="68"/>
      <c r="HT345" s="10"/>
      <c r="HW345" s="338"/>
      <c r="HX345" s="338"/>
      <c r="HY345" s="338"/>
      <c r="IC345" s="338"/>
      <c r="ID345" s="338"/>
      <c r="IE345" s="338"/>
      <c r="II345" s="338"/>
      <c r="IJ345" s="338"/>
      <c r="IK345" s="338"/>
      <c r="IO345" s="338"/>
      <c r="IP345" s="338"/>
      <c r="IQ345" s="338"/>
      <c r="IX345" s="68"/>
      <c r="IY345" s="68"/>
      <c r="IZ345" s="68"/>
      <c r="JA345" s="68"/>
      <c r="JB345" s="68"/>
      <c r="JC345" s="68"/>
      <c r="JD345" s="10"/>
      <c r="JG345" s="338"/>
      <c r="JH345" s="338"/>
      <c r="JI345" s="338"/>
      <c r="JM345" s="338"/>
      <c r="JN345" s="338"/>
      <c r="JQ345" s="338"/>
      <c r="JR345" s="338"/>
      <c r="JS345" s="338"/>
      <c r="JW345" s="358"/>
      <c r="JX345" s="336"/>
      <c r="JY345" s="336"/>
      <c r="JZ345" s="336"/>
      <c r="KA345" s="336"/>
      <c r="KB345" s="336"/>
      <c r="KC345" s="336"/>
      <c r="KD345" s="336"/>
      <c r="KE345" s="336"/>
      <c r="KF345" s="336"/>
      <c r="KG345" s="337"/>
      <c r="KH345" s="338"/>
      <c r="KI345" s="338"/>
      <c r="KJ345" s="338"/>
      <c r="KK345" s="338"/>
      <c r="KL345" s="338"/>
      <c r="KM345" s="338"/>
      <c r="KN345" s="338"/>
      <c r="KO345" s="338"/>
      <c r="KP345" s="338"/>
      <c r="KQ345" s="338"/>
      <c r="KR345" s="338"/>
      <c r="KS345" s="338"/>
      <c r="KT345" s="338"/>
      <c r="KU345" s="338"/>
      <c r="KV345" s="338"/>
      <c r="KW345" s="337"/>
      <c r="KX345" s="336"/>
      <c r="KY345" s="336"/>
      <c r="KZ345" s="336"/>
      <c r="LA345" s="336"/>
      <c r="LB345" s="336"/>
      <c r="LC345" s="336"/>
      <c r="LD345" s="336"/>
      <c r="LE345" s="336"/>
      <c r="LF345" s="336"/>
      <c r="LG345" s="336"/>
      <c r="LH345" s="336"/>
      <c r="LI345" s="336"/>
      <c r="LJ345" s="336"/>
      <c r="LK345" s="336"/>
      <c r="LL345" s="336"/>
      <c r="LM345" s="336"/>
      <c r="LN345" s="336"/>
      <c r="LO345" s="336"/>
      <c r="LP345" s="336"/>
      <c r="LQ345" s="337"/>
      <c r="MN345" s="10"/>
      <c r="OA345" s="10"/>
    </row>
    <row r="346" spans="1:391" s="370" customFormat="1" x14ac:dyDescent="0.25">
      <c r="A346" s="68"/>
      <c r="B346" s="10"/>
      <c r="C346" s="68"/>
      <c r="D346" s="68"/>
      <c r="E346" s="68"/>
      <c r="F346" s="68"/>
      <c r="G346" s="68"/>
      <c r="H346" s="68"/>
      <c r="I346" s="68"/>
      <c r="J346" s="68"/>
      <c r="K346" s="68"/>
      <c r="L346" s="68"/>
      <c r="M346" s="68"/>
      <c r="N346" s="68"/>
      <c r="O346" s="68"/>
      <c r="P346" s="68"/>
      <c r="Q346" s="68"/>
      <c r="R346" s="68"/>
      <c r="S346" s="68"/>
      <c r="T346" s="70"/>
      <c r="AC346" s="68"/>
      <c r="AD346" s="70"/>
      <c r="AM346" s="68"/>
      <c r="AN346" s="70"/>
      <c r="AU346" s="68"/>
      <c r="AV346" s="70"/>
      <c r="BB346" s="68"/>
      <c r="BC346" s="70"/>
      <c r="BD346" s="68"/>
      <c r="BE346" s="68"/>
      <c r="BF346" s="68"/>
      <c r="BG346" s="68"/>
      <c r="BH346" s="68"/>
      <c r="BI346" s="68"/>
      <c r="BJ346" s="70"/>
      <c r="BM346" s="68"/>
      <c r="BN346" s="70"/>
      <c r="BT346" s="68"/>
      <c r="BU346" s="70"/>
      <c r="BZ346" s="10"/>
      <c r="CF346" s="10"/>
      <c r="CI346" s="389"/>
      <c r="CJ346" s="389"/>
      <c r="CK346" s="68"/>
      <c r="CL346" s="70"/>
      <c r="CO346" s="10"/>
      <c r="CU346" s="10"/>
      <c r="DA346" s="10"/>
      <c r="DB346" s="70"/>
      <c r="DC346" s="70"/>
      <c r="DF346" s="68"/>
      <c r="DG346" s="70"/>
      <c r="DH346" s="68"/>
      <c r="DI346" s="386"/>
      <c r="DJ346" s="425"/>
      <c r="DL346" s="68"/>
      <c r="DM346" s="70"/>
      <c r="DQ346" s="68"/>
      <c r="DR346" s="70"/>
      <c r="DS346" s="338"/>
      <c r="DT346" s="338"/>
      <c r="DU346" s="338"/>
      <c r="DW346" s="338"/>
      <c r="DX346" s="338"/>
      <c r="DY346" s="338"/>
      <c r="EA346" s="338"/>
      <c r="EB346" s="338"/>
      <c r="EC346" s="338"/>
      <c r="EE346" s="338"/>
      <c r="EF346" s="338"/>
      <c r="EG346" s="338"/>
      <c r="EI346" s="336"/>
      <c r="EJ346" s="336"/>
      <c r="EK346" s="336"/>
      <c r="EL346" s="336"/>
      <c r="EM346" s="336"/>
      <c r="EN346" s="336"/>
      <c r="EO346" s="337"/>
      <c r="EP346" s="342"/>
      <c r="EQ346" s="336"/>
      <c r="ER346" s="342"/>
      <c r="ES346" s="336"/>
      <c r="ET346" s="342"/>
      <c r="EU346" s="336"/>
      <c r="EV346" s="342"/>
      <c r="EW346" s="336"/>
      <c r="EX346" s="342"/>
      <c r="EY346" s="342"/>
      <c r="EZ346" s="342"/>
      <c r="FA346" s="337"/>
      <c r="FE346" s="338"/>
      <c r="FH346" s="338"/>
      <c r="FI346" s="338"/>
      <c r="FJ346" s="338"/>
      <c r="FK346" s="338"/>
      <c r="FL346" s="338"/>
      <c r="FM346" s="337"/>
      <c r="FN346" s="336"/>
      <c r="FO346" s="336"/>
      <c r="FP346" s="336"/>
      <c r="FQ346" s="336"/>
      <c r="FR346" s="336"/>
      <c r="FS346" s="336"/>
      <c r="FT346" s="336"/>
      <c r="FU346" s="336"/>
      <c r="FV346" s="336"/>
      <c r="FW346" s="337"/>
      <c r="FX346" s="532"/>
      <c r="FY346" s="341"/>
      <c r="FZ346" s="341"/>
      <c r="GA346" s="336"/>
      <c r="GB346" s="341"/>
      <c r="GC346" s="341"/>
      <c r="GD346" s="341"/>
      <c r="GE346" s="336"/>
      <c r="GF346" s="336"/>
      <c r="GG346" s="336"/>
      <c r="GH346" s="336"/>
      <c r="GI346" s="336"/>
      <c r="GJ346" s="337"/>
      <c r="GM346" s="338"/>
      <c r="GN346" s="338"/>
      <c r="GO346" s="338"/>
      <c r="GS346" s="338"/>
      <c r="GT346" s="338"/>
      <c r="GU346" s="338"/>
      <c r="GY346" s="338"/>
      <c r="GZ346" s="338"/>
      <c r="HA346" s="338"/>
      <c r="HE346" s="338"/>
      <c r="HF346" s="338"/>
      <c r="HG346" s="338"/>
      <c r="HN346" s="68"/>
      <c r="HO346" s="68"/>
      <c r="HP346" s="68"/>
      <c r="HQ346" s="336"/>
      <c r="HR346" s="68"/>
      <c r="HS346" s="68"/>
      <c r="HT346" s="10"/>
      <c r="HW346" s="338"/>
      <c r="HX346" s="338"/>
      <c r="HY346" s="338"/>
      <c r="IC346" s="338"/>
      <c r="ID346" s="338"/>
      <c r="IE346" s="338"/>
      <c r="II346" s="338"/>
      <c r="IJ346" s="338"/>
      <c r="IK346" s="338"/>
      <c r="IO346" s="338"/>
      <c r="IP346" s="338"/>
      <c r="IQ346" s="338"/>
      <c r="IX346" s="68"/>
      <c r="IY346" s="68"/>
      <c r="IZ346" s="68"/>
      <c r="JA346" s="68"/>
      <c r="JB346" s="68"/>
      <c r="JC346" s="68"/>
      <c r="JD346" s="10"/>
      <c r="JG346" s="338"/>
      <c r="JH346" s="338"/>
      <c r="JI346" s="338"/>
      <c r="JM346" s="338"/>
      <c r="JN346" s="338"/>
      <c r="JQ346" s="338"/>
      <c r="JR346" s="338"/>
      <c r="JS346" s="338"/>
      <c r="JW346" s="358"/>
      <c r="JX346" s="336"/>
      <c r="JY346" s="336"/>
      <c r="JZ346" s="336"/>
      <c r="KA346" s="336"/>
      <c r="KB346" s="336"/>
      <c r="KC346" s="336"/>
      <c r="KD346" s="336"/>
      <c r="KE346" s="336"/>
      <c r="KF346" s="336"/>
      <c r="KG346" s="337"/>
      <c r="KH346" s="338"/>
      <c r="KI346" s="338"/>
      <c r="KJ346" s="338"/>
      <c r="KK346" s="338"/>
      <c r="KL346" s="338"/>
      <c r="KM346" s="338"/>
      <c r="KN346" s="338"/>
      <c r="KO346" s="338"/>
      <c r="KP346" s="338"/>
      <c r="KQ346" s="338"/>
      <c r="KR346" s="338"/>
      <c r="KS346" s="338"/>
      <c r="KT346" s="338"/>
      <c r="KU346" s="338"/>
      <c r="KV346" s="338"/>
      <c r="KW346" s="337"/>
      <c r="KX346" s="336"/>
      <c r="KY346" s="336"/>
      <c r="KZ346" s="336"/>
      <c r="LA346" s="336"/>
      <c r="LB346" s="336"/>
      <c r="LC346" s="336"/>
      <c r="LD346" s="336"/>
      <c r="LE346" s="336"/>
      <c r="LF346" s="336"/>
      <c r="LG346" s="336"/>
      <c r="LH346" s="336"/>
      <c r="LI346" s="336"/>
      <c r="LJ346" s="336"/>
      <c r="LK346" s="336"/>
      <c r="LL346" s="336"/>
      <c r="LM346" s="336"/>
      <c r="LN346" s="336"/>
      <c r="LO346" s="336"/>
      <c r="LP346" s="336"/>
      <c r="LQ346" s="337"/>
      <c r="MN346" s="10"/>
      <c r="OA346" s="10"/>
    </row>
    <row r="347" spans="1:391" s="370" customFormat="1" x14ac:dyDescent="0.25">
      <c r="A347" s="68"/>
      <c r="B347" s="10"/>
      <c r="C347" s="68"/>
      <c r="D347" s="68"/>
      <c r="E347" s="68"/>
      <c r="F347" s="68"/>
      <c r="G347" s="68"/>
      <c r="H347" s="68"/>
      <c r="I347" s="68"/>
      <c r="J347" s="68"/>
      <c r="K347" s="68"/>
      <c r="L347" s="68"/>
      <c r="M347" s="68"/>
      <c r="N347" s="68"/>
      <c r="O347" s="68"/>
      <c r="P347" s="68"/>
      <c r="Q347" s="68"/>
      <c r="R347" s="68"/>
      <c r="S347" s="68"/>
      <c r="T347" s="70"/>
      <c r="AC347" s="68"/>
      <c r="AD347" s="70"/>
      <c r="AM347" s="68"/>
      <c r="AN347" s="70"/>
      <c r="AU347" s="68"/>
      <c r="AV347" s="70"/>
      <c r="BB347" s="68"/>
      <c r="BC347" s="70"/>
      <c r="BD347" s="68"/>
      <c r="BE347" s="68"/>
      <c r="BF347" s="68"/>
      <c r="BG347" s="68"/>
      <c r="BH347" s="68"/>
      <c r="BI347" s="68"/>
      <c r="BJ347" s="70"/>
      <c r="BM347" s="68"/>
      <c r="BN347" s="70"/>
      <c r="BT347" s="68"/>
      <c r="BU347" s="70"/>
      <c r="BZ347" s="10"/>
      <c r="CF347" s="10"/>
      <c r="CI347" s="389"/>
      <c r="CJ347" s="389"/>
      <c r="CK347" s="68"/>
      <c r="CL347" s="70"/>
      <c r="CO347" s="10"/>
      <c r="CU347" s="10"/>
      <c r="DA347" s="10"/>
      <c r="DB347" s="70"/>
      <c r="DC347" s="70"/>
      <c r="DF347" s="68"/>
      <c r="DG347" s="70"/>
      <c r="DH347" s="68"/>
      <c r="DI347" s="386"/>
      <c r="DJ347" s="425"/>
      <c r="DL347" s="68"/>
      <c r="DM347" s="70"/>
      <c r="DQ347" s="68"/>
      <c r="DR347" s="70"/>
      <c r="DS347" s="338"/>
      <c r="DT347" s="338"/>
      <c r="DU347" s="338"/>
      <c r="DW347" s="338"/>
      <c r="DX347" s="338"/>
      <c r="DY347" s="338"/>
      <c r="EA347" s="338"/>
      <c r="EB347" s="338"/>
      <c r="EC347" s="338"/>
      <c r="EE347" s="338"/>
      <c r="EF347" s="338"/>
      <c r="EG347" s="338"/>
      <c r="EI347" s="336"/>
      <c r="EJ347" s="336"/>
      <c r="EK347" s="336"/>
      <c r="EL347" s="336"/>
      <c r="EM347" s="336"/>
      <c r="EN347" s="336"/>
      <c r="EO347" s="337"/>
      <c r="EP347" s="342"/>
      <c r="EQ347" s="336"/>
      <c r="ER347" s="342"/>
      <c r="ES347" s="336"/>
      <c r="ET347" s="342"/>
      <c r="EU347" s="336"/>
      <c r="EV347" s="342"/>
      <c r="EW347" s="336"/>
      <c r="EX347" s="342"/>
      <c r="EY347" s="342"/>
      <c r="EZ347" s="342"/>
      <c r="FA347" s="337"/>
      <c r="FE347" s="338"/>
      <c r="FH347" s="338"/>
      <c r="FI347" s="338"/>
      <c r="FJ347" s="338"/>
      <c r="FK347" s="338"/>
      <c r="FL347" s="338"/>
      <c r="FM347" s="337"/>
      <c r="FN347" s="336"/>
      <c r="FO347" s="336"/>
      <c r="FP347" s="336"/>
      <c r="FQ347" s="336"/>
      <c r="FR347" s="336"/>
      <c r="FS347" s="336"/>
      <c r="FT347" s="336"/>
      <c r="FU347" s="336"/>
      <c r="FV347" s="336"/>
      <c r="FW347" s="337"/>
      <c r="FX347" s="532"/>
      <c r="FY347" s="341"/>
      <c r="FZ347" s="341"/>
      <c r="GA347" s="336"/>
      <c r="GB347" s="341"/>
      <c r="GC347" s="341"/>
      <c r="GD347" s="341"/>
      <c r="GE347" s="336"/>
      <c r="GF347" s="336"/>
      <c r="GG347" s="336"/>
      <c r="GH347" s="336"/>
      <c r="GI347" s="336"/>
      <c r="GJ347" s="337"/>
      <c r="GM347" s="338"/>
      <c r="GN347" s="338"/>
      <c r="GO347" s="338"/>
      <c r="GS347" s="338"/>
      <c r="GT347" s="338"/>
      <c r="GU347" s="338"/>
      <c r="GY347" s="338"/>
      <c r="GZ347" s="338"/>
      <c r="HA347" s="338"/>
      <c r="HE347" s="338"/>
      <c r="HF347" s="338"/>
      <c r="HG347" s="338"/>
      <c r="HN347" s="68"/>
      <c r="HO347" s="68"/>
      <c r="HP347" s="68"/>
      <c r="HQ347" s="336"/>
      <c r="HR347" s="68"/>
      <c r="HS347" s="68"/>
      <c r="HT347" s="10"/>
      <c r="HW347" s="338"/>
      <c r="HX347" s="338"/>
      <c r="HY347" s="338"/>
      <c r="IC347" s="338"/>
      <c r="ID347" s="338"/>
      <c r="IE347" s="338"/>
      <c r="II347" s="338"/>
      <c r="IJ347" s="338"/>
      <c r="IK347" s="338"/>
      <c r="IO347" s="338"/>
      <c r="IP347" s="338"/>
      <c r="IQ347" s="338"/>
      <c r="IX347" s="68"/>
      <c r="IY347" s="68"/>
      <c r="IZ347" s="68"/>
      <c r="JA347" s="68"/>
      <c r="JB347" s="68"/>
      <c r="JC347" s="68"/>
      <c r="JD347" s="10"/>
      <c r="JG347" s="338"/>
      <c r="JH347" s="338"/>
      <c r="JI347" s="338"/>
      <c r="JM347" s="338"/>
      <c r="JN347" s="338"/>
      <c r="JQ347" s="338"/>
      <c r="JR347" s="338"/>
      <c r="JS347" s="338"/>
      <c r="JW347" s="358"/>
      <c r="JX347" s="336"/>
      <c r="JY347" s="336"/>
      <c r="JZ347" s="336"/>
      <c r="KA347" s="336"/>
      <c r="KB347" s="336"/>
      <c r="KC347" s="336"/>
      <c r="KD347" s="336"/>
      <c r="KE347" s="336"/>
      <c r="KF347" s="336"/>
      <c r="KG347" s="337"/>
      <c r="KH347" s="338"/>
      <c r="KI347" s="338"/>
      <c r="KJ347" s="338"/>
      <c r="KK347" s="338"/>
      <c r="KL347" s="338"/>
      <c r="KM347" s="338"/>
      <c r="KN347" s="338"/>
      <c r="KO347" s="338"/>
      <c r="KP347" s="338"/>
      <c r="KQ347" s="338"/>
      <c r="KR347" s="338"/>
      <c r="KS347" s="338"/>
      <c r="KT347" s="338"/>
      <c r="KU347" s="338"/>
      <c r="KV347" s="338"/>
      <c r="KW347" s="337"/>
      <c r="KX347" s="336"/>
      <c r="KY347" s="336"/>
      <c r="KZ347" s="336"/>
      <c r="LA347" s="336"/>
      <c r="LB347" s="336"/>
      <c r="LC347" s="336"/>
      <c r="LD347" s="336"/>
      <c r="LE347" s="336"/>
      <c r="LF347" s="336"/>
      <c r="LG347" s="336"/>
      <c r="LH347" s="336"/>
      <c r="LI347" s="336"/>
      <c r="LJ347" s="336"/>
      <c r="LK347" s="336"/>
      <c r="LL347" s="336"/>
      <c r="LM347" s="336"/>
      <c r="LN347" s="336"/>
      <c r="LO347" s="336"/>
      <c r="LP347" s="336"/>
      <c r="LQ347" s="337"/>
      <c r="MN347" s="10"/>
      <c r="OA347" s="10"/>
    </row>
    <row r="348" spans="1:391" s="370" customFormat="1" x14ac:dyDescent="0.25">
      <c r="A348" s="68"/>
      <c r="B348" s="10"/>
      <c r="C348" s="68"/>
      <c r="D348" s="68"/>
      <c r="E348" s="68"/>
      <c r="F348" s="68"/>
      <c r="G348" s="68"/>
      <c r="H348" s="68"/>
      <c r="I348" s="68"/>
      <c r="J348" s="68"/>
      <c r="K348" s="68"/>
      <c r="L348" s="68"/>
      <c r="M348" s="68"/>
      <c r="N348" s="68"/>
      <c r="O348" s="68"/>
      <c r="P348" s="68"/>
      <c r="Q348" s="68"/>
      <c r="R348" s="68"/>
      <c r="S348" s="68"/>
      <c r="T348" s="70"/>
      <c r="AC348" s="68"/>
      <c r="AD348" s="70"/>
      <c r="AM348" s="68"/>
      <c r="AN348" s="70"/>
      <c r="AU348" s="68"/>
      <c r="AV348" s="70"/>
      <c r="BB348" s="68"/>
      <c r="BC348" s="70"/>
      <c r="BD348" s="68"/>
      <c r="BE348" s="68"/>
      <c r="BF348" s="68"/>
      <c r="BG348" s="68"/>
      <c r="BH348" s="68"/>
      <c r="BI348" s="68"/>
      <c r="BJ348" s="70"/>
      <c r="BM348" s="68"/>
      <c r="BN348" s="70"/>
      <c r="BT348" s="68"/>
      <c r="BU348" s="70"/>
      <c r="BZ348" s="10"/>
      <c r="CF348" s="10"/>
      <c r="CI348" s="389"/>
      <c r="CJ348" s="389"/>
      <c r="CK348" s="68"/>
      <c r="CL348" s="70"/>
      <c r="CO348" s="10"/>
      <c r="CU348" s="10"/>
      <c r="DA348" s="10"/>
      <c r="DB348" s="70"/>
      <c r="DC348" s="70"/>
      <c r="DF348" s="68"/>
      <c r="DG348" s="70"/>
      <c r="DH348" s="68"/>
      <c r="DI348" s="386"/>
      <c r="DJ348" s="425"/>
      <c r="DL348" s="68"/>
      <c r="DM348" s="70"/>
      <c r="DQ348" s="68"/>
      <c r="DR348" s="70"/>
      <c r="DS348" s="338"/>
      <c r="DT348" s="338"/>
      <c r="DU348" s="338"/>
      <c r="DW348" s="338"/>
      <c r="DX348" s="338"/>
      <c r="DY348" s="338"/>
      <c r="EA348" s="338"/>
      <c r="EB348" s="338"/>
      <c r="EC348" s="338"/>
      <c r="EE348" s="338"/>
      <c r="EF348" s="338"/>
      <c r="EG348" s="338"/>
      <c r="EI348" s="336"/>
      <c r="EJ348" s="336"/>
      <c r="EK348" s="336"/>
      <c r="EL348" s="336"/>
      <c r="EM348" s="336"/>
      <c r="EN348" s="336"/>
      <c r="EO348" s="337"/>
      <c r="EP348" s="342"/>
      <c r="EQ348" s="336"/>
      <c r="ER348" s="342"/>
      <c r="ES348" s="336"/>
      <c r="ET348" s="342"/>
      <c r="EU348" s="336"/>
      <c r="EV348" s="342"/>
      <c r="EW348" s="336"/>
      <c r="EX348" s="342"/>
      <c r="EY348" s="342"/>
      <c r="EZ348" s="342"/>
      <c r="FA348" s="337"/>
      <c r="FE348" s="338"/>
      <c r="FH348" s="338"/>
      <c r="FI348" s="338"/>
      <c r="FJ348" s="338"/>
      <c r="FK348" s="338"/>
      <c r="FL348" s="338"/>
      <c r="FM348" s="337"/>
      <c r="FN348" s="336"/>
      <c r="FO348" s="336"/>
      <c r="FP348" s="336"/>
      <c r="FQ348" s="336"/>
      <c r="FR348" s="336"/>
      <c r="FS348" s="336"/>
      <c r="FT348" s="336"/>
      <c r="FU348" s="336"/>
      <c r="FV348" s="336"/>
      <c r="FW348" s="337"/>
      <c r="FX348" s="532"/>
      <c r="FY348" s="341"/>
      <c r="FZ348" s="341"/>
      <c r="GA348" s="336"/>
      <c r="GB348" s="341"/>
      <c r="GC348" s="341"/>
      <c r="GD348" s="341"/>
      <c r="GE348" s="336"/>
      <c r="GF348" s="336"/>
      <c r="GG348" s="336"/>
      <c r="GH348" s="336"/>
      <c r="GI348" s="336"/>
      <c r="GJ348" s="337"/>
      <c r="GM348" s="338"/>
      <c r="GN348" s="338"/>
      <c r="GO348" s="338"/>
      <c r="GS348" s="338"/>
      <c r="GT348" s="338"/>
      <c r="GU348" s="338"/>
      <c r="GY348" s="338"/>
      <c r="GZ348" s="338"/>
      <c r="HA348" s="338"/>
      <c r="HE348" s="338"/>
      <c r="HF348" s="338"/>
      <c r="HG348" s="338"/>
      <c r="HN348" s="68"/>
      <c r="HO348" s="68"/>
      <c r="HP348" s="68"/>
      <c r="HQ348" s="336"/>
      <c r="HR348" s="68"/>
      <c r="HS348" s="68"/>
      <c r="HT348" s="10"/>
      <c r="HW348" s="338"/>
      <c r="HX348" s="338"/>
      <c r="HY348" s="338"/>
      <c r="IC348" s="338"/>
      <c r="ID348" s="338"/>
      <c r="IE348" s="338"/>
      <c r="II348" s="338"/>
      <c r="IJ348" s="338"/>
      <c r="IK348" s="338"/>
      <c r="IO348" s="338"/>
      <c r="IP348" s="338"/>
      <c r="IQ348" s="338"/>
      <c r="IX348" s="68"/>
      <c r="IY348" s="68"/>
      <c r="IZ348" s="68"/>
      <c r="JA348" s="68"/>
      <c r="JB348" s="68"/>
      <c r="JC348" s="68"/>
      <c r="JD348" s="10"/>
      <c r="JG348" s="338"/>
      <c r="JH348" s="338"/>
      <c r="JI348" s="338"/>
      <c r="JM348" s="338"/>
      <c r="JN348" s="338"/>
      <c r="JQ348" s="338"/>
      <c r="JR348" s="338"/>
      <c r="JS348" s="338"/>
      <c r="JW348" s="358"/>
      <c r="JX348" s="336"/>
      <c r="JY348" s="336"/>
      <c r="JZ348" s="336"/>
      <c r="KA348" s="336"/>
      <c r="KB348" s="336"/>
      <c r="KC348" s="336"/>
      <c r="KD348" s="336"/>
      <c r="KE348" s="336"/>
      <c r="KF348" s="336"/>
      <c r="KG348" s="337"/>
      <c r="KH348" s="338"/>
      <c r="KI348" s="338"/>
      <c r="KJ348" s="338"/>
      <c r="KK348" s="338"/>
      <c r="KL348" s="338"/>
      <c r="KM348" s="338"/>
      <c r="KN348" s="338"/>
      <c r="KO348" s="338"/>
      <c r="KP348" s="338"/>
      <c r="KQ348" s="338"/>
      <c r="KR348" s="338"/>
      <c r="KS348" s="338"/>
      <c r="KT348" s="338"/>
      <c r="KU348" s="338"/>
      <c r="KV348" s="338"/>
      <c r="KW348" s="337"/>
      <c r="KX348" s="336"/>
      <c r="KY348" s="336"/>
      <c r="KZ348" s="336"/>
      <c r="LA348" s="336"/>
      <c r="LB348" s="336"/>
      <c r="LC348" s="336"/>
      <c r="LD348" s="336"/>
      <c r="LE348" s="336"/>
      <c r="LF348" s="336"/>
      <c r="LG348" s="336"/>
      <c r="LH348" s="336"/>
      <c r="LI348" s="336"/>
      <c r="LJ348" s="336"/>
      <c r="LK348" s="336"/>
      <c r="LL348" s="336"/>
      <c r="LM348" s="336"/>
      <c r="LN348" s="336"/>
      <c r="LO348" s="336"/>
      <c r="LP348" s="336"/>
      <c r="LQ348" s="337"/>
      <c r="MN348" s="10"/>
      <c r="OA348" s="10"/>
    </row>
    <row r="349" spans="1:391" s="370" customFormat="1" x14ac:dyDescent="0.25">
      <c r="A349" s="68"/>
      <c r="B349" s="10"/>
      <c r="C349" s="68"/>
      <c r="D349" s="68"/>
      <c r="E349" s="68"/>
      <c r="F349" s="68"/>
      <c r="G349" s="68"/>
      <c r="H349" s="68"/>
      <c r="I349" s="68"/>
      <c r="J349" s="68"/>
      <c r="K349" s="68"/>
      <c r="L349" s="68"/>
      <c r="M349" s="68"/>
      <c r="N349" s="68"/>
      <c r="O349" s="68"/>
      <c r="P349" s="68"/>
      <c r="Q349" s="68"/>
      <c r="R349" s="68"/>
      <c r="S349" s="68"/>
      <c r="T349" s="70"/>
      <c r="AC349" s="68"/>
      <c r="AD349" s="70"/>
      <c r="AM349" s="68"/>
      <c r="AN349" s="70"/>
      <c r="AU349" s="68"/>
      <c r="AV349" s="70"/>
      <c r="BB349" s="68"/>
      <c r="BC349" s="70"/>
      <c r="BD349" s="68"/>
      <c r="BE349" s="68"/>
      <c r="BF349" s="68"/>
      <c r="BG349" s="68"/>
      <c r="BH349" s="68"/>
      <c r="BI349" s="68"/>
      <c r="BJ349" s="70"/>
      <c r="BM349" s="68"/>
      <c r="BN349" s="70"/>
      <c r="BT349" s="68"/>
      <c r="BU349" s="70"/>
      <c r="BZ349" s="10"/>
      <c r="CF349" s="10"/>
      <c r="CI349" s="389"/>
      <c r="CJ349" s="389"/>
      <c r="CK349" s="68"/>
      <c r="CL349" s="70"/>
      <c r="CO349" s="10"/>
      <c r="CU349" s="10"/>
      <c r="DA349" s="10"/>
      <c r="DB349" s="70"/>
      <c r="DC349" s="70"/>
      <c r="DF349" s="68"/>
      <c r="DG349" s="70"/>
      <c r="DH349" s="68"/>
      <c r="DI349" s="386"/>
      <c r="DJ349" s="425"/>
      <c r="DL349" s="68"/>
      <c r="DM349" s="70"/>
      <c r="DQ349" s="68"/>
      <c r="DR349" s="70"/>
      <c r="DS349" s="338"/>
      <c r="DT349" s="338"/>
      <c r="DU349" s="338"/>
      <c r="DW349" s="338"/>
      <c r="DX349" s="338"/>
      <c r="DY349" s="338"/>
      <c r="EA349" s="338"/>
      <c r="EB349" s="338"/>
      <c r="EC349" s="338"/>
      <c r="EE349" s="338"/>
      <c r="EF349" s="338"/>
      <c r="EG349" s="338"/>
      <c r="EI349" s="336"/>
      <c r="EJ349" s="336"/>
      <c r="EK349" s="336"/>
      <c r="EL349" s="336"/>
      <c r="EM349" s="336"/>
      <c r="EN349" s="336"/>
      <c r="EO349" s="337"/>
      <c r="EP349" s="342"/>
      <c r="EQ349" s="336"/>
      <c r="ER349" s="342"/>
      <c r="ES349" s="336"/>
      <c r="ET349" s="342"/>
      <c r="EU349" s="336"/>
      <c r="EV349" s="342"/>
      <c r="EW349" s="336"/>
      <c r="EX349" s="342"/>
      <c r="EY349" s="342"/>
      <c r="EZ349" s="342"/>
      <c r="FA349" s="337"/>
      <c r="FE349" s="338"/>
      <c r="FH349" s="338"/>
      <c r="FI349" s="338"/>
      <c r="FJ349" s="338"/>
      <c r="FK349" s="338"/>
      <c r="FL349" s="338"/>
      <c r="FM349" s="337"/>
      <c r="FN349" s="336"/>
      <c r="FO349" s="336"/>
      <c r="FP349" s="336"/>
      <c r="FQ349" s="336"/>
      <c r="FR349" s="336"/>
      <c r="FS349" s="336"/>
      <c r="FT349" s="336"/>
      <c r="FU349" s="336"/>
      <c r="FV349" s="336"/>
      <c r="FW349" s="337"/>
      <c r="FX349" s="532"/>
      <c r="FY349" s="341"/>
      <c r="FZ349" s="341"/>
      <c r="GA349" s="336"/>
      <c r="GB349" s="341"/>
      <c r="GC349" s="341"/>
      <c r="GD349" s="341"/>
      <c r="GE349" s="336"/>
      <c r="GF349" s="336"/>
      <c r="GG349" s="336"/>
      <c r="GH349" s="336"/>
      <c r="GI349" s="336"/>
      <c r="GJ349" s="337"/>
      <c r="GM349" s="338"/>
      <c r="GN349" s="338"/>
      <c r="GO349" s="338"/>
      <c r="GS349" s="338"/>
      <c r="GT349" s="338"/>
      <c r="GU349" s="338"/>
      <c r="GY349" s="338"/>
      <c r="GZ349" s="338"/>
      <c r="HA349" s="338"/>
      <c r="HE349" s="338"/>
      <c r="HF349" s="338"/>
      <c r="HG349" s="338"/>
      <c r="HN349" s="68"/>
      <c r="HO349" s="68"/>
      <c r="HP349" s="68"/>
      <c r="HQ349" s="336"/>
      <c r="HR349" s="68"/>
      <c r="HS349" s="68"/>
      <c r="HT349" s="10"/>
      <c r="HW349" s="338"/>
      <c r="HX349" s="338"/>
      <c r="HY349" s="338"/>
      <c r="IC349" s="338"/>
      <c r="ID349" s="338"/>
      <c r="IE349" s="338"/>
      <c r="II349" s="338"/>
      <c r="IJ349" s="338"/>
      <c r="IK349" s="338"/>
      <c r="IO349" s="338"/>
      <c r="IP349" s="338"/>
      <c r="IQ349" s="338"/>
      <c r="IX349" s="68"/>
      <c r="IY349" s="68"/>
      <c r="IZ349" s="68"/>
      <c r="JA349" s="68"/>
      <c r="JB349" s="68"/>
      <c r="JC349" s="68"/>
      <c r="JD349" s="10"/>
      <c r="JG349" s="338"/>
      <c r="JH349" s="338"/>
      <c r="JI349" s="338"/>
      <c r="JM349" s="338"/>
      <c r="JN349" s="338"/>
      <c r="JQ349" s="338"/>
      <c r="JR349" s="338"/>
      <c r="JS349" s="338"/>
      <c r="JW349" s="358"/>
      <c r="JX349" s="336"/>
      <c r="JY349" s="336"/>
      <c r="JZ349" s="336"/>
      <c r="KA349" s="336"/>
      <c r="KB349" s="336"/>
      <c r="KC349" s="336"/>
      <c r="KD349" s="336"/>
      <c r="KE349" s="336"/>
      <c r="KF349" s="336"/>
      <c r="KG349" s="337"/>
      <c r="KH349" s="338"/>
      <c r="KI349" s="338"/>
      <c r="KJ349" s="338"/>
      <c r="KK349" s="338"/>
      <c r="KL349" s="338"/>
      <c r="KM349" s="338"/>
      <c r="KN349" s="338"/>
      <c r="KO349" s="338"/>
      <c r="KP349" s="338"/>
      <c r="KQ349" s="338"/>
      <c r="KR349" s="338"/>
      <c r="KS349" s="338"/>
      <c r="KT349" s="338"/>
      <c r="KU349" s="338"/>
      <c r="KV349" s="338"/>
      <c r="KW349" s="337"/>
      <c r="KX349" s="336"/>
      <c r="KY349" s="336"/>
      <c r="KZ349" s="336"/>
      <c r="LA349" s="336"/>
      <c r="LB349" s="336"/>
      <c r="LC349" s="336"/>
      <c r="LD349" s="336"/>
      <c r="LE349" s="336"/>
      <c r="LF349" s="336"/>
      <c r="LG349" s="336"/>
      <c r="LH349" s="336"/>
      <c r="LI349" s="336"/>
      <c r="LJ349" s="336"/>
      <c r="LK349" s="336"/>
      <c r="LL349" s="336"/>
      <c r="LM349" s="336"/>
      <c r="LN349" s="336"/>
      <c r="LO349" s="336"/>
      <c r="LP349" s="336"/>
      <c r="LQ349" s="337"/>
      <c r="MN349" s="10"/>
      <c r="OA349" s="10"/>
    </row>
    <row r="350" spans="1:391" s="370" customFormat="1" x14ac:dyDescent="0.25">
      <c r="A350" s="68"/>
      <c r="B350" s="10"/>
      <c r="C350" s="68"/>
      <c r="D350" s="68"/>
      <c r="E350" s="68"/>
      <c r="F350" s="68"/>
      <c r="G350" s="68"/>
      <c r="H350" s="68"/>
      <c r="I350" s="68"/>
      <c r="J350" s="68"/>
      <c r="K350" s="68"/>
      <c r="L350" s="68"/>
      <c r="M350" s="68"/>
      <c r="N350" s="68"/>
      <c r="O350" s="68"/>
      <c r="P350" s="68"/>
      <c r="Q350" s="68"/>
      <c r="R350" s="68"/>
      <c r="S350" s="68"/>
      <c r="T350" s="70"/>
      <c r="AC350" s="68"/>
      <c r="AD350" s="70"/>
      <c r="AM350" s="68"/>
      <c r="AN350" s="70"/>
      <c r="AU350" s="68"/>
      <c r="AV350" s="70"/>
      <c r="BB350" s="68"/>
      <c r="BC350" s="70"/>
      <c r="BD350" s="68"/>
      <c r="BE350" s="68"/>
      <c r="BF350" s="68"/>
      <c r="BG350" s="68"/>
      <c r="BH350" s="68"/>
      <c r="BI350" s="68"/>
      <c r="BJ350" s="70"/>
      <c r="BM350" s="68"/>
      <c r="BN350" s="70"/>
      <c r="BT350" s="68"/>
      <c r="BU350" s="70"/>
      <c r="BZ350" s="10"/>
      <c r="CF350" s="10"/>
      <c r="CI350" s="389"/>
      <c r="CJ350" s="389"/>
      <c r="CK350" s="68"/>
      <c r="CL350" s="70"/>
      <c r="CO350" s="10"/>
      <c r="CU350" s="10"/>
      <c r="DA350" s="10"/>
      <c r="DB350" s="70"/>
      <c r="DC350" s="70"/>
      <c r="DF350" s="68"/>
      <c r="DG350" s="70"/>
      <c r="DH350" s="68"/>
      <c r="DI350" s="386"/>
      <c r="DJ350" s="425"/>
      <c r="DL350" s="68"/>
      <c r="DM350" s="70"/>
      <c r="DQ350" s="68"/>
      <c r="DR350" s="70"/>
      <c r="DS350" s="338"/>
      <c r="DT350" s="338"/>
      <c r="DU350" s="338"/>
      <c r="DW350" s="338"/>
      <c r="DX350" s="338"/>
      <c r="DY350" s="338"/>
      <c r="EA350" s="338"/>
      <c r="EB350" s="338"/>
      <c r="EC350" s="338"/>
      <c r="EE350" s="338"/>
      <c r="EF350" s="338"/>
      <c r="EG350" s="338"/>
      <c r="EI350" s="336"/>
      <c r="EJ350" s="336"/>
      <c r="EK350" s="336"/>
      <c r="EL350" s="336"/>
      <c r="EM350" s="336"/>
      <c r="EN350" s="336"/>
      <c r="EO350" s="337"/>
      <c r="EP350" s="342"/>
      <c r="EQ350" s="336"/>
      <c r="ER350" s="342"/>
      <c r="ES350" s="336"/>
      <c r="ET350" s="342"/>
      <c r="EU350" s="336"/>
      <c r="EV350" s="342"/>
      <c r="EW350" s="336"/>
      <c r="EX350" s="342"/>
      <c r="EY350" s="342"/>
      <c r="EZ350" s="342"/>
      <c r="FA350" s="337"/>
      <c r="FE350" s="338"/>
      <c r="FH350" s="338"/>
      <c r="FI350" s="338"/>
      <c r="FJ350" s="338"/>
      <c r="FK350" s="338"/>
      <c r="FL350" s="338"/>
      <c r="FM350" s="337"/>
      <c r="FN350" s="336"/>
      <c r="FO350" s="336"/>
      <c r="FP350" s="336"/>
      <c r="FQ350" s="336"/>
      <c r="FR350" s="336"/>
      <c r="FS350" s="336"/>
      <c r="FT350" s="336"/>
      <c r="FU350" s="336"/>
      <c r="FV350" s="336"/>
      <c r="FW350" s="337"/>
      <c r="FX350" s="532"/>
      <c r="FY350" s="341"/>
      <c r="FZ350" s="341"/>
      <c r="GA350" s="336"/>
      <c r="GB350" s="341"/>
      <c r="GC350" s="341"/>
      <c r="GD350" s="341"/>
      <c r="GE350" s="336"/>
      <c r="GF350" s="336"/>
      <c r="GG350" s="336"/>
      <c r="GH350" s="336"/>
      <c r="GI350" s="336"/>
      <c r="GJ350" s="337"/>
      <c r="GM350" s="338"/>
      <c r="GN350" s="338"/>
      <c r="GO350" s="338"/>
      <c r="GS350" s="338"/>
      <c r="GT350" s="338"/>
      <c r="GU350" s="338"/>
      <c r="GY350" s="338"/>
      <c r="GZ350" s="338"/>
      <c r="HA350" s="338"/>
      <c r="HE350" s="338"/>
      <c r="HF350" s="338"/>
      <c r="HG350" s="338"/>
      <c r="HN350" s="68"/>
      <c r="HO350" s="68"/>
      <c r="HP350" s="68"/>
      <c r="HQ350" s="336"/>
      <c r="HR350" s="68"/>
      <c r="HS350" s="68"/>
      <c r="HT350" s="10"/>
      <c r="HW350" s="338"/>
      <c r="HX350" s="338"/>
      <c r="HY350" s="338"/>
      <c r="IC350" s="338"/>
      <c r="ID350" s="338"/>
      <c r="IE350" s="338"/>
      <c r="II350" s="338"/>
      <c r="IJ350" s="338"/>
      <c r="IK350" s="338"/>
      <c r="IO350" s="338"/>
      <c r="IP350" s="338"/>
      <c r="IQ350" s="338"/>
      <c r="IX350" s="68"/>
      <c r="IY350" s="68"/>
      <c r="IZ350" s="68"/>
      <c r="JA350" s="68"/>
      <c r="JB350" s="68"/>
      <c r="JC350" s="68"/>
      <c r="JD350" s="10"/>
      <c r="JG350" s="338"/>
      <c r="JH350" s="338"/>
      <c r="JI350" s="338"/>
      <c r="JM350" s="338"/>
      <c r="JN350" s="338"/>
      <c r="JQ350" s="338"/>
      <c r="JR350" s="338"/>
      <c r="JS350" s="338"/>
      <c r="JW350" s="358"/>
      <c r="JX350" s="336"/>
      <c r="JY350" s="336"/>
      <c r="JZ350" s="336"/>
      <c r="KA350" s="336"/>
      <c r="KB350" s="336"/>
      <c r="KC350" s="336"/>
      <c r="KD350" s="336"/>
      <c r="KE350" s="336"/>
      <c r="KF350" s="336"/>
      <c r="KG350" s="337"/>
      <c r="KH350" s="338"/>
      <c r="KI350" s="338"/>
      <c r="KJ350" s="338"/>
      <c r="KK350" s="338"/>
      <c r="KL350" s="338"/>
      <c r="KM350" s="338"/>
      <c r="KN350" s="338"/>
      <c r="KO350" s="338"/>
      <c r="KP350" s="338"/>
      <c r="KQ350" s="338"/>
      <c r="KR350" s="338"/>
      <c r="KS350" s="338"/>
      <c r="KT350" s="338"/>
      <c r="KU350" s="338"/>
      <c r="KV350" s="338"/>
      <c r="KW350" s="337"/>
      <c r="KX350" s="336"/>
      <c r="KY350" s="336"/>
      <c r="KZ350" s="336"/>
      <c r="LA350" s="336"/>
      <c r="LB350" s="336"/>
      <c r="LC350" s="336"/>
      <c r="LD350" s="336"/>
      <c r="LE350" s="336"/>
      <c r="LF350" s="336"/>
      <c r="LG350" s="336"/>
      <c r="LH350" s="336"/>
      <c r="LI350" s="336"/>
      <c r="LJ350" s="336"/>
      <c r="LK350" s="336"/>
      <c r="LL350" s="336"/>
      <c r="LM350" s="336"/>
      <c r="LN350" s="336"/>
      <c r="LO350" s="336"/>
      <c r="LP350" s="336"/>
      <c r="LQ350" s="337"/>
      <c r="MN350" s="10"/>
      <c r="OA350" s="10"/>
    </row>
    <row r="351" spans="1:391" s="370" customFormat="1" x14ac:dyDescent="0.25">
      <c r="A351" s="68"/>
      <c r="B351" s="10"/>
      <c r="C351" s="68"/>
      <c r="D351" s="68"/>
      <c r="E351" s="68"/>
      <c r="F351" s="68"/>
      <c r="G351" s="68"/>
      <c r="H351" s="68"/>
      <c r="I351" s="68"/>
      <c r="J351" s="68"/>
      <c r="K351" s="68"/>
      <c r="L351" s="68"/>
      <c r="M351" s="68"/>
      <c r="N351" s="68"/>
      <c r="O351" s="68"/>
      <c r="P351" s="68"/>
      <c r="Q351" s="68"/>
      <c r="R351" s="68"/>
      <c r="S351" s="68"/>
      <c r="T351" s="70"/>
      <c r="AC351" s="68"/>
      <c r="AD351" s="70"/>
      <c r="AM351" s="68"/>
      <c r="AN351" s="70"/>
      <c r="AU351" s="68"/>
      <c r="AV351" s="70"/>
      <c r="BB351" s="68"/>
      <c r="BC351" s="70"/>
      <c r="BD351" s="68"/>
      <c r="BE351" s="68"/>
      <c r="BF351" s="68"/>
      <c r="BG351" s="68"/>
      <c r="BH351" s="68"/>
      <c r="BI351" s="68"/>
      <c r="BJ351" s="70"/>
      <c r="BM351" s="68"/>
      <c r="BN351" s="70"/>
      <c r="BT351" s="68"/>
      <c r="BU351" s="70"/>
      <c r="BZ351" s="10"/>
      <c r="CF351" s="10"/>
      <c r="CI351" s="389"/>
      <c r="CJ351" s="389"/>
      <c r="CK351" s="68"/>
      <c r="CL351" s="70"/>
      <c r="CO351" s="10"/>
      <c r="CU351" s="10"/>
      <c r="DA351" s="10"/>
      <c r="DB351" s="70"/>
      <c r="DC351" s="70"/>
      <c r="DF351" s="68"/>
      <c r="DG351" s="70"/>
      <c r="DH351" s="68"/>
      <c r="DI351" s="386"/>
      <c r="DJ351" s="425"/>
      <c r="DL351" s="68"/>
      <c r="DM351" s="70"/>
      <c r="DQ351" s="68"/>
      <c r="DR351" s="70"/>
      <c r="DS351" s="338"/>
      <c r="DT351" s="338"/>
      <c r="DU351" s="338"/>
      <c r="DW351" s="338"/>
      <c r="DX351" s="338"/>
      <c r="DY351" s="338"/>
      <c r="EA351" s="338"/>
      <c r="EB351" s="338"/>
      <c r="EC351" s="338"/>
      <c r="EE351" s="338"/>
      <c r="EF351" s="338"/>
      <c r="EG351" s="338"/>
      <c r="EI351" s="336"/>
      <c r="EJ351" s="336"/>
      <c r="EK351" s="336"/>
      <c r="EL351" s="336"/>
      <c r="EM351" s="336"/>
      <c r="EN351" s="336"/>
      <c r="EO351" s="337"/>
      <c r="EP351" s="342"/>
      <c r="EQ351" s="336"/>
      <c r="ER351" s="342"/>
      <c r="ES351" s="336"/>
      <c r="ET351" s="342"/>
      <c r="EU351" s="336"/>
      <c r="EV351" s="342"/>
      <c r="EW351" s="336"/>
      <c r="EX351" s="342"/>
      <c r="EY351" s="342"/>
      <c r="EZ351" s="342"/>
      <c r="FA351" s="337"/>
      <c r="FE351" s="338"/>
      <c r="FH351" s="338"/>
      <c r="FI351" s="338"/>
      <c r="FJ351" s="338"/>
      <c r="FK351" s="338"/>
      <c r="FL351" s="338"/>
      <c r="FM351" s="337"/>
      <c r="FN351" s="336"/>
      <c r="FO351" s="336"/>
      <c r="FP351" s="336"/>
      <c r="FQ351" s="336"/>
      <c r="FR351" s="336"/>
      <c r="FS351" s="336"/>
      <c r="FT351" s="336"/>
      <c r="FU351" s="336"/>
      <c r="FV351" s="336"/>
      <c r="FW351" s="337"/>
      <c r="FX351" s="532"/>
      <c r="FY351" s="341"/>
      <c r="FZ351" s="341"/>
      <c r="GA351" s="336"/>
      <c r="GB351" s="341"/>
      <c r="GC351" s="341"/>
      <c r="GD351" s="341"/>
      <c r="GE351" s="336"/>
      <c r="GF351" s="336"/>
      <c r="GG351" s="336"/>
      <c r="GH351" s="336"/>
      <c r="GI351" s="336"/>
      <c r="GJ351" s="337"/>
      <c r="GM351" s="338"/>
      <c r="GN351" s="338"/>
      <c r="GO351" s="338"/>
      <c r="GS351" s="338"/>
      <c r="GT351" s="338"/>
      <c r="GU351" s="338"/>
      <c r="GY351" s="338"/>
      <c r="GZ351" s="338"/>
      <c r="HA351" s="338"/>
      <c r="HE351" s="338"/>
      <c r="HF351" s="338"/>
      <c r="HG351" s="338"/>
      <c r="HN351" s="68"/>
      <c r="HO351" s="68"/>
      <c r="HP351" s="68"/>
      <c r="HQ351" s="336"/>
      <c r="HR351" s="68"/>
      <c r="HS351" s="68"/>
      <c r="HT351" s="10"/>
      <c r="HW351" s="338"/>
      <c r="HX351" s="338"/>
      <c r="HY351" s="338"/>
      <c r="IC351" s="338"/>
      <c r="ID351" s="338"/>
      <c r="IE351" s="338"/>
      <c r="II351" s="338"/>
      <c r="IJ351" s="338"/>
      <c r="IK351" s="338"/>
      <c r="IO351" s="338"/>
      <c r="IP351" s="338"/>
      <c r="IQ351" s="338"/>
      <c r="IX351" s="68"/>
      <c r="IY351" s="68"/>
      <c r="IZ351" s="68"/>
      <c r="JA351" s="68"/>
      <c r="JB351" s="68"/>
      <c r="JC351" s="68"/>
      <c r="JD351" s="10"/>
      <c r="JG351" s="338"/>
      <c r="JH351" s="338"/>
      <c r="JI351" s="338"/>
      <c r="JM351" s="338"/>
      <c r="JN351" s="338"/>
      <c r="JQ351" s="338"/>
      <c r="JR351" s="338"/>
      <c r="JS351" s="338"/>
      <c r="JW351" s="358"/>
      <c r="JX351" s="336"/>
      <c r="JY351" s="336"/>
      <c r="JZ351" s="336"/>
      <c r="KA351" s="336"/>
      <c r="KB351" s="336"/>
      <c r="KC351" s="336"/>
      <c r="KD351" s="336"/>
      <c r="KE351" s="336"/>
      <c r="KF351" s="336"/>
      <c r="KG351" s="337"/>
      <c r="KH351" s="338"/>
      <c r="KI351" s="338"/>
      <c r="KJ351" s="338"/>
      <c r="KK351" s="338"/>
      <c r="KL351" s="338"/>
      <c r="KM351" s="338"/>
      <c r="KN351" s="338"/>
      <c r="KO351" s="338"/>
      <c r="KP351" s="338"/>
      <c r="KQ351" s="338"/>
      <c r="KR351" s="338"/>
      <c r="KS351" s="338"/>
      <c r="KT351" s="338"/>
      <c r="KU351" s="338"/>
      <c r="KV351" s="338"/>
      <c r="KW351" s="337"/>
      <c r="KX351" s="336"/>
      <c r="KY351" s="336"/>
      <c r="KZ351" s="336"/>
      <c r="LA351" s="336"/>
      <c r="LB351" s="336"/>
      <c r="LC351" s="336"/>
      <c r="LD351" s="336"/>
      <c r="LE351" s="336"/>
      <c r="LF351" s="336"/>
      <c r="LG351" s="336"/>
      <c r="LH351" s="336"/>
      <c r="LI351" s="336"/>
      <c r="LJ351" s="336"/>
      <c r="LK351" s="336"/>
      <c r="LL351" s="336"/>
      <c r="LM351" s="336"/>
      <c r="LN351" s="336"/>
      <c r="LO351" s="336"/>
      <c r="LP351" s="336"/>
      <c r="LQ351" s="337"/>
      <c r="MN351" s="10"/>
      <c r="OA351" s="10"/>
    </row>
    <row r="352" spans="1:391" s="370" customFormat="1" x14ac:dyDescent="0.25">
      <c r="A352" s="68"/>
      <c r="B352" s="10"/>
      <c r="C352" s="68"/>
      <c r="D352" s="68"/>
      <c r="E352" s="68"/>
      <c r="F352" s="68"/>
      <c r="G352" s="68"/>
      <c r="H352" s="68"/>
      <c r="I352" s="68"/>
      <c r="J352" s="68"/>
      <c r="K352" s="68"/>
      <c r="L352" s="68"/>
      <c r="M352" s="68"/>
      <c r="N352" s="68"/>
      <c r="O352" s="68"/>
      <c r="P352" s="68"/>
      <c r="Q352" s="68"/>
      <c r="R352" s="68"/>
      <c r="S352" s="68"/>
      <c r="T352" s="70"/>
      <c r="AC352" s="68"/>
      <c r="AD352" s="70"/>
      <c r="AM352" s="68"/>
      <c r="AN352" s="70"/>
      <c r="AU352" s="68"/>
      <c r="AV352" s="70"/>
      <c r="BB352" s="68"/>
      <c r="BC352" s="70"/>
      <c r="BD352" s="68"/>
      <c r="BE352" s="68"/>
      <c r="BF352" s="68"/>
      <c r="BG352" s="68"/>
      <c r="BH352" s="68"/>
      <c r="BI352" s="68"/>
      <c r="BJ352" s="70"/>
      <c r="BM352" s="68"/>
      <c r="BN352" s="70"/>
      <c r="BT352" s="68"/>
      <c r="BU352" s="70"/>
      <c r="BZ352" s="10"/>
      <c r="CF352" s="10"/>
      <c r="CI352" s="389"/>
      <c r="CJ352" s="389"/>
      <c r="CK352" s="68"/>
      <c r="CL352" s="70"/>
      <c r="CO352" s="10"/>
      <c r="CU352" s="10"/>
      <c r="DA352" s="10"/>
      <c r="DB352" s="70"/>
      <c r="DC352" s="70"/>
      <c r="DF352" s="68"/>
      <c r="DG352" s="70"/>
      <c r="DH352" s="68"/>
      <c r="DI352" s="386"/>
      <c r="DJ352" s="425"/>
      <c r="DL352" s="68"/>
      <c r="DM352" s="70"/>
      <c r="DQ352" s="68"/>
      <c r="DR352" s="70"/>
      <c r="DS352" s="338"/>
      <c r="DT352" s="338"/>
      <c r="DU352" s="338"/>
      <c r="DW352" s="338"/>
      <c r="DX352" s="338"/>
      <c r="DY352" s="338"/>
      <c r="EA352" s="338"/>
      <c r="EB352" s="338"/>
      <c r="EC352" s="338"/>
      <c r="EE352" s="338"/>
      <c r="EF352" s="338"/>
      <c r="EG352" s="338"/>
      <c r="EI352" s="336"/>
      <c r="EJ352" s="336"/>
      <c r="EK352" s="336"/>
      <c r="EL352" s="336"/>
      <c r="EM352" s="336"/>
      <c r="EN352" s="336"/>
      <c r="EO352" s="337"/>
      <c r="EP352" s="342"/>
      <c r="EQ352" s="336"/>
      <c r="ER352" s="342"/>
      <c r="ES352" s="336"/>
      <c r="ET352" s="342"/>
      <c r="EU352" s="336"/>
      <c r="EV352" s="342"/>
      <c r="EW352" s="336"/>
      <c r="EX352" s="342"/>
      <c r="EY352" s="342"/>
      <c r="EZ352" s="342"/>
      <c r="FA352" s="337"/>
      <c r="FE352" s="338"/>
      <c r="FH352" s="338"/>
      <c r="FI352" s="338"/>
      <c r="FJ352" s="338"/>
      <c r="FK352" s="338"/>
      <c r="FL352" s="338"/>
      <c r="FM352" s="337"/>
      <c r="FN352" s="336"/>
      <c r="FO352" s="336"/>
      <c r="FP352" s="336"/>
      <c r="FQ352" s="336"/>
      <c r="FR352" s="336"/>
      <c r="FS352" s="336"/>
      <c r="FT352" s="336"/>
      <c r="FU352" s="336"/>
      <c r="FV352" s="336"/>
      <c r="FW352" s="337"/>
      <c r="FX352" s="532"/>
      <c r="FY352" s="341"/>
      <c r="FZ352" s="341"/>
      <c r="GA352" s="336"/>
      <c r="GB352" s="341"/>
      <c r="GC352" s="341"/>
      <c r="GD352" s="341"/>
      <c r="GE352" s="336"/>
      <c r="GF352" s="336"/>
      <c r="GG352" s="336"/>
      <c r="GH352" s="336"/>
      <c r="GI352" s="336"/>
      <c r="GJ352" s="337"/>
      <c r="GM352" s="338"/>
      <c r="GN352" s="338"/>
      <c r="GO352" s="338"/>
      <c r="GS352" s="338"/>
      <c r="GT352" s="338"/>
      <c r="GU352" s="338"/>
      <c r="GY352" s="338"/>
      <c r="GZ352" s="338"/>
      <c r="HA352" s="338"/>
      <c r="HE352" s="338"/>
      <c r="HF352" s="338"/>
      <c r="HG352" s="338"/>
      <c r="HN352" s="68"/>
      <c r="HO352" s="68"/>
      <c r="HP352" s="68"/>
      <c r="HQ352" s="336"/>
      <c r="HR352" s="68"/>
      <c r="HS352" s="68"/>
      <c r="HT352" s="10"/>
      <c r="HW352" s="338"/>
      <c r="HX352" s="338"/>
      <c r="HY352" s="338"/>
      <c r="IC352" s="338"/>
      <c r="ID352" s="338"/>
      <c r="IE352" s="338"/>
      <c r="II352" s="338"/>
      <c r="IJ352" s="338"/>
      <c r="IK352" s="338"/>
      <c r="IO352" s="338"/>
      <c r="IP352" s="338"/>
      <c r="IQ352" s="338"/>
      <c r="IX352" s="68"/>
      <c r="IY352" s="68"/>
      <c r="IZ352" s="68"/>
      <c r="JA352" s="68"/>
      <c r="JB352" s="68"/>
      <c r="JC352" s="68"/>
      <c r="JD352" s="10"/>
      <c r="JG352" s="338"/>
      <c r="JH352" s="338"/>
      <c r="JI352" s="338"/>
      <c r="JM352" s="338"/>
      <c r="JN352" s="338"/>
      <c r="JQ352" s="338"/>
      <c r="JR352" s="338"/>
      <c r="JS352" s="338"/>
      <c r="JW352" s="358"/>
      <c r="JX352" s="336"/>
      <c r="JY352" s="336"/>
      <c r="JZ352" s="336"/>
      <c r="KA352" s="336"/>
      <c r="KB352" s="336"/>
      <c r="KC352" s="336"/>
      <c r="KD352" s="336"/>
      <c r="KE352" s="336"/>
      <c r="KF352" s="336"/>
      <c r="KG352" s="337"/>
      <c r="KH352" s="338"/>
      <c r="KI352" s="338"/>
      <c r="KJ352" s="338"/>
      <c r="KK352" s="338"/>
      <c r="KL352" s="338"/>
      <c r="KM352" s="338"/>
      <c r="KN352" s="338"/>
      <c r="KO352" s="338"/>
      <c r="KP352" s="338"/>
      <c r="KQ352" s="338"/>
      <c r="KR352" s="338"/>
      <c r="KS352" s="338"/>
      <c r="KT352" s="338"/>
      <c r="KU352" s="338"/>
      <c r="KV352" s="338"/>
      <c r="KW352" s="337"/>
      <c r="KX352" s="336"/>
      <c r="KY352" s="336"/>
      <c r="KZ352" s="336"/>
      <c r="LA352" s="336"/>
      <c r="LB352" s="336"/>
      <c r="LC352" s="336"/>
      <c r="LD352" s="336"/>
      <c r="LE352" s="336"/>
      <c r="LF352" s="336"/>
      <c r="LG352" s="336"/>
      <c r="LH352" s="336"/>
      <c r="LI352" s="336"/>
      <c r="LJ352" s="336"/>
      <c r="LK352" s="336"/>
      <c r="LL352" s="336"/>
      <c r="LM352" s="336"/>
      <c r="LN352" s="336"/>
      <c r="LO352" s="336"/>
      <c r="LP352" s="336"/>
      <c r="LQ352" s="337"/>
      <c r="MN352" s="10"/>
      <c r="OA352" s="10"/>
    </row>
    <row r="353" spans="1:391" s="370" customFormat="1" x14ac:dyDescent="0.25">
      <c r="A353" s="68"/>
      <c r="B353" s="10"/>
      <c r="C353" s="68"/>
      <c r="D353" s="68"/>
      <c r="E353" s="68"/>
      <c r="F353" s="68"/>
      <c r="G353" s="68"/>
      <c r="H353" s="68"/>
      <c r="I353" s="68"/>
      <c r="J353" s="68"/>
      <c r="K353" s="68"/>
      <c r="L353" s="68"/>
      <c r="M353" s="68"/>
      <c r="N353" s="68"/>
      <c r="O353" s="68"/>
      <c r="P353" s="68"/>
      <c r="Q353" s="68"/>
      <c r="R353" s="68"/>
      <c r="S353" s="68"/>
      <c r="T353" s="70"/>
      <c r="AC353" s="68"/>
      <c r="AD353" s="70"/>
      <c r="AM353" s="68"/>
      <c r="AN353" s="70"/>
      <c r="AU353" s="68"/>
      <c r="AV353" s="70"/>
      <c r="BB353" s="68"/>
      <c r="BC353" s="70"/>
      <c r="BD353" s="68"/>
      <c r="BE353" s="68"/>
      <c r="BF353" s="68"/>
      <c r="BG353" s="68"/>
      <c r="BH353" s="68"/>
      <c r="BI353" s="68"/>
      <c r="BJ353" s="70"/>
      <c r="BM353" s="68"/>
      <c r="BN353" s="70"/>
      <c r="BT353" s="68"/>
      <c r="BU353" s="70"/>
      <c r="BZ353" s="10"/>
      <c r="CF353" s="10"/>
      <c r="CI353" s="389"/>
      <c r="CJ353" s="389"/>
      <c r="CK353" s="68"/>
      <c r="CL353" s="70"/>
      <c r="CO353" s="10"/>
      <c r="CU353" s="10"/>
      <c r="DA353" s="10"/>
      <c r="DB353" s="70"/>
      <c r="DC353" s="70"/>
      <c r="DF353" s="68"/>
      <c r="DG353" s="70"/>
      <c r="DH353" s="68"/>
      <c r="DI353" s="386"/>
      <c r="DJ353" s="425"/>
      <c r="DL353" s="68"/>
      <c r="DM353" s="70"/>
      <c r="DQ353" s="68"/>
      <c r="DR353" s="70"/>
      <c r="DS353" s="338"/>
      <c r="DT353" s="338"/>
      <c r="DU353" s="338"/>
      <c r="DW353" s="338"/>
      <c r="DX353" s="338"/>
      <c r="DY353" s="338"/>
      <c r="EA353" s="338"/>
      <c r="EB353" s="338"/>
      <c r="EC353" s="338"/>
      <c r="EE353" s="338"/>
      <c r="EF353" s="338"/>
      <c r="EG353" s="338"/>
      <c r="EI353" s="336"/>
      <c r="EJ353" s="336"/>
      <c r="EK353" s="336"/>
      <c r="EL353" s="336"/>
      <c r="EM353" s="336"/>
      <c r="EN353" s="336"/>
      <c r="EO353" s="337"/>
      <c r="EP353" s="342"/>
      <c r="EQ353" s="336"/>
      <c r="ER353" s="342"/>
      <c r="ES353" s="336"/>
      <c r="ET353" s="342"/>
      <c r="EU353" s="336"/>
      <c r="EV353" s="342"/>
      <c r="EW353" s="336"/>
      <c r="EX353" s="342"/>
      <c r="EY353" s="342"/>
      <c r="EZ353" s="342"/>
      <c r="FA353" s="337"/>
      <c r="FE353" s="338"/>
      <c r="FH353" s="338"/>
      <c r="FI353" s="338"/>
      <c r="FJ353" s="338"/>
      <c r="FK353" s="338"/>
      <c r="FL353" s="338"/>
      <c r="FM353" s="337"/>
      <c r="FN353" s="336"/>
      <c r="FO353" s="336"/>
      <c r="FP353" s="336"/>
      <c r="FQ353" s="336"/>
      <c r="FR353" s="336"/>
      <c r="FS353" s="336"/>
      <c r="FT353" s="336"/>
      <c r="FU353" s="336"/>
      <c r="FV353" s="336"/>
      <c r="FW353" s="337"/>
      <c r="FX353" s="532"/>
      <c r="FY353" s="341"/>
      <c r="FZ353" s="341"/>
      <c r="GA353" s="336"/>
      <c r="GB353" s="341"/>
      <c r="GC353" s="341"/>
      <c r="GD353" s="341"/>
      <c r="GE353" s="336"/>
      <c r="GF353" s="336"/>
      <c r="GG353" s="336"/>
      <c r="GH353" s="336"/>
      <c r="GI353" s="336"/>
      <c r="GJ353" s="337"/>
      <c r="GM353" s="338"/>
      <c r="GN353" s="338"/>
      <c r="GO353" s="338"/>
      <c r="GS353" s="338"/>
      <c r="GT353" s="338"/>
      <c r="GU353" s="338"/>
      <c r="GY353" s="338"/>
      <c r="GZ353" s="338"/>
      <c r="HA353" s="338"/>
      <c r="HE353" s="338"/>
      <c r="HF353" s="338"/>
      <c r="HG353" s="338"/>
      <c r="HN353" s="68"/>
      <c r="HO353" s="68"/>
      <c r="HP353" s="68"/>
      <c r="HQ353" s="336"/>
      <c r="HR353" s="68"/>
      <c r="HS353" s="68"/>
      <c r="HT353" s="10"/>
      <c r="HW353" s="338"/>
      <c r="HX353" s="338"/>
      <c r="HY353" s="338"/>
      <c r="IC353" s="338"/>
      <c r="ID353" s="338"/>
      <c r="IE353" s="338"/>
      <c r="II353" s="338"/>
      <c r="IJ353" s="338"/>
      <c r="IK353" s="338"/>
      <c r="IO353" s="338"/>
      <c r="IP353" s="338"/>
      <c r="IQ353" s="338"/>
      <c r="IX353" s="68"/>
      <c r="IY353" s="68"/>
      <c r="IZ353" s="68"/>
      <c r="JA353" s="68"/>
      <c r="JB353" s="68"/>
      <c r="JC353" s="68"/>
      <c r="JD353" s="10"/>
      <c r="JG353" s="338"/>
      <c r="JH353" s="338"/>
      <c r="JI353" s="338"/>
      <c r="JM353" s="338"/>
      <c r="JN353" s="338"/>
      <c r="JQ353" s="338"/>
      <c r="JR353" s="338"/>
      <c r="JS353" s="338"/>
      <c r="JW353" s="358"/>
      <c r="JX353" s="336"/>
      <c r="JY353" s="336"/>
      <c r="JZ353" s="336"/>
      <c r="KA353" s="336"/>
      <c r="KB353" s="336"/>
      <c r="KC353" s="336"/>
      <c r="KD353" s="336"/>
      <c r="KE353" s="336"/>
      <c r="KF353" s="336"/>
      <c r="KG353" s="337"/>
      <c r="KH353" s="338"/>
      <c r="KI353" s="338"/>
      <c r="KJ353" s="338"/>
      <c r="KK353" s="338"/>
      <c r="KL353" s="338"/>
      <c r="KM353" s="338"/>
      <c r="KN353" s="338"/>
      <c r="KO353" s="338"/>
      <c r="KP353" s="338"/>
      <c r="KQ353" s="338"/>
      <c r="KR353" s="338"/>
      <c r="KS353" s="338"/>
      <c r="KT353" s="338"/>
      <c r="KU353" s="338"/>
      <c r="KV353" s="338"/>
      <c r="KW353" s="337"/>
      <c r="KX353" s="336"/>
      <c r="KY353" s="336"/>
      <c r="KZ353" s="336"/>
      <c r="LA353" s="336"/>
      <c r="LB353" s="336"/>
      <c r="LC353" s="336"/>
      <c r="LD353" s="336"/>
      <c r="LE353" s="336"/>
      <c r="LF353" s="336"/>
      <c r="LG353" s="336"/>
      <c r="LH353" s="336"/>
      <c r="LI353" s="336"/>
      <c r="LJ353" s="336"/>
      <c r="LK353" s="336"/>
      <c r="LL353" s="336"/>
      <c r="LM353" s="336"/>
      <c r="LN353" s="336"/>
      <c r="LO353" s="336"/>
      <c r="LP353" s="336"/>
      <c r="LQ353" s="337"/>
      <c r="MN353" s="10"/>
      <c r="OA353" s="10"/>
    </row>
    <row r="354" spans="1:391" s="370" customFormat="1" x14ac:dyDescent="0.25">
      <c r="A354" s="68"/>
      <c r="B354" s="10"/>
      <c r="C354" s="68"/>
      <c r="D354" s="68"/>
      <c r="E354" s="68"/>
      <c r="F354" s="68"/>
      <c r="G354" s="68"/>
      <c r="H354" s="68"/>
      <c r="I354" s="68"/>
      <c r="J354" s="68"/>
      <c r="K354" s="68"/>
      <c r="L354" s="68"/>
      <c r="M354" s="68"/>
      <c r="N354" s="68"/>
      <c r="O354" s="68"/>
      <c r="P354" s="68"/>
      <c r="Q354" s="68"/>
      <c r="R354" s="68"/>
      <c r="S354" s="68"/>
      <c r="T354" s="70"/>
      <c r="AC354" s="68"/>
      <c r="AD354" s="70"/>
      <c r="AM354" s="68"/>
      <c r="AN354" s="70"/>
      <c r="AU354" s="68"/>
      <c r="AV354" s="70"/>
      <c r="BB354" s="68"/>
      <c r="BC354" s="70"/>
      <c r="BD354" s="68"/>
      <c r="BE354" s="68"/>
      <c r="BF354" s="68"/>
      <c r="BG354" s="68"/>
      <c r="BH354" s="68"/>
      <c r="BI354" s="68"/>
      <c r="BJ354" s="70"/>
      <c r="BM354" s="68"/>
      <c r="BN354" s="70"/>
      <c r="BT354" s="68"/>
      <c r="BU354" s="70"/>
      <c r="BZ354" s="10"/>
      <c r="CF354" s="10"/>
      <c r="CI354" s="389"/>
      <c r="CJ354" s="389"/>
      <c r="CK354" s="68"/>
      <c r="CL354" s="70"/>
      <c r="CO354" s="10"/>
      <c r="CU354" s="10"/>
      <c r="DA354" s="10"/>
      <c r="DB354" s="70"/>
      <c r="DC354" s="70"/>
      <c r="DF354" s="68"/>
      <c r="DG354" s="70"/>
      <c r="DH354" s="68"/>
      <c r="DI354" s="386"/>
      <c r="DJ354" s="425"/>
      <c r="DL354" s="68"/>
      <c r="DM354" s="70"/>
      <c r="DQ354" s="68"/>
      <c r="DR354" s="70"/>
      <c r="DS354" s="338"/>
      <c r="DT354" s="338"/>
      <c r="DU354" s="338"/>
      <c r="DW354" s="338"/>
      <c r="DX354" s="338"/>
      <c r="DY354" s="338"/>
      <c r="EA354" s="338"/>
      <c r="EB354" s="338"/>
      <c r="EC354" s="338"/>
      <c r="EE354" s="338"/>
      <c r="EF354" s="338"/>
      <c r="EG354" s="338"/>
      <c r="EI354" s="336"/>
      <c r="EJ354" s="336"/>
      <c r="EK354" s="336"/>
      <c r="EL354" s="336"/>
      <c r="EM354" s="336"/>
      <c r="EN354" s="336"/>
      <c r="EO354" s="337"/>
      <c r="EP354" s="342"/>
      <c r="EQ354" s="336"/>
      <c r="ER354" s="342"/>
      <c r="ES354" s="336"/>
      <c r="ET354" s="342"/>
      <c r="EU354" s="336"/>
      <c r="EV354" s="342"/>
      <c r="EW354" s="336"/>
      <c r="EX354" s="342"/>
      <c r="EY354" s="342"/>
      <c r="EZ354" s="342"/>
      <c r="FA354" s="337"/>
      <c r="FE354" s="338"/>
      <c r="FH354" s="338"/>
      <c r="FI354" s="338"/>
      <c r="FJ354" s="338"/>
      <c r="FK354" s="338"/>
      <c r="FL354" s="338"/>
      <c r="FM354" s="337"/>
      <c r="FN354" s="336"/>
      <c r="FO354" s="336"/>
      <c r="FP354" s="336"/>
      <c r="FQ354" s="336"/>
      <c r="FR354" s="336"/>
      <c r="FS354" s="336"/>
      <c r="FT354" s="336"/>
      <c r="FU354" s="336"/>
      <c r="FV354" s="336"/>
      <c r="FW354" s="337"/>
      <c r="FX354" s="532"/>
      <c r="FY354" s="341"/>
      <c r="FZ354" s="341"/>
      <c r="GA354" s="336"/>
      <c r="GB354" s="341"/>
      <c r="GC354" s="341"/>
      <c r="GD354" s="341"/>
      <c r="GE354" s="336"/>
      <c r="GF354" s="336"/>
      <c r="GG354" s="336"/>
      <c r="GH354" s="336"/>
      <c r="GI354" s="336"/>
      <c r="GJ354" s="337"/>
      <c r="GM354" s="338"/>
      <c r="GN354" s="338"/>
      <c r="GO354" s="338"/>
      <c r="GS354" s="338"/>
      <c r="GT354" s="338"/>
      <c r="GU354" s="338"/>
      <c r="GY354" s="338"/>
      <c r="GZ354" s="338"/>
      <c r="HA354" s="338"/>
      <c r="HE354" s="338"/>
      <c r="HF354" s="338"/>
      <c r="HG354" s="338"/>
      <c r="HN354" s="68"/>
      <c r="HO354" s="68"/>
      <c r="HP354" s="68"/>
      <c r="HQ354" s="336"/>
      <c r="HR354" s="68"/>
      <c r="HS354" s="68"/>
      <c r="HT354" s="10"/>
      <c r="HW354" s="338"/>
      <c r="HX354" s="338"/>
      <c r="HY354" s="338"/>
      <c r="IC354" s="338"/>
      <c r="ID354" s="338"/>
      <c r="IE354" s="338"/>
      <c r="II354" s="338"/>
      <c r="IJ354" s="338"/>
      <c r="IK354" s="338"/>
      <c r="IO354" s="338"/>
      <c r="IP354" s="338"/>
      <c r="IQ354" s="338"/>
      <c r="IX354" s="68"/>
      <c r="IY354" s="68"/>
      <c r="IZ354" s="68"/>
      <c r="JA354" s="68"/>
      <c r="JB354" s="68"/>
      <c r="JC354" s="68"/>
      <c r="JD354" s="10"/>
      <c r="JG354" s="338"/>
      <c r="JH354" s="338"/>
      <c r="JI354" s="338"/>
      <c r="JM354" s="338"/>
      <c r="JN354" s="338"/>
      <c r="JQ354" s="338"/>
      <c r="JR354" s="338"/>
      <c r="JS354" s="338"/>
      <c r="JW354" s="358"/>
      <c r="JX354" s="336"/>
      <c r="JY354" s="336"/>
      <c r="JZ354" s="336"/>
      <c r="KA354" s="336"/>
      <c r="KB354" s="336"/>
      <c r="KC354" s="336"/>
      <c r="KD354" s="336"/>
      <c r="KE354" s="336"/>
      <c r="KF354" s="336"/>
      <c r="KG354" s="337"/>
      <c r="KH354" s="338"/>
      <c r="KI354" s="338"/>
      <c r="KJ354" s="338"/>
      <c r="KK354" s="338"/>
      <c r="KL354" s="338"/>
      <c r="KM354" s="338"/>
      <c r="KN354" s="338"/>
      <c r="KO354" s="338"/>
      <c r="KP354" s="338"/>
      <c r="KQ354" s="338"/>
      <c r="KR354" s="338"/>
      <c r="KS354" s="338"/>
      <c r="KT354" s="338"/>
      <c r="KU354" s="338"/>
      <c r="KV354" s="338"/>
      <c r="KW354" s="337"/>
      <c r="KX354" s="336"/>
      <c r="KY354" s="336"/>
      <c r="KZ354" s="336"/>
      <c r="LA354" s="336"/>
      <c r="LB354" s="336"/>
      <c r="LC354" s="336"/>
      <c r="LD354" s="336"/>
      <c r="LE354" s="336"/>
      <c r="LF354" s="336"/>
      <c r="LG354" s="336"/>
      <c r="LH354" s="336"/>
      <c r="LI354" s="336"/>
      <c r="LJ354" s="336"/>
      <c r="LK354" s="336"/>
      <c r="LL354" s="336"/>
      <c r="LM354" s="336"/>
      <c r="LN354" s="336"/>
      <c r="LO354" s="336"/>
      <c r="LP354" s="336"/>
      <c r="LQ354" s="337"/>
      <c r="MN354" s="10"/>
      <c r="OA354" s="10"/>
    </row>
    <row r="355" spans="1:391" s="370" customFormat="1" x14ac:dyDescent="0.25">
      <c r="A355" s="68"/>
      <c r="B355" s="10"/>
      <c r="C355" s="68"/>
      <c r="D355" s="68"/>
      <c r="E355" s="68"/>
      <c r="F355" s="68"/>
      <c r="G355" s="68"/>
      <c r="H355" s="68"/>
      <c r="I355" s="68"/>
      <c r="J355" s="68"/>
      <c r="K355" s="68"/>
      <c r="L355" s="68"/>
      <c r="M355" s="68"/>
      <c r="N355" s="68"/>
      <c r="O355" s="68"/>
      <c r="P355" s="68"/>
      <c r="Q355" s="68"/>
      <c r="R355" s="68"/>
      <c r="S355" s="68"/>
      <c r="T355" s="70"/>
      <c r="AC355" s="68"/>
      <c r="AD355" s="70"/>
      <c r="AM355" s="68"/>
      <c r="AN355" s="70"/>
      <c r="AU355" s="68"/>
      <c r="AV355" s="70"/>
      <c r="BB355" s="68"/>
      <c r="BC355" s="70"/>
      <c r="BD355" s="68"/>
      <c r="BE355" s="68"/>
      <c r="BF355" s="68"/>
      <c r="BG355" s="68"/>
      <c r="BH355" s="68"/>
      <c r="BI355" s="68"/>
      <c r="BJ355" s="70"/>
      <c r="BM355" s="68"/>
      <c r="BN355" s="70"/>
      <c r="BT355" s="68"/>
      <c r="BU355" s="70"/>
      <c r="BZ355" s="10"/>
      <c r="CF355" s="10"/>
      <c r="CI355" s="389"/>
      <c r="CJ355" s="389"/>
      <c r="CK355" s="68"/>
      <c r="CL355" s="70"/>
      <c r="CO355" s="10"/>
      <c r="CU355" s="10"/>
      <c r="DA355" s="10"/>
      <c r="DB355" s="70"/>
      <c r="DC355" s="70"/>
      <c r="DF355" s="68"/>
      <c r="DG355" s="70"/>
      <c r="DH355" s="68"/>
      <c r="DI355" s="386"/>
      <c r="DJ355" s="425"/>
      <c r="DL355" s="68"/>
      <c r="DM355" s="70"/>
      <c r="DQ355" s="68"/>
      <c r="DR355" s="70"/>
      <c r="DS355" s="338"/>
      <c r="DT355" s="338"/>
      <c r="DU355" s="338"/>
      <c r="DW355" s="338"/>
      <c r="DX355" s="338"/>
      <c r="DY355" s="338"/>
      <c r="EA355" s="338"/>
      <c r="EB355" s="338"/>
      <c r="EC355" s="338"/>
      <c r="EE355" s="338"/>
      <c r="EF355" s="338"/>
      <c r="EG355" s="338"/>
      <c r="EI355" s="336"/>
      <c r="EJ355" s="336"/>
      <c r="EK355" s="336"/>
      <c r="EL355" s="336"/>
      <c r="EM355" s="336"/>
      <c r="EN355" s="336"/>
      <c r="EO355" s="337"/>
      <c r="EP355" s="342"/>
      <c r="EQ355" s="336"/>
      <c r="ER355" s="342"/>
      <c r="ES355" s="336"/>
      <c r="ET355" s="342"/>
      <c r="EU355" s="336"/>
      <c r="EV355" s="342"/>
      <c r="EW355" s="336"/>
      <c r="EX355" s="342"/>
      <c r="EY355" s="342"/>
      <c r="EZ355" s="342"/>
      <c r="FA355" s="337"/>
      <c r="FE355" s="338"/>
      <c r="FH355" s="338"/>
      <c r="FI355" s="338"/>
      <c r="FJ355" s="338"/>
      <c r="FK355" s="338"/>
      <c r="FL355" s="338"/>
      <c r="FM355" s="337"/>
      <c r="FN355" s="336"/>
      <c r="FO355" s="336"/>
      <c r="FP355" s="336"/>
      <c r="FQ355" s="336"/>
      <c r="FR355" s="336"/>
      <c r="FS355" s="336"/>
      <c r="FT355" s="336"/>
      <c r="FU355" s="336"/>
      <c r="FV355" s="336"/>
      <c r="FW355" s="337"/>
      <c r="FX355" s="532"/>
      <c r="FY355" s="341"/>
      <c r="FZ355" s="341"/>
      <c r="GA355" s="336"/>
      <c r="GB355" s="341"/>
      <c r="GC355" s="341"/>
      <c r="GD355" s="341"/>
      <c r="GE355" s="336"/>
      <c r="GF355" s="336"/>
      <c r="GG355" s="336"/>
      <c r="GH355" s="336"/>
      <c r="GI355" s="336"/>
      <c r="GJ355" s="337"/>
      <c r="GM355" s="338"/>
      <c r="GN355" s="338"/>
      <c r="GO355" s="338"/>
      <c r="GS355" s="338"/>
      <c r="GT355" s="338"/>
      <c r="GU355" s="338"/>
      <c r="GY355" s="338"/>
      <c r="GZ355" s="338"/>
      <c r="HA355" s="338"/>
      <c r="HE355" s="338"/>
      <c r="HF355" s="338"/>
      <c r="HG355" s="338"/>
      <c r="HN355" s="68"/>
      <c r="HO355" s="68"/>
      <c r="HP355" s="68"/>
      <c r="HQ355" s="336"/>
      <c r="HR355" s="68"/>
      <c r="HS355" s="68"/>
      <c r="HT355" s="10"/>
      <c r="HW355" s="338"/>
      <c r="HX355" s="338"/>
      <c r="HY355" s="338"/>
      <c r="IC355" s="338"/>
      <c r="ID355" s="338"/>
      <c r="IE355" s="338"/>
      <c r="II355" s="338"/>
      <c r="IJ355" s="338"/>
      <c r="IK355" s="338"/>
      <c r="IO355" s="338"/>
      <c r="IP355" s="338"/>
      <c r="IQ355" s="338"/>
      <c r="IX355" s="68"/>
      <c r="IY355" s="68"/>
      <c r="IZ355" s="68"/>
      <c r="JA355" s="68"/>
      <c r="JB355" s="68"/>
      <c r="JC355" s="68"/>
      <c r="JD355" s="10"/>
      <c r="JG355" s="338"/>
      <c r="JH355" s="338"/>
      <c r="JI355" s="338"/>
      <c r="JM355" s="338"/>
      <c r="JN355" s="338"/>
      <c r="JQ355" s="338"/>
      <c r="JR355" s="338"/>
      <c r="JS355" s="338"/>
      <c r="JW355" s="358"/>
      <c r="JX355" s="336"/>
      <c r="JY355" s="336"/>
      <c r="JZ355" s="336"/>
      <c r="KA355" s="336"/>
      <c r="KB355" s="336"/>
      <c r="KC355" s="336"/>
      <c r="KD355" s="336"/>
      <c r="KE355" s="336"/>
      <c r="KF355" s="336"/>
      <c r="KG355" s="337"/>
      <c r="KH355" s="338"/>
      <c r="KI355" s="338"/>
      <c r="KJ355" s="338"/>
      <c r="KK355" s="338"/>
      <c r="KL355" s="338"/>
      <c r="KM355" s="338"/>
      <c r="KN355" s="338"/>
      <c r="KO355" s="338"/>
      <c r="KP355" s="338"/>
      <c r="KQ355" s="338"/>
      <c r="KR355" s="338"/>
      <c r="KS355" s="338"/>
      <c r="KT355" s="338"/>
      <c r="KU355" s="338"/>
      <c r="KV355" s="338"/>
      <c r="KW355" s="337"/>
      <c r="KX355" s="336"/>
      <c r="KY355" s="336"/>
      <c r="KZ355" s="336"/>
      <c r="LA355" s="336"/>
      <c r="LB355" s="336"/>
      <c r="LC355" s="336"/>
      <c r="LD355" s="336"/>
      <c r="LE355" s="336"/>
      <c r="LF355" s="336"/>
      <c r="LG355" s="336"/>
      <c r="LH355" s="336"/>
      <c r="LI355" s="336"/>
      <c r="LJ355" s="336"/>
      <c r="LK355" s="336"/>
      <c r="LL355" s="336"/>
      <c r="LM355" s="336"/>
      <c r="LN355" s="336"/>
      <c r="LO355" s="336"/>
      <c r="LP355" s="336"/>
      <c r="LQ355" s="337"/>
      <c r="MN355" s="10"/>
      <c r="OA355" s="10"/>
    </row>
    <row r="356" spans="1:391" s="370" customFormat="1" x14ac:dyDescent="0.25">
      <c r="A356" s="68"/>
      <c r="B356" s="10"/>
      <c r="C356" s="68"/>
      <c r="D356" s="68"/>
      <c r="E356" s="68"/>
      <c r="F356" s="68"/>
      <c r="G356" s="68"/>
      <c r="H356" s="68"/>
      <c r="I356" s="68"/>
      <c r="J356" s="68"/>
      <c r="K356" s="68"/>
      <c r="L356" s="68"/>
      <c r="M356" s="68"/>
      <c r="N356" s="68"/>
      <c r="O356" s="68"/>
      <c r="P356" s="68"/>
      <c r="Q356" s="68"/>
      <c r="R356" s="68"/>
      <c r="S356" s="68"/>
      <c r="T356" s="70"/>
      <c r="AC356" s="68"/>
      <c r="AD356" s="70"/>
      <c r="AM356" s="68"/>
      <c r="AN356" s="70"/>
      <c r="AU356" s="68"/>
      <c r="AV356" s="70"/>
      <c r="BB356" s="68"/>
      <c r="BC356" s="70"/>
      <c r="BD356" s="68"/>
      <c r="BE356" s="68"/>
      <c r="BF356" s="68"/>
      <c r="BG356" s="68"/>
      <c r="BH356" s="68"/>
      <c r="BI356" s="68"/>
      <c r="BJ356" s="70"/>
      <c r="BM356" s="68"/>
      <c r="BN356" s="70"/>
      <c r="BT356" s="68"/>
      <c r="BU356" s="70"/>
      <c r="BZ356" s="10"/>
      <c r="CF356" s="10"/>
      <c r="CI356" s="389"/>
      <c r="CJ356" s="389"/>
      <c r="CK356" s="68"/>
      <c r="CL356" s="70"/>
      <c r="CO356" s="10"/>
      <c r="CU356" s="10"/>
      <c r="DA356" s="10"/>
      <c r="DB356" s="70"/>
      <c r="DC356" s="70"/>
      <c r="DF356" s="68"/>
      <c r="DG356" s="70"/>
      <c r="DH356" s="68"/>
      <c r="DI356" s="386"/>
      <c r="DJ356" s="425"/>
      <c r="DL356" s="68"/>
      <c r="DM356" s="70"/>
      <c r="DQ356" s="68"/>
      <c r="DR356" s="70"/>
      <c r="DS356" s="338"/>
      <c r="DT356" s="338"/>
      <c r="DU356" s="338"/>
      <c r="DW356" s="338"/>
      <c r="DX356" s="338"/>
      <c r="DY356" s="338"/>
      <c r="EA356" s="338"/>
      <c r="EB356" s="338"/>
      <c r="EC356" s="338"/>
      <c r="EE356" s="338"/>
      <c r="EF356" s="338"/>
      <c r="EG356" s="338"/>
      <c r="EI356" s="336"/>
      <c r="EJ356" s="336"/>
      <c r="EK356" s="336"/>
      <c r="EL356" s="336"/>
      <c r="EM356" s="336"/>
      <c r="EN356" s="336"/>
      <c r="EO356" s="337"/>
      <c r="EP356" s="342"/>
      <c r="EQ356" s="336"/>
      <c r="ER356" s="342"/>
      <c r="ES356" s="336"/>
      <c r="ET356" s="342"/>
      <c r="EU356" s="336"/>
      <c r="EV356" s="342"/>
      <c r="EW356" s="336"/>
      <c r="EX356" s="342"/>
      <c r="EY356" s="342"/>
      <c r="EZ356" s="342"/>
      <c r="FA356" s="337"/>
      <c r="FE356" s="338"/>
      <c r="FH356" s="338"/>
      <c r="FI356" s="338"/>
      <c r="FJ356" s="338"/>
      <c r="FK356" s="338"/>
      <c r="FL356" s="338"/>
      <c r="FM356" s="337"/>
      <c r="FN356" s="336"/>
      <c r="FO356" s="336"/>
      <c r="FP356" s="336"/>
      <c r="FQ356" s="336"/>
      <c r="FR356" s="336"/>
      <c r="FS356" s="336"/>
      <c r="FT356" s="336"/>
      <c r="FU356" s="336"/>
      <c r="FV356" s="336"/>
      <c r="FW356" s="337"/>
      <c r="FX356" s="532"/>
      <c r="FY356" s="341"/>
      <c r="FZ356" s="341"/>
      <c r="GA356" s="336"/>
      <c r="GB356" s="341"/>
      <c r="GC356" s="341"/>
      <c r="GD356" s="341"/>
      <c r="GE356" s="336"/>
      <c r="GF356" s="336"/>
      <c r="GG356" s="336"/>
      <c r="GH356" s="336"/>
      <c r="GI356" s="336"/>
      <c r="GJ356" s="337"/>
      <c r="GM356" s="338"/>
      <c r="GN356" s="338"/>
      <c r="GO356" s="338"/>
      <c r="GS356" s="338"/>
      <c r="GT356" s="338"/>
      <c r="GU356" s="338"/>
      <c r="GY356" s="338"/>
      <c r="GZ356" s="338"/>
      <c r="HA356" s="338"/>
      <c r="HE356" s="338"/>
      <c r="HF356" s="338"/>
      <c r="HG356" s="338"/>
      <c r="HN356" s="68"/>
      <c r="HO356" s="68"/>
      <c r="HP356" s="68"/>
      <c r="HQ356" s="336"/>
      <c r="HR356" s="68"/>
      <c r="HS356" s="68"/>
      <c r="HT356" s="10"/>
      <c r="HW356" s="338"/>
      <c r="HX356" s="338"/>
      <c r="HY356" s="338"/>
      <c r="IC356" s="338"/>
      <c r="ID356" s="338"/>
      <c r="IE356" s="338"/>
      <c r="II356" s="338"/>
      <c r="IJ356" s="338"/>
      <c r="IK356" s="338"/>
      <c r="IO356" s="338"/>
      <c r="IP356" s="338"/>
      <c r="IQ356" s="338"/>
      <c r="IX356" s="68"/>
      <c r="IY356" s="68"/>
      <c r="IZ356" s="68"/>
      <c r="JA356" s="68"/>
      <c r="JB356" s="68"/>
      <c r="JC356" s="68"/>
      <c r="JD356" s="10"/>
      <c r="JG356" s="338"/>
      <c r="JH356" s="338"/>
      <c r="JI356" s="338"/>
      <c r="JM356" s="338"/>
      <c r="JN356" s="338"/>
      <c r="JQ356" s="338"/>
      <c r="JR356" s="338"/>
      <c r="JS356" s="338"/>
      <c r="JW356" s="358"/>
      <c r="JX356" s="336"/>
      <c r="JY356" s="336"/>
      <c r="JZ356" s="336"/>
      <c r="KA356" s="336"/>
      <c r="KB356" s="336"/>
      <c r="KC356" s="336"/>
      <c r="KD356" s="336"/>
      <c r="KE356" s="336"/>
      <c r="KF356" s="336"/>
      <c r="KG356" s="337"/>
      <c r="KH356" s="338"/>
      <c r="KI356" s="338"/>
      <c r="KJ356" s="338"/>
      <c r="KK356" s="338"/>
      <c r="KL356" s="338"/>
      <c r="KM356" s="338"/>
      <c r="KN356" s="338"/>
      <c r="KO356" s="338"/>
      <c r="KP356" s="338"/>
      <c r="KQ356" s="338"/>
      <c r="KR356" s="338"/>
      <c r="KS356" s="338"/>
      <c r="KT356" s="338"/>
      <c r="KU356" s="338"/>
      <c r="KV356" s="338"/>
      <c r="KW356" s="337"/>
      <c r="KX356" s="336"/>
      <c r="KY356" s="336"/>
      <c r="KZ356" s="336"/>
      <c r="LA356" s="336"/>
      <c r="LB356" s="336"/>
      <c r="LC356" s="336"/>
      <c r="LD356" s="336"/>
      <c r="LE356" s="336"/>
      <c r="LF356" s="336"/>
      <c r="LG356" s="336"/>
      <c r="LH356" s="336"/>
      <c r="LI356" s="336"/>
      <c r="LJ356" s="336"/>
      <c r="LK356" s="336"/>
      <c r="LL356" s="336"/>
      <c r="LM356" s="336"/>
      <c r="LN356" s="336"/>
      <c r="LO356" s="336"/>
      <c r="LP356" s="336"/>
      <c r="LQ356" s="337"/>
      <c r="MN356" s="10"/>
      <c r="OA356" s="10"/>
    </row>
    <row r="357" spans="1:391" s="370" customFormat="1" x14ac:dyDescent="0.25">
      <c r="A357" s="68"/>
      <c r="B357" s="10"/>
      <c r="C357" s="68"/>
      <c r="D357" s="68"/>
      <c r="E357" s="68"/>
      <c r="F357" s="68"/>
      <c r="G357" s="68"/>
      <c r="H357" s="68"/>
      <c r="I357" s="68"/>
      <c r="J357" s="68"/>
      <c r="K357" s="68"/>
      <c r="L357" s="68"/>
      <c r="M357" s="68"/>
      <c r="N357" s="68"/>
      <c r="O357" s="68"/>
      <c r="P357" s="68"/>
      <c r="Q357" s="68"/>
      <c r="R357" s="68"/>
      <c r="S357" s="68"/>
      <c r="T357" s="70"/>
      <c r="AC357" s="68"/>
      <c r="AD357" s="70"/>
      <c r="AM357" s="68"/>
      <c r="AN357" s="70"/>
      <c r="AU357" s="68"/>
      <c r="AV357" s="70"/>
      <c r="BB357" s="68"/>
      <c r="BC357" s="70"/>
      <c r="BD357" s="68"/>
      <c r="BE357" s="68"/>
      <c r="BF357" s="68"/>
      <c r="BG357" s="68"/>
      <c r="BH357" s="68"/>
      <c r="BI357" s="68"/>
      <c r="BJ357" s="70"/>
      <c r="BM357" s="68"/>
      <c r="BN357" s="70"/>
      <c r="BT357" s="68"/>
      <c r="BU357" s="70"/>
      <c r="BZ357" s="10"/>
      <c r="CF357" s="10"/>
      <c r="CI357" s="389"/>
      <c r="CJ357" s="389"/>
      <c r="CK357" s="68"/>
      <c r="CL357" s="70"/>
      <c r="CO357" s="10"/>
      <c r="CU357" s="10"/>
      <c r="DA357" s="10"/>
      <c r="DB357" s="70"/>
      <c r="DC357" s="70"/>
      <c r="DF357" s="68"/>
      <c r="DG357" s="70"/>
      <c r="DH357" s="68"/>
      <c r="DI357" s="386"/>
      <c r="DJ357" s="425"/>
      <c r="DL357" s="68"/>
      <c r="DM357" s="70"/>
      <c r="DQ357" s="68"/>
      <c r="DR357" s="70"/>
      <c r="DS357" s="338"/>
      <c r="DT357" s="338"/>
      <c r="DU357" s="338"/>
      <c r="DW357" s="338"/>
      <c r="DX357" s="338"/>
      <c r="DY357" s="338"/>
      <c r="EA357" s="338"/>
      <c r="EB357" s="338"/>
      <c r="EC357" s="338"/>
      <c r="EE357" s="338"/>
      <c r="EF357" s="338"/>
      <c r="EG357" s="338"/>
      <c r="EI357" s="336"/>
      <c r="EJ357" s="336"/>
      <c r="EK357" s="336"/>
      <c r="EL357" s="336"/>
      <c r="EM357" s="336"/>
      <c r="EN357" s="336"/>
      <c r="EO357" s="337"/>
      <c r="EP357" s="342"/>
      <c r="EQ357" s="336"/>
      <c r="ER357" s="342"/>
      <c r="ES357" s="336"/>
      <c r="ET357" s="342"/>
      <c r="EU357" s="336"/>
      <c r="EV357" s="342"/>
      <c r="EW357" s="336"/>
      <c r="EX357" s="342"/>
      <c r="EY357" s="342"/>
      <c r="EZ357" s="342"/>
      <c r="FA357" s="337"/>
      <c r="FE357" s="338"/>
      <c r="FH357" s="338"/>
      <c r="FI357" s="338"/>
      <c r="FJ357" s="338"/>
      <c r="FK357" s="338"/>
      <c r="FL357" s="338"/>
      <c r="FM357" s="337"/>
      <c r="FN357" s="336"/>
      <c r="FO357" s="336"/>
      <c r="FP357" s="336"/>
      <c r="FQ357" s="336"/>
      <c r="FR357" s="336"/>
      <c r="FS357" s="336"/>
      <c r="FT357" s="336"/>
      <c r="FU357" s="336"/>
      <c r="FV357" s="336"/>
      <c r="FW357" s="337"/>
      <c r="FX357" s="532"/>
      <c r="FY357" s="341"/>
      <c r="FZ357" s="341"/>
      <c r="GA357" s="336"/>
      <c r="GB357" s="341"/>
      <c r="GC357" s="341"/>
      <c r="GD357" s="341"/>
      <c r="GE357" s="336"/>
      <c r="GF357" s="336"/>
      <c r="GG357" s="336"/>
      <c r="GH357" s="336"/>
      <c r="GI357" s="336"/>
      <c r="GJ357" s="337"/>
      <c r="GM357" s="338"/>
      <c r="GN357" s="338"/>
      <c r="GO357" s="338"/>
      <c r="GS357" s="338"/>
      <c r="GT357" s="338"/>
      <c r="GU357" s="338"/>
      <c r="GY357" s="338"/>
      <c r="GZ357" s="338"/>
      <c r="HA357" s="338"/>
      <c r="HE357" s="338"/>
      <c r="HF357" s="338"/>
      <c r="HG357" s="338"/>
      <c r="HN357" s="68"/>
      <c r="HO357" s="68"/>
      <c r="HP357" s="68"/>
      <c r="HQ357" s="336"/>
      <c r="HR357" s="68"/>
      <c r="HS357" s="68"/>
      <c r="HT357" s="10"/>
      <c r="HW357" s="338"/>
      <c r="HX357" s="338"/>
      <c r="HY357" s="338"/>
      <c r="IC357" s="338"/>
      <c r="ID357" s="338"/>
      <c r="IE357" s="338"/>
      <c r="II357" s="338"/>
      <c r="IJ357" s="338"/>
      <c r="IK357" s="338"/>
      <c r="IO357" s="338"/>
      <c r="IP357" s="338"/>
      <c r="IQ357" s="338"/>
      <c r="IX357" s="68"/>
      <c r="IY357" s="68"/>
      <c r="IZ357" s="68"/>
      <c r="JA357" s="68"/>
      <c r="JB357" s="68"/>
      <c r="JC357" s="68"/>
      <c r="JD357" s="10"/>
      <c r="JG357" s="338"/>
      <c r="JH357" s="338"/>
      <c r="JI357" s="338"/>
      <c r="JM357" s="338"/>
      <c r="JN357" s="338"/>
      <c r="JQ357" s="338"/>
      <c r="JR357" s="338"/>
      <c r="JS357" s="338"/>
      <c r="JW357" s="358"/>
      <c r="JX357" s="336"/>
      <c r="JY357" s="336"/>
      <c r="JZ357" s="336"/>
      <c r="KA357" s="336"/>
      <c r="KB357" s="336"/>
      <c r="KC357" s="336"/>
      <c r="KD357" s="336"/>
      <c r="KE357" s="336"/>
      <c r="KF357" s="336"/>
      <c r="KG357" s="337"/>
      <c r="KH357" s="338"/>
      <c r="KI357" s="338"/>
      <c r="KJ357" s="338"/>
      <c r="KK357" s="338"/>
      <c r="KL357" s="338"/>
      <c r="KM357" s="338"/>
      <c r="KN357" s="338"/>
      <c r="KO357" s="338"/>
      <c r="KP357" s="338"/>
      <c r="KQ357" s="338"/>
      <c r="KR357" s="338"/>
      <c r="KS357" s="338"/>
      <c r="KT357" s="338"/>
      <c r="KU357" s="338"/>
      <c r="KV357" s="338"/>
      <c r="KW357" s="337"/>
      <c r="KX357" s="336"/>
      <c r="KY357" s="336"/>
      <c r="KZ357" s="336"/>
      <c r="LA357" s="336"/>
      <c r="LB357" s="336"/>
      <c r="LC357" s="336"/>
      <c r="LD357" s="336"/>
      <c r="LE357" s="336"/>
      <c r="LF357" s="336"/>
      <c r="LG357" s="336"/>
      <c r="LH357" s="336"/>
      <c r="LI357" s="336"/>
      <c r="LJ357" s="336"/>
      <c r="LK357" s="336"/>
      <c r="LL357" s="336"/>
      <c r="LM357" s="336"/>
      <c r="LN357" s="336"/>
      <c r="LO357" s="336"/>
      <c r="LP357" s="336"/>
      <c r="LQ357" s="337"/>
      <c r="MN357" s="10"/>
      <c r="OA357" s="10"/>
    </row>
    <row r="358" spans="1:391" s="370" customFormat="1" x14ac:dyDescent="0.25">
      <c r="A358" s="68"/>
      <c r="B358" s="10"/>
      <c r="C358" s="68"/>
      <c r="D358" s="68"/>
      <c r="E358" s="68"/>
      <c r="F358" s="68"/>
      <c r="G358" s="68"/>
      <c r="H358" s="68"/>
      <c r="I358" s="68"/>
      <c r="J358" s="68"/>
      <c r="K358" s="68"/>
      <c r="L358" s="68"/>
      <c r="M358" s="68"/>
      <c r="N358" s="68"/>
      <c r="O358" s="68"/>
      <c r="P358" s="68"/>
      <c r="Q358" s="68"/>
      <c r="R358" s="68"/>
      <c r="S358" s="68"/>
      <c r="T358" s="70"/>
      <c r="AC358" s="68"/>
      <c r="AD358" s="70"/>
      <c r="AM358" s="68"/>
      <c r="AN358" s="70"/>
      <c r="AU358" s="68"/>
      <c r="AV358" s="70"/>
      <c r="BB358" s="68"/>
      <c r="BC358" s="70"/>
      <c r="BD358" s="68"/>
      <c r="BE358" s="68"/>
      <c r="BF358" s="68"/>
      <c r="BG358" s="68"/>
      <c r="BH358" s="68"/>
      <c r="BI358" s="68"/>
      <c r="BJ358" s="70"/>
      <c r="BM358" s="68"/>
      <c r="BN358" s="70"/>
      <c r="BT358" s="68"/>
      <c r="BU358" s="70"/>
      <c r="BZ358" s="10"/>
      <c r="CF358" s="10"/>
      <c r="CI358" s="389"/>
      <c r="CJ358" s="389"/>
      <c r="CK358" s="68"/>
      <c r="CL358" s="70"/>
      <c r="CO358" s="10"/>
      <c r="CU358" s="10"/>
      <c r="DA358" s="10"/>
      <c r="DB358" s="70"/>
      <c r="DC358" s="70"/>
      <c r="DF358" s="68"/>
      <c r="DG358" s="70"/>
      <c r="DH358" s="68"/>
      <c r="DI358" s="386"/>
      <c r="DJ358" s="425"/>
      <c r="DL358" s="68"/>
      <c r="DM358" s="70"/>
      <c r="DQ358" s="68"/>
      <c r="DR358" s="70"/>
      <c r="DS358" s="338"/>
      <c r="DT358" s="338"/>
      <c r="DU358" s="338"/>
      <c r="DW358" s="338"/>
      <c r="DX358" s="338"/>
      <c r="DY358" s="338"/>
      <c r="EA358" s="338"/>
      <c r="EB358" s="338"/>
      <c r="EC358" s="338"/>
      <c r="EE358" s="338"/>
      <c r="EF358" s="338"/>
      <c r="EG358" s="338"/>
      <c r="EI358" s="336"/>
      <c r="EJ358" s="336"/>
      <c r="EK358" s="336"/>
      <c r="EL358" s="336"/>
      <c r="EM358" s="336"/>
      <c r="EN358" s="336"/>
      <c r="EO358" s="337"/>
      <c r="EP358" s="342"/>
      <c r="EQ358" s="336"/>
      <c r="ER358" s="342"/>
      <c r="ES358" s="336"/>
      <c r="ET358" s="342"/>
      <c r="EU358" s="336"/>
      <c r="EV358" s="342"/>
      <c r="EW358" s="336"/>
      <c r="EX358" s="342"/>
      <c r="EY358" s="342"/>
      <c r="EZ358" s="342"/>
      <c r="FA358" s="337"/>
      <c r="FE358" s="338"/>
      <c r="FH358" s="338"/>
      <c r="FI358" s="338"/>
      <c r="FJ358" s="338"/>
      <c r="FK358" s="338"/>
      <c r="FL358" s="338"/>
      <c r="FM358" s="337"/>
      <c r="FN358" s="336"/>
      <c r="FO358" s="336"/>
      <c r="FP358" s="336"/>
      <c r="FQ358" s="336"/>
      <c r="FR358" s="336"/>
      <c r="FS358" s="336"/>
      <c r="FT358" s="336"/>
      <c r="FU358" s="336"/>
      <c r="FV358" s="336"/>
      <c r="FW358" s="337"/>
      <c r="FX358" s="532"/>
      <c r="FY358" s="341"/>
      <c r="FZ358" s="341"/>
      <c r="GA358" s="336"/>
      <c r="GB358" s="341"/>
      <c r="GC358" s="341"/>
      <c r="GD358" s="341"/>
      <c r="GE358" s="336"/>
      <c r="GF358" s="336"/>
      <c r="GG358" s="336"/>
      <c r="GH358" s="336"/>
      <c r="GI358" s="336"/>
      <c r="GJ358" s="337"/>
      <c r="GM358" s="338"/>
      <c r="GN358" s="338"/>
      <c r="GO358" s="338"/>
      <c r="GS358" s="338"/>
      <c r="GT358" s="338"/>
      <c r="GU358" s="338"/>
      <c r="GY358" s="338"/>
      <c r="GZ358" s="338"/>
      <c r="HA358" s="338"/>
      <c r="HE358" s="338"/>
      <c r="HF358" s="338"/>
      <c r="HG358" s="338"/>
      <c r="HN358" s="68"/>
      <c r="HO358" s="68"/>
      <c r="HP358" s="68"/>
      <c r="HQ358" s="336"/>
      <c r="HR358" s="68"/>
      <c r="HS358" s="68"/>
      <c r="HT358" s="10"/>
      <c r="HW358" s="338"/>
      <c r="HX358" s="338"/>
      <c r="HY358" s="338"/>
      <c r="IC358" s="338"/>
      <c r="ID358" s="338"/>
      <c r="IE358" s="338"/>
      <c r="II358" s="338"/>
      <c r="IJ358" s="338"/>
      <c r="IK358" s="338"/>
      <c r="IO358" s="338"/>
      <c r="IP358" s="338"/>
      <c r="IQ358" s="338"/>
      <c r="IX358" s="68"/>
      <c r="IY358" s="68"/>
      <c r="IZ358" s="68"/>
      <c r="JA358" s="68"/>
      <c r="JB358" s="68"/>
      <c r="JC358" s="68"/>
      <c r="JD358" s="10"/>
      <c r="JG358" s="338"/>
      <c r="JH358" s="338"/>
      <c r="JI358" s="338"/>
      <c r="JM358" s="338"/>
      <c r="JN358" s="338"/>
      <c r="JQ358" s="338"/>
      <c r="JR358" s="338"/>
      <c r="JS358" s="338"/>
      <c r="JW358" s="358"/>
      <c r="JX358" s="336"/>
      <c r="JY358" s="336"/>
      <c r="JZ358" s="336"/>
      <c r="KA358" s="336"/>
      <c r="KB358" s="336"/>
      <c r="KC358" s="336"/>
      <c r="KD358" s="336"/>
      <c r="KE358" s="336"/>
      <c r="KF358" s="336"/>
      <c r="KG358" s="337"/>
      <c r="KH358" s="338"/>
      <c r="KI358" s="338"/>
      <c r="KJ358" s="338"/>
      <c r="KK358" s="338"/>
      <c r="KL358" s="338"/>
      <c r="KM358" s="338"/>
      <c r="KN358" s="338"/>
      <c r="KO358" s="338"/>
      <c r="KP358" s="338"/>
      <c r="KQ358" s="338"/>
      <c r="KR358" s="338"/>
      <c r="KS358" s="338"/>
      <c r="KT358" s="338"/>
      <c r="KU358" s="338"/>
      <c r="KV358" s="338"/>
      <c r="KW358" s="337"/>
      <c r="KX358" s="336"/>
      <c r="KY358" s="336"/>
      <c r="KZ358" s="336"/>
      <c r="LA358" s="336"/>
      <c r="LB358" s="336"/>
      <c r="LC358" s="336"/>
      <c r="LD358" s="336"/>
      <c r="LE358" s="336"/>
      <c r="LF358" s="336"/>
      <c r="LG358" s="336"/>
      <c r="LH358" s="336"/>
      <c r="LI358" s="336"/>
      <c r="LJ358" s="336"/>
      <c r="LK358" s="336"/>
      <c r="LL358" s="336"/>
      <c r="LM358" s="336"/>
      <c r="LN358" s="336"/>
      <c r="LO358" s="336"/>
      <c r="LP358" s="336"/>
      <c r="LQ358" s="337"/>
      <c r="MN358" s="10"/>
      <c r="OA358" s="10"/>
    </row>
    <row r="359" spans="1:391" s="370" customFormat="1" x14ac:dyDescent="0.25">
      <c r="A359" s="68"/>
      <c r="B359" s="10"/>
      <c r="C359" s="68"/>
      <c r="D359" s="68"/>
      <c r="E359" s="68"/>
      <c r="F359" s="68"/>
      <c r="G359" s="68"/>
      <c r="H359" s="68"/>
      <c r="I359" s="68"/>
      <c r="J359" s="68"/>
      <c r="K359" s="68"/>
      <c r="L359" s="68"/>
      <c r="M359" s="68"/>
      <c r="N359" s="68"/>
      <c r="O359" s="68"/>
      <c r="P359" s="68"/>
      <c r="Q359" s="68"/>
      <c r="R359" s="68"/>
      <c r="S359" s="68"/>
      <c r="T359" s="70"/>
      <c r="AC359" s="68"/>
      <c r="AD359" s="70"/>
      <c r="AM359" s="68"/>
      <c r="AN359" s="70"/>
      <c r="AU359" s="68"/>
      <c r="AV359" s="70"/>
      <c r="BB359" s="68"/>
      <c r="BC359" s="70"/>
      <c r="BD359" s="68"/>
      <c r="BE359" s="68"/>
      <c r="BF359" s="68"/>
      <c r="BG359" s="68"/>
      <c r="BH359" s="68"/>
      <c r="BI359" s="68"/>
      <c r="BJ359" s="70"/>
      <c r="BM359" s="68"/>
      <c r="BN359" s="70"/>
      <c r="BT359" s="68"/>
      <c r="BU359" s="70"/>
      <c r="BZ359" s="10"/>
      <c r="CF359" s="10"/>
      <c r="CI359" s="389"/>
      <c r="CJ359" s="389"/>
      <c r="CK359" s="68"/>
      <c r="CL359" s="70"/>
      <c r="CO359" s="10"/>
      <c r="CU359" s="10"/>
      <c r="DA359" s="10"/>
      <c r="DB359" s="70"/>
      <c r="DC359" s="70"/>
      <c r="DF359" s="68"/>
      <c r="DG359" s="70"/>
      <c r="DH359" s="68"/>
      <c r="DI359" s="386"/>
      <c r="DJ359" s="425"/>
      <c r="DL359" s="68"/>
      <c r="DM359" s="70"/>
      <c r="DQ359" s="68"/>
      <c r="DR359" s="70"/>
      <c r="DS359" s="338"/>
      <c r="DT359" s="338"/>
      <c r="DU359" s="338"/>
      <c r="DW359" s="338"/>
      <c r="DX359" s="338"/>
      <c r="DY359" s="338"/>
      <c r="EA359" s="338"/>
      <c r="EB359" s="338"/>
      <c r="EC359" s="338"/>
      <c r="EE359" s="338"/>
      <c r="EF359" s="338"/>
      <c r="EG359" s="338"/>
      <c r="EI359" s="336"/>
      <c r="EJ359" s="336"/>
      <c r="EK359" s="336"/>
      <c r="EL359" s="336"/>
      <c r="EM359" s="336"/>
      <c r="EN359" s="336"/>
      <c r="EO359" s="337"/>
      <c r="EP359" s="342"/>
      <c r="EQ359" s="336"/>
      <c r="ER359" s="342"/>
      <c r="ES359" s="336"/>
      <c r="ET359" s="342"/>
      <c r="EU359" s="336"/>
      <c r="EV359" s="342"/>
      <c r="EW359" s="336"/>
      <c r="EX359" s="342"/>
      <c r="EY359" s="342"/>
      <c r="EZ359" s="342"/>
      <c r="FA359" s="337"/>
      <c r="FE359" s="338"/>
      <c r="FH359" s="338"/>
      <c r="FI359" s="338"/>
      <c r="FJ359" s="338"/>
      <c r="FK359" s="338"/>
      <c r="FL359" s="338"/>
      <c r="FM359" s="337"/>
      <c r="FN359" s="336"/>
      <c r="FO359" s="336"/>
      <c r="FP359" s="336"/>
      <c r="FQ359" s="336"/>
      <c r="FR359" s="336"/>
      <c r="FS359" s="336"/>
      <c r="FT359" s="336"/>
      <c r="FU359" s="336"/>
      <c r="FV359" s="336"/>
      <c r="FW359" s="337"/>
      <c r="FX359" s="532"/>
      <c r="FY359" s="341"/>
      <c r="FZ359" s="341"/>
      <c r="GA359" s="336"/>
      <c r="GB359" s="341"/>
      <c r="GC359" s="341"/>
      <c r="GD359" s="341"/>
      <c r="GE359" s="336"/>
      <c r="GF359" s="336"/>
      <c r="GG359" s="336"/>
      <c r="GH359" s="336"/>
      <c r="GI359" s="336"/>
      <c r="GJ359" s="337"/>
      <c r="GM359" s="338"/>
      <c r="GN359" s="338"/>
      <c r="GO359" s="338"/>
      <c r="GS359" s="338"/>
      <c r="GT359" s="338"/>
      <c r="GU359" s="338"/>
      <c r="GY359" s="338"/>
      <c r="GZ359" s="338"/>
      <c r="HA359" s="338"/>
      <c r="HE359" s="338"/>
      <c r="HF359" s="338"/>
      <c r="HG359" s="338"/>
      <c r="HN359" s="68"/>
      <c r="HO359" s="68"/>
      <c r="HP359" s="68"/>
      <c r="HQ359" s="336"/>
      <c r="HR359" s="68"/>
      <c r="HS359" s="68"/>
      <c r="HT359" s="10"/>
      <c r="HW359" s="338"/>
      <c r="HX359" s="338"/>
      <c r="HY359" s="338"/>
      <c r="IC359" s="338"/>
      <c r="ID359" s="338"/>
      <c r="IE359" s="338"/>
      <c r="II359" s="338"/>
      <c r="IJ359" s="338"/>
      <c r="IK359" s="338"/>
      <c r="IO359" s="338"/>
      <c r="IP359" s="338"/>
      <c r="IQ359" s="338"/>
      <c r="IX359" s="68"/>
      <c r="IY359" s="68"/>
      <c r="IZ359" s="68"/>
      <c r="JA359" s="68"/>
      <c r="JB359" s="68"/>
      <c r="JC359" s="68"/>
      <c r="JD359" s="10"/>
      <c r="JG359" s="338"/>
      <c r="JH359" s="338"/>
      <c r="JI359" s="338"/>
      <c r="JM359" s="338"/>
      <c r="JN359" s="338"/>
      <c r="JQ359" s="338"/>
      <c r="JR359" s="338"/>
      <c r="JS359" s="338"/>
      <c r="JW359" s="358"/>
      <c r="JX359" s="336"/>
      <c r="JY359" s="336"/>
      <c r="JZ359" s="336"/>
      <c r="KA359" s="336"/>
      <c r="KB359" s="336"/>
      <c r="KC359" s="336"/>
      <c r="KD359" s="336"/>
      <c r="KE359" s="336"/>
      <c r="KF359" s="336"/>
      <c r="KG359" s="337"/>
      <c r="KH359" s="338"/>
      <c r="KI359" s="338"/>
      <c r="KJ359" s="338"/>
      <c r="KK359" s="338"/>
      <c r="KL359" s="338"/>
      <c r="KM359" s="338"/>
      <c r="KN359" s="338"/>
      <c r="KO359" s="338"/>
      <c r="KP359" s="338"/>
      <c r="KQ359" s="338"/>
      <c r="KR359" s="338"/>
      <c r="KS359" s="338"/>
      <c r="KT359" s="338"/>
      <c r="KU359" s="338"/>
      <c r="KV359" s="338"/>
      <c r="KW359" s="337"/>
      <c r="KX359" s="336"/>
      <c r="KY359" s="336"/>
      <c r="KZ359" s="336"/>
      <c r="LA359" s="336"/>
      <c r="LB359" s="336"/>
      <c r="LC359" s="336"/>
      <c r="LD359" s="336"/>
      <c r="LE359" s="336"/>
      <c r="LF359" s="336"/>
      <c r="LG359" s="336"/>
      <c r="LH359" s="336"/>
      <c r="LI359" s="336"/>
      <c r="LJ359" s="336"/>
      <c r="LK359" s="336"/>
      <c r="LL359" s="336"/>
      <c r="LM359" s="336"/>
      <c r="LN359" s="336"/>
      <c r="LO359" s="336"/>
      <c r="LP359" s="336"/>
      <c r="LQ359" s="337"/>
      <c r="MN359" s="10"/>
      <c r="OA359" s="10"/>
    </row>
    <row r="360" spans="1:391" s="370" customFormat="1" x14ac:dyDescent="0.25">
      <c r="A360" s="68"/>
      <c r="B360" s="10"/>
      <c r="C360" s="68"/>
      <c r="D360" s="68"/>
      <c r="E360" s="68"/>
      <c r="F360" s="68"/>
      <c r="G360" s="68"/>
      <c r="H360" s="68"/>
      <c r="I360" s="68"/>
      <c r="J360" s="68"/>
      <c r="K360" s="68"/>
      <c r="L360" s="68"/>
      <c r="M360" s="68"/>
      <c r="N360" s="68"/>
      <c r="O360" s="68"/>
      <c r="P360" s="68"/>
      <c r="Q360" s="68"/>
      <c r="R360" s="68"/>
      <c r="S360" s="68"/>
      <c r="T360" s="70"/>
      <c r="AC360" s="68"/>
      <c r="AD360" s="70"/>
      <c r="AM360" s="68"/>
      <c r="AN360" s="70"/>
      <c r="AU360" s="68"/>
      <c r="AV360" s="70"/>
      <c r="BB360" s="68"/>
      <c r="BC360" s="70"/>
      <c r="BD360" s="68"/>
      <c r="BE360" s="68"/>
      <c r="BF360" s="68"/>
      <c r="BG360" s="68"/>
      <c r="BH360" s="68"/>
      <c r="BI360" s="68"/>
      <c r="BJ360" s="70"/>
      <c r="BM360" s="68"/>
      <c r="BN360" s="70"/>
      <c r="BT360" s="68"/>
      <c r="BU360" s="70"/>
      <c r="BZ360" s="10"/>
      <c r="CF360" s="10"/>
      <c r="CI360" s="389"/>
      <c r="CJ360" s="389"/>
      <c r="CK360" s="68"/>
      <c r="CL360" s="70"/>
      <c r="CO360" s="10"/>
      <c r="CU360" s="10"/>
      <c r="DA360" s="10"/>
      <c r="DB360" s="70"/>
      <c r="DC360" s="70"/>
      <c r="DF360" s="68"/>
      <c r="DG360" s="70"/>
      <c r="DH360" s="68"/>
      <c r="DI360" s="386"/>
      <c r="DJ360" s="425"/>
      <c r="DL360" s="68"/>
      <c r="DM360" s="70"/>
      <c r="DQ360" s="68"/>
      <c r="DR360" s="70"/>
      <c r="DS360" s="338"/>
      <c r="DT360" s="338"/>
      <c r="DU360" s="338"/>
      <c r="DW360" s="338"/>
      <c r="DX360" s="338"/>
      <c r="DY360" s="338"/>
      <c r="EA360" s="338"/>
      <c r="EB360" s="338"/>
      <c r="EC360" s="338"/>
      <c r="EE360" s="338"/>
      <c r="EF360" s="338"/>
      <c r="EG360" s="338"/>
      <c r="EI360" s="336"/>
      <c r="EJ360" s="336"/>
      <c r="EK360" s="336"/>
      <c r="EL360" s="336"/>
      <c r="EM360" s="336"/>
      <c r="EN360" s="336"/>
      <c r="EO360" s="337"/>
      <c r="EP360" s="342"/>
      <c r="EQ360" s="336"/>
      <c r="ER360" s="342"/>
      <c r="ES360" s="336"/>
      <c r="ET360" s="342"/>
      <c r="EU360" s="336"/>
      <c r="EV360" s="342"/>
      <c r="EW360" s="336"/>
      <c r="EX360" s="342"/>
      <c r="EY360" s="342"/>
      <c r="EZ360" s="342"/>
      <c r="FA360" s="337"/>
      <c r="FE360" s="338"/>
      <c r="FH360" s="338"/>
      <c r="FI360" s="338"/>
      <c r="FJ360" s="338"/>
      <c r="FK360" s="338"/>
      <c r="FL360" s="338"/>
      <c r="FM360" s="337"/>
      <c r="FN360" s="336"/>
      <c r="FO360" s="336"/>
      <c r="FP360" s="336"/>
      <c r="FQ360" s="336"/>
      <c r="FR360" s="336"/>
      <c r="FS360" s="336"/>
      <c r="FT360" s="336"/>
      <c r="FU360" s="336"/>
      <c r="FV360" s="336"/>
      <c r="FW360" s="337"/>
      <c r="FX360" s="532"/>
      <c r="FY360" s="341"/>
      <c r="FZ360" s="341"/>
      <c r="GA360" s="336"/>
      <c r="GB360" s="341"/>
      <c r="GC360" s="341"/>
      <c r="GD360" s="341"/>
      <c r="GE360" s="336"/>
      <c r="GF360" s="336"/>
      <c r="GG360" s="336"/>
      <c r="GH360" s="336"/>
      <c r="GI360" s="336"/>
      <c r="GJ360" s="337"/>
      <c r="GM360" s="338"/>
      <c r="GN360" s="338"/>
      <c r="GO360" s="338"/>
      <c r="GS360" s="338"/>
      <c r="GT360" s="338"/>
      <c r="GU360" s="338"/>
      <c r="GY360" s="338"/>
      <c r="GZ360" s="338"/>
      <c r="HA360" s="338"/>
      <c r="HE360" s="338"/>
      <c r="HF360" s="338"/>
      <c r="HG360" s="338"/>
      <c r="HN360" s="68"/>
      <c r="HO360" s="68"/>
      <c r="HP360" s="68"/>
      <c r="HQ360" s="336"/>
      <c r="HR360" s="68"/>
      <c r="HS360" s="68"/>
      <c r="HT360" s="10"/>
      <c r="HW360" s="338"/>
      <c r="HX360" s="338"/>
      <c r="HY360" s="338"/>
      <c r="IC360" s="338"/>
      <c r="ID360" s="338"/>
      <c r="IE360" s="338"/>
      <c r="II360" s="338"/>
      <c r="IJ360" s="338"/>
      <c r="IK360" s="338"/>
      <c r="IO360" s="338"/>
      <c r="IP360" s="338"/>
      <c r="IQ360" s="338"/>
      <c r="IX360" s="68"/>
      <c r="IY360" s="68"/>
      <c r="IZ360" s="68"/>
      <c r="JA360" s="68"/>
      <c r="JB360" s="68"/>
      <c r="JC360" s="68"/>
      <c r="JD360" s="10"/>
      <c r="JG360" s="338"/>
      <c r="JH360" s="338"/>
      <c r="JI360" s="338"/>
      <c r="JM360" s="338"/>
      <c r="JN360" s="338"/>
      <c r="JQ360" s="338"/>
      <c r="JR360" s="338"/>
      <c r="JS360" s="338"/>
      <c r="JW360" s="358"/>
      <c r="JX360" s="336"/>
      <c r="JY360" s="336"/>
      <c r="JZ360" s="336"/>
      <c r="KA360" s="336"/>
      <c r="KB360" s="336"/>
      <c r="KC360" s="336"/>
      <c r="KD360" s="336"/>
      <c r="KE360" s="336"/>
      <c r="KF360" s="336"/>
      <c r="KG360" s="337"/>
      <c r="KH360" s="338"/>
      <c r="KI360" s="338"/>
      <c r="KJ360" s="338"/>
      <c r="KK360" s="338"/>
      <c r="KL360" s="338"/>
      <c r="KM360" s="338"/>
      <c r="KN360" s="338"/>
      <c r="KO360" s="338"/>
      <c r="KP360" s="338"/>
      <c r="KQ360" s="338"/>
      <c r="KR360" s="338"/>
      <c r="KS360" s="338"/>
      <c r="KT360" s="338"/>
      <c r="KU360" s="338"/>
      <c r="KV360" s="338"/>
      <c r="KW360" s="337"/>
      <c r="KX360" s="336"/>
      <c r="KY360" s="336"/>
      <c r="KZ360" s="336"/>
      <c r="LA360" s="336"/>
      <c r="LB360" s="336"/>
      <c r="LC360" s="336"/>
      <c r="LD360" s="336"/>
      <c r="LE360" s="336"/>
      <c r="LF360" s="336"/>
      <c r="LG360" s="336"/>
      <c r="LH360" s="336"/>
      <c r="LI360" s="336"/>
      <c r="LJ360" s="336"/>
      <c r="LK360" s="336"/>
      <c r="LL360" s="336"/>
      <c r="LM360" s="336"/>
      <c r="LN360" s="336"/>
      <c r="LO360" s="336"/>
      <c r="LP360" s="336"/>
      <c r="LQ360" s="337"/>
      <c r="MN360" s="10"/>
      <c r="OA360" s="10"/>
    </row>
    <row r="361" spans="1:391" s="370" customFormat="1" x14ac:dyDescent="0.25">
      <c r="A361" s="68"/>
      <c r="B361" s="10"/>
      <c r="C361" s="68"/>
      <c r="D361" s="68"/>
      <c r="E361" s="68"/>
      <c r="F361" s="68"/>
      <c r="G361" s="68"/>
      <c r="H361" s="68"/>
      <c r="I361" s="68"/>
      <c r="J361" s="68"/>
      <c r="K361" s="68"/>
      <c r="L361" s="68"/>
      <c r="M361" s="68"/>
      <c r="N361" s="68"/>
      <c r="O361" s="68"/>
      <c r="P361" s="68"/>
      <c r="Q361" s="68"/>
      <c r="R361" s="68"/>
      <c r="S361" s="68"/>
      <c r="T361" s="70"/>
      <c r="AC361" s="68"/>
      <c r="AD361" s="70"/>
      <c r="AM361" s="68"/>
      <c r="AN361" s="70"/>
      <c r="AU361" s="68"/>
      <c r="AV361" s="70"/>
      <c r="BB361" s="68"/>
      <c r="BC361" s="70"/>
      <c r="BD361" s="68"/>
      <c r="BE361" s="68"/>
      <c r="BF361" s="68"/>
      <c r="BG361" s="68"/>
      <c r="BH361" s="68"/>
      <c r="BI361" s="68"/>
      <c r="BJ361" s="70"/>
      <c r="BM361" s="68"/>
      <c r="BN361" s="70"/>
      <c r="BT361" s="68"/>
      <c r="BU361" s="70"/>
      <c r="BZ361" s="10"/>
      <c r="CF361" s="10"/>
      <c r="CI361" s="389"/>
      <c r="CJ361" s="389"/>
      <c r="CK361" s="68"/>
      <c r="CL361" s="70"/>
      <c r="CO361" s="10"/>
      <c r="CU361" s="10"/>
      <c r="DA361" s="10"/>
      <c r="DB361" s="70"/>
      <c r="DC361" s="70"/>
      <c r="DF361" s="68"/>
      <c r="DG361" s="70"/>
      <c r="DH361" s="68"/>
      <c r="DI361" s="386"/>
      <c r="DJ361" s="425"/>
      <c r="DL361" s="68"/>
      <c r="DM361" s="70"/>
      <c r="DQ361" s="68"/>
      <c r="DR361" s="70"/>
      <c r="DS361" s="338"/>
      <c r="DT361" s="338"/>
      <c r="DU361" s="338"/>
      <c r="DW361" s="338"/>
      <c r="DX361" s="338"/>
      <c r="DY361" s="338"/>
      <c r="EA361" s="338"/>
      <c r="EB361" s="338"/>
      <c r="EC361" s="338"/>
      <c r="EE361" s="338"/>
      <c r="EF361" s="338"/>
      <c r="EG361" s="338"/>
      <c r="EI361" s="336"/>
      <c r="EJ361" s="336"/>
      <c r="EK361" s="336"/>
      <c r="EL361" s="336"/>
      <c r="EM361" s="336"/>
      <c r="EN361" s="336"/>
      <c r="EO361" s="337"/>
      <c r="EP361" s="342"/>
      <c r="EQ361" s="336"/>
      <c r="ER361" s="342"/>
      <c r="ES361" s="336"/>
      <c r="ET361" s="342"/>
      <c r="EU361" s="336"/>
      <c r="EV361" s="342"/>
      <c r="EW361" s="336"/>
      <c r="EX361" s="342"/>
      <c r="EY361" s="342"/>
      <c r="EZ361" s="342"/>
      <c r="FA361" s="337"/>
      <c r="FE361" s="338"/>
      <c r="FH361" s="338"/>
      <c r="FI361" s="338"/>
      <c r="FJ361" s="338"/>
      <c r="FK361" s="338"/>
      <c r="FL361" s="338"/>
      <c r="FM361" s="337"/>
      <c r="FN361" s="336"/>
      <c r="FO361" s="336"/>
      <c r="FP361" s="336"/>
      <c r="FQ361" s="336"/>
      <c r="FR361" s="336"/>
      <c r="FS361" s="336"/>
      <c r="FT361" s="336"/>
      <c r="FU361" s="336"/>
      <c r="FV361" s="336"/>
      <c r="FW361" s="337"/>
      <c r="FX361" s="532"/>
      <c r="FY361" s="341"/>
      <c r="FZ361" s="341"/>
      <c r="GA361" s="336"/>
      <c r="GB361" s="341"/>
      <c r="GC361" s="341"/>
      <c r="GD361" s="341"/>
      <c r="GE361" s="336"/>
      <c r="GF361" s="336"/>
      <c r="GG361" s="336"/>
      <c r="GH361" s="336"/>
      <c r="GI361" s="336"/>
      <c r="GJ361" s="337"/>
      <c r="GM361" s="338"/>
      <c r="GN361" s="338"/>
      <c r="GO361" s="338"/>
      <c r="GS361" s="338"/>
      <c r="GT361" s="338"/>
      <c r="GU361" s="338"/>
      <c r="GY361" s="338"/>
      <c r="GZ361" s="338"/>
      <c r="HA361" s="338"/>
      <c r="HE361" s="338"/>
      <c r="HF361" s="338"/>
      <c r="HG361" s="338"/>
      <c r="HN361" s="68"/>
      <c r="HO361" s="68"/>
      <c r="HP361" s="68"/>
      <c r="HQ361" s="336"/>
      <c r="HR361" s="68"/>
      <c r="HS361" s="68"/>
      <c r="HT361" s="10"/>
      <c r="HW361" s="338"/>
      <c r="HX361" s="338"/>
      <c r="HY361" s="338"/>
      <c r="IC361" s="338"/>
      <c r="ID361" s="338"/>
      <c r="IE361" s="338"/>
      <c r="II361" s="338"/>
      <c r="IJ361" s="338"/>
      <c r="IK361" s="338"/>
      <c r="IO361" s="338"/>
      <c r="IP361" s="338"/>
      <c r="IQ361" s="338"/>
      <c r="IX361" s="68"/>
      <c r="IY361" s="68"/>
      <c r="IZ361" s="68"/>
      <c r="JA361" s="68"/>
      <c r="JB361" s="68"/>
      <c r="JC361" s="68"/>
      <c r="JD361" s="10"/>
      <c r="JG361" s="338"/>
      <c r="JH361" s="338"/>
      <c r="JI361" s="338"/>
      <c r="JM361" s="338"/>
      <c r="JN361" s="338"/>
      <c r="JQ361" s="338"/>
      <c r="JR361" s="338"/>
      <c r="JS361" s="338"/>
      <c r="JW361" s="358"/>
      <c r="JX361" s="336"/>
      <c r="JY361" s="336"/>
      <c r="JZ361" s="336"/>
      <c r="KA361" s="336"/>
      <c r="KB361" s="336"/>
      <c r="KC361" s="336"/>
      <c r="KD361" s="336"/>
      <c r="KE361" s="336"/>
      <c r="KF361" s="336"/>
      <c r="KG361" s="337"/>
      <c r="KH361" s="338"/>
      <c r="KI361" s="338"/>
      <c r="KJ361" s="338"/>
      <c r="KK361" s="338"/>
      <c r="KL361" s="338"/>
      <c r="KM361" s="338"/>
      <c r="KN361" s="338"/>
      <c r="KO361" s="338"/>
      <c r="KP361" s="338"/>
      <c r="KQ361" s="338"/>
      <c r="KR361" s="338"/>
      <c r="KS361" s="338"/>
      <c r="KT361" s="338"/>
      <c r="KU361" s="338"/>
      <c r="KV361" s="338"/>
      <c r="KW361" s="337"/>
      <c r="KX361" s="336"/>
      <c r="KY361" s="336"/>
      <c r="KZ361" s="336"/>
      <c r="LA361" s="336"/>
      <c r="LB361" s="336"/>
      <c r="LC361" s="336"/>
      <c r="LD361" s="336"/>
      <c r="LE361" s="336"/>
      <c r="LF361" s="336"/>
      <c r="LG361" s="336"/>
      <c r="LH361" s="336"/>
      <c r="LI361" s="336"/>
      <c r="LJ361" s="336"/>
      <c r="LK361" s="336"/>
      <c r="LL361" s="336"/>
      <c r="LM361" s="336"/>
      <c r="LN361" s="336"/>
      <c r="LO361" s="336"/>
      <c r="LP361" s="336"/>
      <c r="LQ361" s="337"/>
      <c r="MN361" s="10"/>
      <c r="OA361" s="10"/>
    </row>
    <row r="362" spans="1:391" s="370" customFormat="1" x14ac:dyDescent="0.25">
      <c r="A362" s="68"/>
      <c r="B362" s="10"/>
      <c r="C362" s="68"/>
      <c r="D362" s="68"/>
      <c r="E362" s="68"/>
      <c r="F362" s="68"/>
      <c r="G362" s="68"/>
      <c r="H362" s="68"/>
      <c r="I362" s="68"/>
      <c r="J362" s="68"/>
      <c r="K362" s="68"/>
      <c r="L362" s="68"/>
      <c r="M362" s="68"/>
      <c r="N362" s="68"/>
      <c r="O362" s="68"/>
      <c r="P362" s="68"/>
      <c r="Q362" s="68"/>
      <c r="R362" s="68"/>
      <c r="S362" s="68"/>
      <c r="T362" s="70"/>
      <c r="AC362" s="68"/>
      <c r="AD362" s="70"/>
      <c r="AM362" s="68"/>
      <c r="AN362" s="70"/>
      <c r="AU362" s="68"/>
      <c r="AV362" s="70"/>
      <c r="BB362" s="68"/>
      <c r="BC362" s="70"/>
      <c r="BD362" s="68"/>
      <c r="BE362" s="68"/>
      <c r="BF362" s="68"/>
      <c r="BG362" s="68"/>
      <c r="BH362" s="68"/>
      <c r="BI362" s="68"/>
      <c r="BJ362" s="70"/>
      <c r="BM362" s="68"/>
      <c r="BN362" s="70"/>
      <c r="BT362" s="68"/>
      <c r="BU362" s="70"/>
      <c r="BZ362" s="10"/>
      <c r="CF362" s="10"/>
      <c r="CI362" s="389"/>
      <c r="CJ362" s="389"/>
      <c r="CK362" s="68"/>
      <c r="CL362" s="70"/>
      <c r="CO362" s="10"/>
      <c r="CU362" s="10"/>
      <c r="DA362" s="10"/>
      <c r="DB362" s="70"/>
      <c r="DC362" s="70"/>
      <c r="DF362" s="68"/>
      <c r="DG362" s="70"/>
      <c r="DH362" s="68"/>
      <c r="DI362" s="386"/>
      <c r="DJ362" s="425"/>
      <c r="DL362" s="68"/>
      <c r="DM362" s="70"/>
      <c r="DQ362" s="68"/>
      <c r="DR362" s="70"/>
      <c r="DS362" s="338"/>
      <c r="DT362" s="338"/>
      <c r="DU362" s="338"/>
      <c r="DW362" s="338"/>
      <c r="DX362" s="338"/>
      <c r="DY362" s="338"/>
      <c r="EA362" s="338"/>
      <c r="EB362" s="338"/>
      <c r="EC362" s="338"/>
      <c r="EE362" s="338"/>
      <c r="EF362" s="338"/>
      <c r="EG362" s="338"/>
      <c r="EI362" s="336"/>
      <c r="EJ362" s="336"/>
      <c r="EK362" s="336"/>
      <c r="EL362" s="336"/>
      <c r="EM362" s="336"/>
      <c r="EN362" s="336"/>
      <c r="EO362" s="337"/>
      <c r="EP362" s="342"/>
      <c r="EQ362" s="336"/>
      <c r="ER362" s="342"/>
      <c r="ES362" s="336"/>
      <c r="ET362" s="342"/>
      <c r="EU362" s="336"/>
      <c r="EV362" s="342"/>
      <c r="EW362" s="336"/>
      <c r="EX362" s="342"/>
      <c r="EY362" s="342"/>
      <c r="EZ362" s="342"/>
      <c r="FA362" s="337"/>
      <c r="FE362" s="338"/>
      <c r="FH362" s="338"/>
      <c r="FI362" s="338"/>
      <c r="FJ362" s="338"/>
      <c r="FK362" s="338"/>
      <c r="FL362" s="338"/>
      <c r="FM362" s="337"/>
      <c r="FN362" s="336"/>
      <c r="FO362" s="336"/>
      <c r="FP362" s="336"/>
      <c r="FQ362" s="336"/>
      <c r="FR362" s="336"/>
      <c r="FS362" s="336"/>
      <c r="FT362" s="336"/>
      <c r="FU362" s="336"/>
      <c r="FV362" s="336"/>
      <c r="FW362" s="337"/>
      <c r="FX362" s="532"/>
      <c r="FY362" s="341"/>
      <c r="FZ362" s="341"/>
      <c r="GA362" s="336"/>
      <c r="GB362" s="341"/>
      <c r="GC362" s="341"/>
      <c r="GD362" s="341"/>
      <c r="GE362" s="336"/>
      <c r="GF362" s="336"/>
      <c r="GG362" s="336"/>
      <c r="GH362" s="336"/>
      <c r="GI362" s="336"/>
      <c r="GJ362" s="337"/>
      <c r="GM362" s="338"/>
      <c r="GN362" s="338"/>
      <c r="GO362" s="338"/>
      <c r="GS362" s="338"/>
      <c r="GT362" s="338"/>
      <c r="GU362" s="338"/>
      <c r="GY362" s="338"/>
      <c r="GZ362" s="338"/>
      <c r="HA362" s="338"/>
      <c r="HE362" s="338"/>
      <c r="HF362" s="338"/>
      <c r="HG362" s="338"/>
      <c r="HN362" s="68"/>
      <c r="HO362" s="68"/>
      <c r="HP362" s="68"/>
      <c r="HQ362" s="336"/>
      <c r="HR362" s="68"/>
      <c r="HS362" s="68"/>
      <c r="HT362" s="10"/>
      <c r="HW362" s="338"/>
      <c r="HX362" s="338"/>
      <c r="HY362" s="338"/>
      <c r="IC362" s="338"/>
      <c r="ID362" s="338"/>
      <c r="IE362" s="338"/>
      <c r="II362" s="338"/>
      <c r="IJ362" s="338"/>
      <c r="IK362" s="338"/>
      <c r="IO362" s="338"/>
      <c r="IP362" s="338"/>
      <c r="IQ362" s="338"/>
      <c r="IX362" s="68"/>
      <c r="IY362" s="68"/>
      <c r="IZ362" s="68"/>
      <c r="JA362" s="68"/>
      <c r="JB362" s="68"/>
      <c r="JC362" s="68"/>
      <c r="JD362" s="10"/>
      <c r="JG362" s="338"/>
      <c r="JH362" s="338"/>
      <c r="JI362" s="338"/>
      <c r="JM362" s="338"/>
      <c r="JN362" s="338"/>
      <c r="JQ362" s="338"/>
      <c r="JR362" s="338"/>
      <c r="JS362" s="338"/>
      <c r="JW362" s="358"/>
      <c r="JX362" s="336"/>
      <c r="JY362" s="336"/>
      <c r="JZ362" s="336"/>
      <c r="KA362" s="336"/>
      <c r="KB362" s="336"/>
      <c r="KC362" s="336"/>
      <c r="KD362" s="336"/>
      <c r="KE362" s="336"/>
      <c r="KF362" s="336"/>
      <c r="KG362" s="337"/>
      <c r="KH362" s="338"/>
      <c r="KI362" s="338"/>
      <c r="KJ362" s="338"/>
      <c r="KK362" s="338"/>
      <c r="KL362" s="338"/>
      <c r="KM362" s="338"/>
      <c r="KN362" s="338"/>
      <c r="KO362" s="338"/>
      <c r="KP362" s="338"/>
      <c r="KQ362" s="338"/>
      <c r="KR362" s="338"/>
      <c r="KS362" s="338"/>
      <c r="KT362" s="338"/>
      <c r="KU362" s="338"/>
      <c r="KV362" s="338"/>
      <c r="KW362" s="337"/>
      <c r="KX362" s="336"/>
      <c r="KY362" s="336"/>
      <c r="KZ362" s="336"/>
      <c r="LA362" s="336"/>
      <c r="LB362" s="336"/>
      <c r="LC362" s="336"/>
      <c r="LD362" s="336"/>
      <c r="LE362" s="336"/>
      <c r="LF362" s="336"/>
      <c r="LG362" s="336"/>
      <c r="LH362" s="336"/>
      <c r="LI362" s="336"/>
      <c r="LJ362" s="336"/>
      <c r="LK362" s="336"/>
      <c r="LL362" s="336"/>
      <c r="LM362" s="336"/>
      <c r="LN362" s="336"/>
      <c r="LO362" s="336"/>
      <c r="LP362" s="336"/>
      <c r="LQ362" s="337"/>
      <c r="MN362" s="10"/>
      <c r="OA362" s="10"/>
    </row>
    <row r="363" spans="1:391" s="370" customFormat="1" x14ac:dyDescent="0.25">
      <c r="A363" s="68"/>
      <c r="B363" s="10"/>
      <c r="C363" s="68"/>
      <c r="D363" s="68"/>
      <c r="E363" s="68"/>
      <c r="F363" s="68"/>
      <c r="G363" s="68"/>
      <c r="H363" s="68"/>
      <c r="I363" s="68"/>
      <c r="J363" s="68"/>
      <c r="K363" s="68"/>
      <c r="L363" s="68"/>
      <c r="M363" s="68"/>
      <c r="N363" s="68"/>
      <c r="O363" s="68"/>
      <c r="P363" s="68"/>
      <c r="Q363" s="68"/>
      <c r="R363" s="68"/>
      <c r="S363" s="68"/>
      <c r="T363" s="70"/>
      <c r="AC363" s="68"/>
      <c r="AD363" s="70"/>
      <c r="AM363" s="68"/>
      <c r="AN363" s="70"/>
      <c r="AU363" s="68"/>
      <c r="AV363" s="70"/>
      <c r="BB363" s="68"/>
      <c r="BC363" s="70"/>
      <c r="BD363" s="68"/>
      <c r="BE363" s="68"/>
      <c r="BF363" s="68"/>
      <c r="BG363" s="68"/>
      <c r="BH363" s="68"/>
      <c r="BI363" s="68"/>
      <c r="BJ363" s="70"/>
      <c r="BM363" s="68"/>
      <c r="BN363" s="70"/>
      <c r="BT363" s="68"/>
      <c r="BU363" s="70"/>
      <c r="BZ363" s="10"/>
      <c r="CF363" s="10"/>
      <c r="CI363" s="389"/>
      <c r="CJ363" s="389"/>
      <c r="CK363" s="68"/>
      <c r="CL363" s="70"/>
      <c r="CO363" s="10"/>
      <c r="CU363" s="10"/>
      <c r="DA363" s="10"/>
      <c r="DB363" s="70"/>
      <c r="DC363" s="70"/>
      <c r="DF363" s="68"/>
      <c r="DG363" s="70"/>
      <c r="DH363" s="68"/>
      <c r="DI363" s="386"/>
      <c r="DJ363" s="425"/>
      <c r="DL363" s="68"/>
      <c r="DM363" s="70"/>
      <c r="DQ363" s="68"/>
      <c r="DR363" s="70"/>
      <c r="DS363" s="338"/>
      <c r="DT363" s="338"/>
      <c r="DU363" s="338"/>
      <c r="DW363" s="338"/>
      <c r="DX363" s="338"/>
      <c r="DY363" s="338"/>
      <c r="EA363" s="338"/>
      <c r="EB363" s="338"/>
      <c r="EC363" s="338"/>
      <c r="EE363" s="338"/>
      <c r="EF363" s="338"/>
      <c r="EG363" s="338"/>
      <c r="EI363" s="336"/>
      <c r="EJ363" s="336"/>
      <c r="EK363" s="336"/>
      <c r="EL363" s="336"/>
      <c r="EM363" s="336"/>
      <c r="EN363" s="336"/>
      <c r="EO363" s="337"/>
      <c r="EP363" s="342"/>
      <c r="EQ363" s="336"/>
      <c r="ER363" s="342"/>
      <c r="ES363" s="336"/>
      <c r="ET363" s="342"/>
      <c r="EU363" s="336"/>
      <c r="EV363" s="342"/>
      <c r="EW363" s="336"/>
      <c r="EX363" s="342"/>
      <c r="EY363" s="342"/>
      <c r="EZ363" s="342"/>
      <c r="FA363" s="337"/>
      <c r="FE363" s="338"/>
      <c r="FH363" s="338"/>
      <c r="FI363" s="338"/>
      <c r="FJ363" s="338"/>
      <c r="FK363" s="338"/>
      <c r="FL363" s="338"/>
      <c r="FM363" s="337"/>
      <c r="FN363" s="336"/>
      <c r="FO363" s="336"/>
      <c r="FP363" s="336"/>
      <c r="FQ363" s="336"/>
      <c r="FR363" s="336"/>
      <c r="FS363" s="336"/>
      <c r="FT363" s="336"/>
      <c r="FU363" s="336"/>
      <c r="FV363" s="336"/>
      <c r="FW363" s="337"/>
      <c r="FX363" s="532"/>
      <c r="FY363" s="341"/>
      <c r="FZ363" s="341"/>
      <c r="GA363" s="336"/>
      <c r="GB363" s="341"/>
      <c r="GC363" s="341"/>
      <c r="GD363" s="341"/>
      <c r="GE363" s="336"/>
      <c r="GF363" s="336"/>
      <c r="GG363" s="336"/>
      <c r="GH363" s="336"/>
      <c r="GI363" s="336"/>
      <c r="GJ363" s="337"/>
      <c r="GM363" s="338"/>
      <c r="GN363" s="338"/>
      <c r="GO363" s="338"/>
      <c r="GS363" s="338"/>
      <c r="GT363" s="338"/>
      <c r="GU363" s="338"/>
      <c r="GY363" s="338"/>
      <c r="GZ363" s="338"/>
      <c r="HA363" s="338"/>
      <c r="HE363" s="338"/>
      <c r="HF363" s="338"/>
      <c r="HG363" s="338"/>
      <c r="HN363" s="68"/>
      <c r="HO363" s="68"/>
      <c r="HP363" s="68"/>
      <c r="HQ363" s="336"/>
      <c r="HR363" s="68"/>
      <c r="HS363" s="68"/>
      <c r="HT363" s="10"/>
      <c r="HW363" s="338"/>
      <c r="HX363" s="338"/>
      <c r="HY363" s="338"/>
      <c r="IC363" s="338"/>
      <c r="ID363" s="338"/>
      <c r="IE363" s="338"/>
      <c r="II363" s="338"/>
      <c r="IJ363" s="338"/>
      <c r="IK363" s="338"/>
      <c r="IO363" s="338"/>
      <c r="IP363" s="338"/>
      <c r="IQ363" s="338"/>
      <c r="IX363" s="68"/>
      <c r="IY363" s="68"/>
      <c r="IZ363" s="68"/>
      <c r="JA363" s="68"/>
      <c r="JB363" s="68"/>
      <c r="JC363" s="68"/>
      <c r="JD363" s="10"/>
      <c r="JG363" s="338"/>
      <c r="JH363" s="338"/>
      <c r="JI363" s="338"/>
      <c r="JM363" s="338"/>
      <c r="JN363" s="338"/>
      <c r="JQ363" s="338"/>
      <c r="JR363" s="338"/>
      <c r="JS363" s="338"/>
      <c r="JW363" s="358"/>
      <c r="JX363" s="336"/>
      <c r="JY363" s="336"/>
      <c r="JZ363" s="336"/>
      <c r="KA363" s="336"/>
      <c r="KB363" s="336"/>
      <c r="KC363" s="336"/>
      <c r="KD363" s="336"/>
      <c r="KE363" s="336"/>
      <c r="KF363" s="336"/>
      <c r="KG363" s="337"/>
      <c r="KH363" s="338"/>
      <c r="KI363" s="338"/>
      <c r="KJ363" s="338"/>
      <c r="KK363" s="338"/>
      <c r="KL363" s="338"/>
      <c r="KM363" s="338"/>
      <c r="KN363" s="338"/>
      <c r="KO363" s="338"/>
      <c r="KP363" s="338"/>
      <c r="KQ363" s="338"/>
      <c r="KR363" s="338"/>
      <c r="KS363" s="338"/>
      <c r="KT363" s="338"/>
      <c r="KU363" s="338"/>
      <c r="KV363" s="338"/>
      <c r="KW363" s="337"/>
      <c r="KX363" s="336"/>
      <c r="KY363" s="336"/>
      <c r="KZ363" s="336"/>
      <c r="LA363" s="336"/>
      <c r="LB363" s="336"/>
      <c r="LC363" s="336"/>
      <c r="LD363" s="336"/>
      <c r="LE363" s="336"/>
      <c r="LF363" s="336"/>
      <c r="LG363" s="336"/>
      <c r="LH363" s="336"/>
      <c r="LI363" s="336"/>
      <c r="LJ363" s="336"/>
      <c r="LK363" s="336"/>
      <c r="LL363" s="336"/>
      <c r="LM363" s="336"/>
      <c r="LN363" s="336"/>
      <c r="LO363" s="336"/>
      <c r="LP363" s="336"/>
      <c r="LQ363" s="337"/>
      <c r="MN363" s="10"/>
      <c r="OA363" s="10"/>
    </row>
    <row r="364" spans="1:391" s="370" customFormat="1" x14ac:dyDescent="0.25">
      <c r="A364" s="68"/>
      <c r="B364" s="10"/>
      <c r="C364" s="68"/>
      <c r="D364" s="68"/>
      <c r="E364" s="68"/>
      <c r="F364" s="68"/>
      <c r="G364" s="68"/>
      <c r="H364" s="68"/>
      <c r="I364" s="68"/>
      <c r="J364" s="68"/>
      <c r="K364" s="68"/>
      <c r="L364" s="68"/>
      <c r="M364" s="68"/>
      <c r="N364" s="68"/>
      <c r="O364" s="68"/>
      <c r="P364" s="68"/>
      <c r="Q364" s="68"/>
      <c r="R364" s="68"/>
      <c r="S364" s="68"/>
      <c r="T364" s="70"/>
      <c r="AC364" s="68"/>
      <c r="AD364" s="70"/>
      <c r="AM364" s="68"/>
      <c r="AN364" s="70"/>
      <c r="AU364" s="68"/>
      <c r="AV364" s="70"/>
      <c r="BB364" s="68"/>
      <c r="BC364" s="70"/>
      <c r="BD364" s="68"/>
      <c r="BE364" s="68"/>
      <c r="BF364" s="68"/>
      <c r="BG364" s="68"/>
      <c r="BH364" s="68"/>
      <c r="BI364" s="68"/>
      <c r="BJ364" s="70"/>
      <c r="BM364" s="68"/>
      <c r="BN364" s="70"/>
      <c r="BT364" s="68"/>
      <c r="BU364" s="70"/>
      <c r="BZ364" s="10"/>
      <c r="CF364" s="10"/>
      <c r="CI364" s="389"/>
      <c r="CJ364" s="389"/>
      <c r="CK364" s="68"/>
      <c r="CL364" s="70"/>
      <c r="CO364" s="10"/>
      <c r="CU364" s="10"/>
      <c r="DA364" s="10"/>
      <c r="DB364" s="70"/>
      <c r="DC364" s="70"/>
      <c r="DF364" s="68"/>
      <c r="DG364" s="70"/>
      <c r="DH364" s="68"/>
      <c r="DI364" s="386"/>
      <c r="DJ364" s="425"/>
      <c r="DL364" s="68"/>
      <c r="DM364" s="70"/>
      <c r="DQ364" s="68"/>
      <c r="DR364" s="70"/>
      <c r="DS364" s="338"/>
      <c r="DT364" s="338"/>
      <c r="DU364" s="338"/>
      <c r="DW364" s="338"/>
      <c r="DX364" s="338"/>
      <c r="DY364" s="338"/>
      <c r="EA364" s="338"/>
      <c r="EB364" s="338"/>
      <c r="EC364" s="338"/>
      <c r="EE364" s="338"/>
      <c r="EF364" s="338"/>
      <c r="EG364" s="338"/>
      <c r="EI364" s="336"/>
      <c r="EJ364" s="336"/>
      <c r="EK364" s="336"/>
      <c r="EL364" s="336"/>
      <c r="EM364" s="336"/>
      <c r="EN364" s="336"/>
      <c r="EO364" s="337"/>
      <c r="EP364" s="342"/>
      <c r="EQ364" s="336"/>
      <c r="ER364" s="342"/>
      <c r="ES364" s="336"/>
      <c r="ET364" s="342"/>
      <c r="EU364" s="336"/>
      <c r="EV364" s="342"/>
      <c r="EW364" s="336"/>
      <c r="EX364" s="342"/>
      <c r="EY364" s="342"/>
      <c r="EZ364" s="342"/>
      <c r="FA364" s="337"/>
      <c r="FE364" s="338"/>
      <c r="FH364" s="338"/>
      <c r="FI364" s="338"/>
      <c r="FJ364" s="338"/>
      <c r="FK364" s="338"/>
      <c r="FL364" s="338"/>
      <c r="FM364" s="337"/>
      <c r="FN364" s="336"/>
      <c r="FO364" s="336"/>
      <c r="FP364" s="336"/>
      <c r="FQ364" s="336"/>
      <c r="FR364" s="336"/>
      <c r="FS364" s="336"/>
      <c r="FT364" s="336"/>
      <c r="FU364" s="336"/>
      <c r="FV364" s="336"/>
      <c r="FW364" s="337"/>
      <c r="FX364" s="532"/>
      <c r="FY364" s="341"/>
      <c r="FZ364" s="341"/>
      <c r="GA364" s="336"/>
      <c r="GB364" s="341"/>
      <c r="GC364" s="341"/>
      <c r="GD364" s="341"/>
      <c r="GE364" s="336"/>
      <c r="GF364" s="336"/>
      <c r="GG364" s="336"/>
      <c r="GH364" s="336"/>
      <c r="GI364" s="336"/>
      <c r="GJ364" s="337"/>
      <c r="GM364" s="338"/>
      <c r="GN364" s="338"/>
      <c r="GO364" s="338"/>
      <c r="GS364" s="338"/>
      <c r="GT364" s="338"/>
      <c r="GU364" s="338"/>
      <c r="GY364" s="338"/>
      <c r="GZ364" s="338"/>
      <c r="HA364" s="338"/>
      <c r="HE364" s="338"/>
      <c r="HF364" s="338"/>
      <c r="HG364" s="338"/>
      <c r="HN364" s="68"/>
      <c r="HO364" s="68"/>
      <c r="HP364" s="68"/>
      <c r="HQ364" s="336"/>
      <c r="HR364" s="68"/>
      <c r="HS364" s="68"/>
      <c r="HT364" s="10"/>
      <c r="HW364" s="338"/>
      <c r="HX364" s="338"/>
      <c r="HY364" s="338"/>
      <c r="IC364" s="338"/>
      <c r="ID364" s="338"/>
      <c r="IE364" s="338"/>
      <c r="II364" s="338"/>
      <c r="IJ364" s="338"/>
      <c r="IK364" s="338"/>
      <c r="IO364" s="338"/>
      <c r="IP364" s="338"/>
      <c r="IQ364" s="338"/>
      <c r="IX364" s="68"/>
      <c r="IY364" s="68"/>
      <c r="IZ364" s="68"/>
      <c r="JA364" s="68"/>
      <c r="JB364" s="68"/>
      <c r="JC364" s="68"/>
      <c r="JD364" s="10"/>
      <c r="JG364" s="338"/>
      <c r="JH364" s="338"/>
      <c r="JI364" s="338"/>
      <c r="JM364" s="338"/>
      <c r="JN364" s="338"/>
      <c r="JQ364" s="338"/>
      <c r="JR364" s="338"/>
      <c r="JS364" s="338"/>
      <c r="JW364" s="358"/>
      <c r="JX364" s="336"/>
      <c r="JY364" s="336"/>
      <c r="JZ364" s="336"/>
      <c r="KA364" s="336"/>
      <c r="KB364" s="336"/>
      <c r="KC364" s="336"/>
      <c r="KD364" s="336"/>
      <c r="KE364" s="336"/>
      <c r="KF364" s="336"/>
      <c r="KG364" s="337"/>
      <c r="KH364" s="338"/>
      <c r="KI364" s="338"/>
      <c r="KJ364" s="338"/>
      <c r="KK364" s="338"/>
      <c r="KL364" s="338"/>
      <c r="KM364" s="338"/>
      <c r="KN364" s="338"/>
      <c r="KO364" s="338"/>
      <c r="KP364" s="338"/>
      <c r="KQ364" s="338"/>
      <c r="KR364" s="338"/>
      <c r="KS364" s="338"/>
      <c r="KT364" s="338"/>
      <c r="KU364" s="338"/>
      <c r="KV364" s="338"/>
      <c r="KW364" s="337"/>
      <c r="KX364" s="336"/>
      <c r="KY364" s="336"/>
      <c r="KZ364" s="336"/>
      <c r="LA364" s="336"/>
      <c r="LB364" s="336"/>
      <c r="LC364" s="336"/>
      <c r="LD364" s="336"/>
      <c r="LE364" s="336"/>
      <c r="LF364" s="336"/>
      <c r="LG364" s="336"/>
      <c r="LH364" s="336"/>
      <c r="LI364" s="336"/>
      <c r="LJ364" s="336"/>
      <c r="LK364" s="336"/>
      <c r="LL364" s="336"/>
      <c r="LM364" s="336"/>
      <c r="LN364" s="336"/>
      <c r="LO364" s="336"/>
      <c r="LP364" s="336"/>
      <c r="LQ364" s="337"/>
      <c r="MN364" s="10"/>
      <c r="OA364" s="10"/>
    </row>
    <row r="365" spans="1:391" s="370" customFormat="1" x14ac:dyDescent="0.25">
      <c r="A365" s="68"/>
      <c r="B365" s="10"/>
      <c r="C365" s="68"/>
      <c r="D365" s="68"/>
      <c r="E365" s="68"/>
      <c r="F365" s="68"/>
      <c r="G365" s="68"/>
      <c r="H365" s="68"/>
      <c r="I365" s="68"/>
      <c r="J365" s="68"/>
      <c r="K365" s="68"/>
      <c r="L365" s="68"/>
      <c r="M365" s="68"/>
      <c r="N365" s="68"/>
      <c r="O365" s="68"/>
      <c r="P365" s="68"/>
      <c r="Q365" s="68"/>
      <c r="R365" s="68"/>
      <c r="S365" s="68"/>
      <c r="T365" s="70"/>
      <c r="AC365" s="68"/>
      <c r="AD365" s="70"/>
      <c r="AM365" s="68"/>
      <c r="AN365" s="70"/>
      <c r="AU365" s="68"/>
      <c r="AV365" s="70"/>
      <c r="BB365" s="68"/>
      <c r="BC365" s="70"/>
      <c r="BD365" s="68"/>
      <c r="BE365" s="68"/>
      <c r="BF365" s="68"/>
      <c r="BG365" s="68"/>
      <c r="BH365" s="68"/>
      <c r="BI365" s="68"/>
      <c r="BJ365" s="70"/>
      <c r="BM365" s="68"/>
      <c r="BN365" s="70"/>
      <c r="BT365" s="68"/>
      <c r="BU365" s="70"/>
      <c r="BZ365" s="10"/>
      <c r="CF365" s="10"/>
      <c r="CI365" s="389"/>
      <c r="CJ365" s="389"/>
      <c r="CK365" s="68"/>
      <c r="CL365" s="70"/>
      <c r="CO365" s="10"/>
      <c r="CU365" s="10"/>
      <c r="DA365" s="10"/>
      <c r="DB365" s="70"/>
      <c r="DC365" s="70"/>
      <c r="DF365" s="68"/>
      <c r="DG365" s="70"/>
      <c r="DH365" s="68"/>
      <c r="DI365" s="386"/>
      <c r="DJ365" s="425"/>
      <c r="DL365" s="68"/>
      <c r="DM365" s="70"/>
      <c r="DQ365" s="68"/>
      <c r="DR365" s="70"/>
      <c r="DS365" s="338"/>
      <c r="DT365" s="338"/>
      <c r="DU365" s="338"/>
      <c r="DW365" s="338"/>
      <c r="DX365" s="338"/>
      <c r="DY365" s="338"/>
      <c r="EA365" s="338"/>
      <c r="EB365" s="338"/>
      <c r="EC365" s="338"/>
      <c r="EE365" s="338"/>
      <c r="EF365" s="338"/>
      <c r="EG365" s="338"/>
      <c r="EI365" s="336"/>
      <c r="EJ365" s="336"/>
      <c r="EK365" s="336"/>
      <c r="EL365" s="336"/>
      <c r="EM365" s="336"/>
      <c r="EN365" s="336"/>
      <c r="EO365" s="337"/>
      <c r="EP365" s="342"/>
      <c r="EQ365" s="336"/>
      <c r="ER365" s="342"/>
      <c r="ES365" s="336"/>
      <c r="ET365" s="342"/>
      <c r="EU365" s="336"/>
      <c r="EV365" s="342"/>
      <c r="EW365" s="336"/>
      <c r="EX365" s="342"/>
      <c r="EY365" s="342"/>
      <c r="EZ365" s="342"/>
      <c r="FA365" s="337"/>
      <c r="FE365" s="338"/>
      <c r="FH365" s="338"/>
      <c r="FI365" s="338"/>
      <c r="FJ365" s="338"/>
      <c r="FK365" s="338"/>
      <c r="FL365" s="338"/>
      <c r="FM365" s="337"/>
      <c r="FN365" s="336"/>
      <c r="FO365" s="336"/>
      <c r="FP365" s="336"/>
      <c r="FQ365" s="336"/>
      <c r="FR365" s="336"/>
      <c r="FS365" s="336"/>
      <c r="FT365" s="336"/>
      <c r="FU365" s="336"/>
      <c r="FV365" s="336"/>
      <c r="FW365" s="337"/>
      <c r="FX365" s="532"/>
      <c r="FY365" s="341"/>
      <c r="FZ365" s="341"/>
      <c r="GA365" s="336"/>
      <c r="GB365" s="341"/>
      <c r="GC365" s="341"/>
      <c r="GD365" s="341"/>
      <c r="GE365" s="336"/>
      <c r="GF365" s="336"/>
      <c r="GG365" s="336"/>
      <c r="GH365" s="336"/>
      <c r="GI365" s="336"/>
      <c r="GJ365" s="337"/>
      <c r="GM365" s="338"/>
      <c r="GN365" s="338"/>
      <c r="GO365" s="338"/>
      <c r="GS365" s="338"/>
      <c r="GT365" s="338"/>
      <c r="GU365" s="338"/>
      <c r="GY365" s="338"/>
      <c r="GZ365" s="338"/>
      <c r="HA365" s="338"/>
      <c r="HE365" s="338"/>
      <c r="HF365" s="338"/>
      <c r="HG365" s="338"/>
      <c r="HN365" s="68"/>
      <c r="HO365" s="68"/>
      <c r="HP365" s="68"/>
      <c r="HQ365" s="336"/>
      <c r="HR365" s="68"/>
      <c r="HS365" s="68"/>
      <c r="HT365" s="10"/>
      <c r="HW365" s="338"/>
      <c r="HX365" s="338"/>
      <c r="HY365" s="338"/>
      <c r="IC365" s="338"/>
      <c r="ID365" s="338"/>
      <c r="IE365" s="338"/>
      <c r="II365" s="338"/>
      <c r="IJ365" s="338"/>
      <c r="IK365" s="338"/>
      <c r="IO365" s="338"/>
      <c r="IP365" s="338"/>
      <c r="IQ365" s="338"/>
      <c r="IX365" s="68"/>
      <c r="IY365" s="68"/>
      <c r="IZ365" s="68"/>
      <c r="JA365" s="68"/>
      <c r="JB365" s="68"/>
      <c r="JC365" s="68"/>
      <c r="JD365" s="10"/>
      <c r="JG365" s="338"/>
      <c r="JH365" s="338"/>
      <c r="JI365" s="338"/>
      <c r="JM365" s="338"/>
      <c r="JN365" s="338"/>
      <c r="JQ365" s="338"/>
      <c r="JR365" s="338"/>
      <c r="JS365" s="338"/>
      <c r="JW365" s="358"/>
      <c r="JX365" s="336"/>
      <c r="JY365" s="336"/>
      <c r="JZ365" s="336"/>
      <c r="KA365" s="336"/>
      <c r="KB365" s="336"/>
      <c r="KC365" s="336"/>
      <c r="KD365" s="336"/>
      <c r="KE365" s="336"/>
      <c r="KF365" s="336"/>
      <c r="KG365" s="337"/>
      <c r="KH365" s="338"/>
      <c r="KI365" s="338"/>
      <c r="KJ365" s="338"/>
      <c r="KK365" s="338"/>
      <c r="KL365" s="338"/>
      <c r="KM365" s="338"/>
      <c r="KN365" s="338"/>
      <c r="KO365" s="338"/>
      <c r="KP365" s="338"/>
      <c r="KQ365" s="338"/>
      <c r="KR365" s="338"/>
      <c r="KS365" s="338"/>
      <c r="KT365" s="338"/>
      <c r="KU365" s="338"/>
      <c r="KV365" s="338"/>
      <c r="KW365" s="337"/>
      <c r="KX365" s="336"/>
      <c r="KY365" s="336"/>
      <c r="KZ365" s="336"/>
      <c r="LA365" s="336"/>
      <c r="LB365" s="336"/>
      <c r="LC365" s="336"/>
      <c r="LD365" s="336"/>
      <c r="LE365" s="336"/>
      <c r="LF365" s="336"/>
      <c r="LG365" s="336"/>
      <c r="LH365" s="336"/>
      <c r="LI365" s="336"/>
      <c r="LJ365" s="336"/>
      <c r="LK365" s="336"/>
      <c r="LL365" s="336"/>
      <c r="LM365" s="336"/>
      <c r="LN365" s="336"/>
      <c r="LO365" s="336"/>
      <c r="LP365" s="336"/>
      <c r="LQ365" s="337"/>
      <c r="MN365" s="10"/>
      <c r="OA365" s="10"/>
    </row>
    <row r="366" spans="1:391" s="370" customFormat="1" x14ac:dyDescent="0.25">
      <c r="A366" s="68"/>
      <c r="B366" s="10"/>
      <c r="C366" s="68"/>
      <c r="D366" s="68"/>
      <c r="E366" s="68"/>
      <c r="F366" s="68"/>
      <c r="G366" s="68"/>
      <c r="H366" s="68"/>
      <c r="I366" s="68"/>
      <c r="J366" s="68"/>
      <c r="K366" s="68"/>
      <c r="L366" s="68"/>
      <c r="M366" s="68"/>
      <c r="N366" s="68"/>
      <c r="O366" s="68"/>
      <c r="P366" s="68"/>
      <c r="Q366" s="68"/>
      <c r="R366" s="68"/>
      <c r="S366" s="68"/>
      <c r="T366" s="70"/>
      <c r="AC366" s="68"/>
      <c r="AD366" s="70"/>
      <c r="AM366" s="68"/>
      <c r="AN366" s="70"/>
      <c r="AU366" s="68"/>
      <c r="AV366" s="70"/>
      <c r="BB366" s="68"/>
      <c r="BC366" s="70"/>
      <c r="BD366" s="68"/>
      <c r="BE366" s="68"/>
      <c r="BF366" s="68"/>
      <c r="BG366" s="68"/>
      <c r="BH366" s="68"/>
      <c r="BI366" s="68"/>
      <c r="BJ366" s="70"/>
      <c r="BM366" s="68"/>
      <c r="BN366" s="70"/>
      <c r="BT366" s="68"/>
      <c r="BU366" s="70"/>
      <c r="BZ366" s="10"/>
      <c r="CF366" s="10"/>
      <c r="CI366" s="389"/>
      <c r="CJ366" s="389"/>
      <c r="CK366" s="68"/>
      <c r="CL366" s="70"/>
      <c r="CO366" s="10"/>
      <c r="CU366" s="10"/>
      <c r="DA366" s="10"/>
      <c r="DB366" s="70"/>
      <c r="DC366" s="70"/>
      <c r="DF366" s="68"/>
      <c r="DG366" s="70"/>
      <c r="DH366" s="68"/>
      <c r="DI366" s="386"/>
      <c r="DJ366" s="425"/>
      <c r="DL366" s="68"/>
      <c r="DM366" s="70"/>
      <c r="DQ366" s="68"/>
      <c r="DR366" s="70"/>
      <c r="DS366" s="338"/>
      <c r="DT366" s="338"/>
      <c r="DU366" s="338"/>
      <c r="DW366" s="338"/>
      <c r="DX366" s="338"/>
      <c r="DY366" s="338"/>
      <c r="EA366" s="338"/>
      <c r="EB366" s="338"/>
      <c r="EC366" s="338"/>
      <c r="EE366" s="338"/>
      <c r="EF366" s="338"/>
      <c r="EG366" s="338"/>
      <c r="EI366" s="336"/>
      <c r="EJ366" s="336"/>
      <c r="EK366" s="336"/>
      <c r="EL366" s="336"/>
      <c r="EM366" s="336"/>
      <c r="EN366" s="336"/>
      <c r="EO366" s="337"/>
      <c r="EP366" s="342"/>
      <c r="EQ366" s="336"/>
      <c r="ER366" s="342"/>
      <c r="ES366" s="336"/>
      <c r="ET366" s="342"/>
      <c r="EU366" s="336"/>
      <c r="EV366" s="342"/>
      <c r="EW366" s="336"/>
      <c r="EX366" s="342"/>
      <c r="EY366" s="342"/>
      <c r="EZ366" s="342"/>
      <c r="FA366" s="337"/>
      <c r="FE366" s="338"/>
      <c r="FH366" s="338"/>
      <c r="FI366" s="338"/>
      <c r="FJ366" s="338"/>
      <c r="FK366" s="338"/>
      <c r="FL366" s="338"/>
      <c r="FM366" s="337"/>
      <c r="FN366" s="336"/>
      <c r="FO366" s="336"/>
      <c r="FP366" s="336"/>
      <c r="FQ366" s="336"/>
      <c r="FR366" s="336"/>
      <c r="FS366" s="336"/>
      <c r="FT366" s="336"/>
      <c r="FU366" s="336"/>
      <c r="FV366" s="336"/>
      <c r="FW366" s="337"/>
      <c r="FX366" s="532"/>
      <c r="FY366" s="341"/>
      <c r="FZ366" s="341"/>
      <c r="GA366" s="336"/>
      <c r="GB366" s="341"/>
      <c r="GC366" s="341"/>
      <c r="GD366" s="341"/>
      <c r="GE366" s="336"/>
      <c r="GF366" s="336"/>
      <c r="GG366" s="336"/>
      <c r="GH366" s="336"/>
      <c r="GI366" s="336"/>
      <c r="GJ366" s="337"/>
      <c r="GM366" s="338"/>
      <c r="GN366" s="338"/>
      <c r="GO366" s="338"/>
      <c r="GS366" s="338"/>
      <c r="GT366" s="338"/>
      <c r="GU366" s="338"/>
      <c r="GY366" s="338"/>
      <c r="GZ366" s="338"/>
      <c r="HA366" s="338"/>
      <c r="HE366" s="338"/>
      <c r="HF366" s="338"/>
      <c r="HG366" s="338"/>
      <c r="HN366" s="68"/>
      <c r="HO366" s="68"/>
      <c r="HP366" s="68"/>
      <c r="HQ366" s="336"/>
      <c r="HR366" s="68"/>
      <c r="HS366" s="68"/>
      <c r="HT366" s="10"/>
      <c r="HW366" s="338"/>
      <c r="HX366" s="338"/>
      <c r="HY366" s="338"/>
      <c r="IC366" s="338"/>
      <c r="ID366" s="338"/>
      <c r="IE366" s="338"/>
      <c r="II366" s="338"/>
      <c r="IJ366" s="338"/>
      <c r="IK366" s="338"/>
      <c r="IO366" s="338"/>
      <c r="IP366" s="338"/>
      <c r="IQ366" s="338"/>
      <c r="IX366" s="68"/>
      <c r="IY366" s="68"/>
      <c r="IZ366" s="68"/>
      <c r="JA366" s="68"/>
      <c r="JB366" s="68"/>
      <c r="JC366" s="68"/>
      <c r="JD366" s="10"/>
      <c r="JG366" s="338"/>
      <c r="JH366" s="338"/>
      <c r="JI366" s="338"/>
      <c r="JM366" s="338"/>
      <c r="JN366" s="338"/>
      <c r="JQ366" s="338"/>
      <c r="JR366" s="338"/>
      <c r="JS366" s="338"/>
      <c r="JW366" s="358"/>
      <c r="JX366" s="336"/>
      <c r="JY366" s="336"/>
      <c r="JZ366" s="336"/>
      <c r="KA366" s="336"/>
      <c r="KB366" s="336"/>
      <c r="KC366" s="336"/>
      <c r="KD366" s="336"/>
      <c r="KE366" s="336"/>
      <c r="KF366" s="336"/>
      <c r="KG366" s="337"/>
      <c r="KH366" s="338"/>
      <c r="KI366" s="338"/>
      <c r="KJ366" s="338"/>
      <c r="KK366" s="338"/>
      <c r="KL366" s="338"/>
      <c r="KM366" s="338"/>
      <c r="KN366" s="338"/>
      <c r="KO366" s="338"/>
      <c r="KP366" s="338"/>
      <c r="KQ366" s="338"/>
      <c r="KR366" s="338"/>
      <c r="KS366" s="338"/>
      <c r="KT366" s="338"/>
      <c r="KU366" s="338"/>
      <c r="KV366" s="338"/>
      <c r="KW366" s="337"/>
      <c r="KX366" s="336"/>
      <c r="KY366" s="336"/>
      <c r="KZ366" s="336"/>
      <c r="LA366" s="336"/>
      <c r="LB366" s="336"/>
      <c r="LC366" s="336"/>
      <c r="LD366" s="336"/>
      <c r="LE366" s="336"/>
      <c r="LF366" s="336"/>
      <c r="LG366" s="336"/>
      <c r="LH366" s="336"/>
      <c r="LI366" s="336"/>
      <c r="LJ366" s="336"/>
      <c r="LK366" s="336"/>
      <c r="LL366" s="336"/>
      <c r="LM366" s="336"/>
      <c r="LN366" s="336"/>
      <c r="LO366" s="336"/>
      <c r="LP366" s="336"/>
      <c r="LQ366" s="337"/>
      <c r="MN366" s="10"/>
      <c r="OA366" s="10"/>
    </row>
    <row r="367" spans="1:391" s="370" customFormat="1" x14ac:dyDescent="0.25">
      <c r="A367" s="68"/>
      <c r="B367" s="10"/>
      <c r="C367" s="68"/>
      <c r="D367" s="68"/>
      <c r="E367" s="68"/>
      <c r="F367" s="68"/>
      <c r="G367" s="68"/>
      <c r="H367" s="68"/>
      <c r="I367" s="68"/>
      <c r="J367" s="68"/>
      <c r="K367" s="68"/>
      <c r="L367" s="68"/>
      <c r="M367" s="68"/>
      <c r="N367" s="68"/>
      <c r="O367" s="68"/>
      <c r="P367" s="68"/>
      <c r="Q367" s="68"/>
      <c r="R367" s="68"/>
      <c r="S367" s="68"/>
      <c r="T367" s="70"/>
      <c r="AC367" s="68"/>
      <c r="AD367" s="70"/>
      <c r="AM367" s="68"/>
      <c r="AN367" s="70"/>
      <c r="AU367" s="68"/>
      <c r="AV367" s="70"/>
      <c r="BB367" s="68"/>
      <c r="BC367" s="70"/>
      <c r="BD367" s="68"/>
      <c r="BE367" s="68"/>
      <c r="BF367" s="68"/>
      <c r="BG367" s="68"/>
      <c r="BH367" s="68"/>
      <c r="BI367" s="68"/>
      <c r="BJ367" s="70"/>
      <c r="BM367" s="68"/>
      <c r="BN367" s="70"/>
      <c r="BT367" s="68"/>
      <c r="BU367" s="70"/>
      <c r="BZ367" s="10"/>
      <c r="CF367" s="10"/>
      <c r="CI367" s="389"/>
      <c r="CJ367" s="389"/>
      <c r="CK367" s="68"/>
      <c r="CL367" s="70"/>
      <c r="CO367" s="10"/>
      <c r="CU367" s="10"/>
      <c r="DA367" s="10"/>
      <c r="DB367" s="70"/>
      <c r="DC367" s="70"/>
      <c r="DF367" s="68"/>
      <c r="DG367" s="70"/>
      <c r="DH367" s="68"/>
      <c r="DI367" s="386"/>
      <c r="DJ367" s="425"/>
      <c r="DL367" s="68"/>
      <c r="DM367" s="70"/>
      <c r="DQ367" s="68"/>
      <c r="DR367" s="70"/>
      <c r="DS367" s="338"/>
      <c r="DT367" s="338"/>
      <c r="DU367" s="338"/>
      <c r="DW367" s="338"/>
      <c r="DX367" s="338"/>
      <c r="DY367" s="338"/>
      <c r="EA367" s="338"/>
      <c r="EB367" s="338"/>
      <c r="EC367" s="338"/>
      <c r="EE367" s="338"/>
      <c r="EF367" s="338"/>
      <c r="EG367" s="338"/>
      <c r="EI367" s="336"/>
      <c r="EJ367" s="336"/>
      <c r="EK367" s="336"/>
      <c r="EL367" s="336"/>
      <c r="EM367" s="336"/>
      <c r="EN367" s="336"/>
      <c r="EO367" s="337"/>
      <c r="EP367" s="342"/>
      <c r="EQ367" s="336"/>
      <c r="ER367" s="342"/>
      <c r="ES367" s="336"/>
      <c r="ET367" s="342"/>
      <c r="EU367" s="336"/>
      <c r="EV367" s="342"/>
      <c r="EW367" s="336"/>
      <c r="EX367" s="342"/>
      <c r="EY367" s="342"/>
      <c r="EZ367" s="342"/>
      <c r="FA367" s="337"/>
      <c r="FE367" s="338"/>
      <c r="FH367" s="338"/>
      <c r="FI367" s="338"/>
      <c r="FJ367" s="338"/>
      <c r="FK367" s="338"/>
      <c r="FL367" s="338"/>
      <c r="FM367" s="337"/>
      <c r="FN367" s="336"/>
      <c r="FO367" s="336"/>
      <c r="FP367" s="336"/>
      <c r="FQ367" s="336"/>
      <c r="FR367" s="336"/>
      <c r="FS367" s="336"/>
      <c r="FT367" s="336"/>
      <c r="FU367" s="336"/>
      <c r="FV367" s="336"/>
      <c r="FW367" s="337"/>
      <c r="FX367" s="532"/>
      <c r="FY367" s="341"/>
      <c r="FZ367" s="341"/>
      <c r="GA367" s="336"/>
      <c r="GB367" s="341"/>
      <c r="GC367" s="341"/>
      <c r="GD367" s="341"/>
      <c r="GE367" s="336"/>
      <c r="GF367" s="336"/>
      <c r="GG367" s="336"/>
      <c r="GH367" s="336"/>
      <c r="GI367" s="336"/>
      <c r="GJ367" s="337"/>
      <c r="GM367" s="338"/>
      <c r="GN367" s="338"/>
      <c r="GO367" s="338"/>
      <c r="GS367" s="338"/>
      <c r="GT367" s="338"/>
      <c r="GU367" s="338"/>
      <c r="GY367" s="338"/>
      <c r="GZ367" s="338"/>
      <c r="HA367" s="338"/>
      <c r="HE367" s="338"/>
      <c r="HF367" s="338"/>
      <c r="HG367" s="338"/>
      <c r="HN367" s="68"/>
      <c r="HO367" s="68"/>
      <c r="HP367" s="68"/>
      <c r="HQ367" s="336"/>
      <c r="HR367" s="68"/>
      <c r="HS367" s="68"/>
      <c r="HT367" s="10"/>
      <c r="HW367" s="338"/>
      <c r="HX367" s="338"/>
      <c r="HY367" s="338"/>
      <c r="IC367" s="338"/>
      <c r="ID367" s="338"/>
      <c r="IE367" s="338"/>
      <c r="II367" s="338"/>
      <c r="IJ367" s="338"/>
      <c r="IK367" s="338"/>
      <c r="IO367" s="338"/>
      <c r="IP367" s="338"/>
      <c r="IQ367" s="338"/>
      <c r="IX367" s="68"/>
      <c r="IY367" s="68"/>
      <c r="IZ367" s="68"/>
      <c r="JA367" s="68"/>
      <c r="JB367" s="68"/>
      <c r="JC367" s="68"/>
      <c r="JD367" s="10"/>
      <c r="JG367" s="338"/>
      <c r="JH367" s="338"/>
      <c r="JI367" s="338"/>
      <c r="JM367" s="338"/>
      <c r="JN367" s="338"/>
      <c r="JQ367" s="338"/>
      <c r="JR367" s="338"/>
      <c r="JS367" s="338"/>
      <c r="JW367" s="358"/>
      <c r="JX367" s="336"/>
      <c r="JY367" s="336"/>
      <c r="JZ367" s="336"/>
      <c r="KA367" s="336"/>
      <c r="KB367" s="336"/>
      <c r="KC367" s="336"/>
      <c r="KD367" s="336"/>
      <c r="KE367" s="336"/>
      <c r="KF367" s="336"/>
      <c r="KG367" s="337"/>
      <c r="KH367" s="338"/>
      <c r="KI367" s="338"/>
      <c r="KJ367" s="338"/>
      <c r="KK367" s="338"/>
      <c r="KL367" s="338"/>
      <c r="KM367" s="338"/>
      <c r="KN367" s="338"/>
      <c r="KO367" s="338"/>
      <c r="KP367" s="338"/>
      <c r="KQ367" s="338"/>
      <c r="KR367" s="338"/>
      <c r="KS367" s="338"/>
      <c r="KT367" s="338"/>
      <c r="KU367" s="338"/>
      <c r="KV367" s="338"/>
      <c r="KW367" s="337"/>
      <c r="KX367" s="336"/>
      <c r="KY367" s="336"/>
      <c r="KZ367" s="336"/>
      <c r="LA367" s="336"/>
      <c r="LB367" s="336"/>
      <c r="LC367" s="336"/>
      <c r="LD367" s="336"/>
      <c r="LE367" s="336"/>
      <c r="LF367" s="336"/>
      <c r="LG367" s="336"/>
      <c r="LH367" s="336"/>
      <c r="LI367" s="336"/>
      <c r="LJ367" s="336"/>
      <c r="LK367" s="336"/>
      <c r="LL367" s="336"/>
      <c r="LM367" s="336"/>
      <c r="LN367" s="336"/>
      <c r="LO367" s="336"/>
      <c r="LP367" s="336"/>
      <c r="LQ367" s="337"/>
      <c r="MN367" s="10"/>
      <c r="OA367" s="10"/>
    </row>
    <row r="368" spans="1:391" s="370" customFormat="1" x14ac:dyDescent="0.25">
      <c r="A368" s="68"/>
      <c r="B368" s="10"/>
      <c r="C368" s="68"/>
      <c r="D368" s="68"/>
      <c r="E368" s="68"/>
      <c r="F368" s="68"/>
      <c r="G368" s="68"/>
      <c r="H368" s="68"/>
      <c r="I368" s="68"/>
      <c r="J368" s="68"/>
      <c r="K368" s="68"/>
      <c r="L368" s="68"/>
      <c r="M368" s="68"/>
      <c r="N368" s="68"/>
      <c r="O368" s="68"/>
      <c r="P368" s="68"/>
      <c r="Q368" s="68"/>
      <c r="R368" s="68"/>
      <c r="S368" s="68"/>
      <c r="T368" s="70"/>
      <c r="AC368" s="68"/>
      <c r="AD368" s="70"/>
      <c r="AM368" s="68"/>
      <c r="AN368" s="70"/>
      <c r="AU368" s="68"/>
      <c r="AV368" s="70"/>
      <c r="BB368" s="68"/>
      <c r="BC368" s="70"/>
      <c r="BD368" s="68"/>
      <c r="BE368" s="68"/>
      <c r="BF368" s="68"/>
      <c r="BG368" s="68"/>
      <c r="BH368" s="68"/>
      <c r="BI368" s="68"/>
      <c r="BJ368" s="70"/>
      <c r="BM368" s="68"/>
      <c r="BN368" s="70"/>
      <c r="BT368" s="68"/>
      <c r="BU368" s="70"/>
      <c r="BZ368" s="10"/>
      <c r="CF368" s="10"/>
      <c r="CI368" s="389"/>
      <c r="CJ368" s="389"/>
      <c r="CK368" s="68"/>
      <c r="CL368" s="70"/>
      <c r="CO368" s="10"/>
      <c r="CU368" s="10"/>
      <c r="DA368" s="10"/>
      <c r="DB368" s="70"/>
      <c r="DC368" s="70"/>
      <c r="DF368" s="68"/>
      <c r="DG368" s="70"/>
      <c r="DH368" s="68"/>
      <c r="DI368" s="386"/>
      <c r="DJ368" s="425"/>
      <c r="DL368" s="68"/>
      <c r="DM368" s="70"/>
      <c r="DQ368" s="68"/>
      <c r="DR368" s="70"/>
      <c r="DS368" s="338"/>
      <c r="DT368" s="338"/>
      <c r="DU368" s="338"/>
      <c r="DW368" s="338"/>
      <c r="DX368" s="338"/>
      <c r="DY368" s="338"/>
      <c r="EA368" s="338"/>
      <c r="EB368" s="338"/>
      <c r="EC368" s="338"/>
      <c r="EE368" s="338"/>
      <c r="EF368" s="338"/>
      <c r="EG368" s="338"/>
      <c r="EI368" s="336"/>
      <c r="EJ368" s="336"/>
      <c r="EK368" s="336"/>
      <c r="EL368" s="336"/>
      <c r="EM368" s="336"/>
      <c r="EN368" s="336"/>
      <c r="EO368" s="337"/>
      <c r="EP368" s="342"/>
      <c r="EQ368" s="336"/>
      <c r="ER368" s="342"/>
      <c r="ES368" s="336"/>
      <c r="ET368" s="342"/>
      <c r="EU368" s="336"/>
      <c r="EV368" s="342"/>
      <c r="EW368" s="336"/>
      <c r="EX368" s="342"/>
      <c r="EY368" s="342"/>
      <c r="EZ368" s="342"/>
      <c r="FA368" s="337"/>
      <c r="FE368" s="338"/>
      <c r="FH368" s="338"/>
      <c r="FI368" s="338"/>
      <c r="FJ368" s="338"/>
      <c r="FK368" s="338"/>
      <c r="FL368" s="338"/>
      <c r="FM368" s="337"/>
      <c r="FN368" s="336"/>
      <c r="FO368" s="336"/>
      <c r="FP368" s="336"/>
      <c r="FQ368" s="336"/>
      <c r="FR368" s="336"/>
      <c r="FS368" s="336"/>
      <c r="FT368" s="336"/>
      <c r="FU368" s="336"/>
      <c r="FV368" s="336"/>
      <c r="FW368" s="337"/>
      <c r="FX368" s="532"/>
      <c r="FY368" s="341"/>
      <c r="FZ368" s="341"/>
      <c r="GA368" s="336"/>
      <c r="GB368" s="341"/>
      <c r="GC368" s="341"/>
      <c r="GD368" s="341"/>
      <c r="GE368" s="336"/>
      <c r="GF368" s="336"/>
      <c r="GG368" s="336"/>
      <c r="GH368" s="336"/>
      <c r="GI368" s="336"/>
      <c r="GJ368" s="337"/>
      <c r="GM368" s="338"/>
      <c r="GN368" s="338"/>
      <c r="GO368" s="338"/>
      <c r="GS368" s="338"/>
      <c r="GT368" s="338"/>
      <c r="GU368" s="338"/>
      <c r="GY368" s="338"/>
      <c r="GZ368" s="338"/>
      <c r="HA368" s="338"/>
      <c r="HE368" s="338"/>
      <c r="HF368" s="338"/>
      <c r="HG368" s="338"/>
      <c r="HN368" s="68"/>
      <c r="HO368" s="68"/>
      <c r="HP368" s="68"/>
      <c r="HQ368" s="336"/>
      <c r="HR368" s="68"/>
      <c r="HS368" s="68"/>
      <c r="HT368" s="10"/>
      <c r="HW368" s="338"/>
      <c r="HX368" s="338"/>
      <c r="HY368" s="338"/>
      <c r="IC368" s="338"/>
      <c r="ID368" s="338"/>
      <c r="IE368" s="338"/>
      <c r="II368" s="338"/>
      <c r="IJ368" s="338"/>
      <c r="IK368" s="338"/>
      <c r="IO368" s="338"/>
      <c r="IP368" s="338"/>
      <c r="IQ368" s="338"/>
      <c r="IX368" s="68"/>
      <c r="IY368" s="68"/>
      <c r="IZ368" s="68"/>
      <c r="JA368" s="68"/>
      <c r="JB368" s="68"/>
      <c r="JC368" s="68"/>
      <c r="JD368" s="10"/>
      <c r="JG368" s="338"/>
      <c r="JH368" s="338"/>
      <c r="JI368" s="338"/>
      <c r="JM368" s="338"/>
      <c r="JN368" s="338"/>
      <c r="JQ368" s="338"/>
      <c r="JR368" s="338"/>
      <c r="JS368" s="338"/>
      <c r="JW368" s="358"/>
      <c r="JX368" s="336"/>
      <c r="JY368" s="336"/>
      <c r="JZ368" s="336"/>
      <c r="KA368" s="336"/>
      <c r="KB368" s="336"/>
      <c r="KC368" s="336"/>
      <c r="KD368" s="336"/>
      <c r="KE368" s="336"/>
      <c r="KF368" s="336"/>
      <c r="KG368" s="337"/>
      <c r="KH368" s="338"/>
      <c r="KI368" s="338"/>
      <c r="KJ368" s="338"/>
      <c r="KK368" s="338"/>
      <c r="KL368" s="338"/>
      <c r="KM368" s="338"/>
      <c r="KN368" s="338"/>
      <c r="KO368" s="338"/>
      <c r="KP368" s="338"/>
      <c r="KQ368" s="338"/>
      <c r="KR368" s="338"/>
      <c r="KS368" s="338"/>
      <c r="KT368" s="338"/>
      <c r="KU368" s="338"/>
      <c r="KV368" s="338"/>
      <c r="KW368" s="337"/>
      <c r="KX368" s="336"/>
      <c r="KY368" s="336"/>
      <c r="KZ368" s="336"/>
      <c r="LA368" s="336"/>
      <c r="LB368" s="336"/>
      <c r="LC368" s="336"/>
      <c r="LD368" s="336"/>
      <c r="LE368" s="336"/>
      <c r="LF368" s="336"/>
      <c r="LG368" s="336"/>
      <c r="LH368" s="336"/>
      <c r="LI368" s="336"/>
      <c r="LJ368" s="336"/>
      <c r="LK368" s="336"/>
      <c r="LL368" s="336"/>
      <c r="LM368" s="336"/>
      <c r="LN368" s="336"/>
      <c r="LO368" s="336"/>
      <c r="LP368" s="336"/>
      <c r="LQ368" s="337"/>
      <c r="MN368" s="10"/>
      <c r="OA368" s="10"/>
    </row>
    <row r="369" spans="1:391" s="370" customFormat="1" x14ac:dyDescent="0.25">
      <c r="A369" s="68"/>
      <c r="B369" s="10"/>
      <c r="C369" s="68"/>
      <c r="D369" s="68"/>
      <c r="E369" s="68"/>
      <c r="F369" s="68"/>
      <c r="G369" s="68"/>
      <c r="H369" s="68"/>
      <c r="I369" s="68"/>
      <c r="J369" s="68"/>
      <c r="K369" s="68"/>
      <c r="L369" s="68"/>
      <c r="M369" s="68"/>
      <c r="N369" s="68"/>
      <c r="O369" s="68"/>
      <c r="P369" s="68"/>
      <c r="Q369" s="68"/>
      <c r="R369" s="68"/>
      <c r="S369" s="68"/>
      <c r="T369" s="70"/>
      <c r="AC369" s="68"/>
      <c r="AD369" s="70"/>
      <c r="AM369" s="68"/>
      <c r="AN369" s="70"/>
      <c r="AU369" s="68"/>
      <c r="AV369" s="70"/>
      <c r="BB369" s="68"/>
      <c r="BC369" s="70"/>
      <c r="BD369" s="68"/>
      <c r="BE369" s="68"/>
      <c r="BF369" s="68"/>
      <c r="BG369" s="68"/>
      <c r="BH369" s="68"/>
      <c r="BI369" s="68"/>
      <c r="BJ369" s="70"/>
      <c r="BM369" s="68"/>
      <c r="BN369" s="70"/>
      <c r="BT369" s="68"/>
      <c r="BU369" s="70"/>
      <c r="BZ369" s="10"/>
      <c r="CF369" s="10"/>
      <c r="CI369" s="389"/>
      <c r="CJ369" s="389"/>
      <c r="CK369" s="68"/>
      <c r="CL369" s="70"/>
      <c r="CO369" s="10"/>
      <c r="CU369" s="10"/>
      <c r="DA369" s="10"/>
      <c r="DB369" s="70"/>
      <c r="DC369" s="70"/>
      <c r="DF369" s="68"/>
      <c r="DG369" s="70"/>
      <c r="DH369" s="68"/>
      <c r="DI369" s="386"/>
      <c r="DJ369" s="425"/>
      <c r="DL369" s="68"/>
      <c r="DM369" s="70"/>
      <c r="DQ369" s="68"/>
      <c r="DR369" s="70"/>
      <c r="DS369" s="338"/>
      <c r="DT369" s="338"/>
      <c r="DU369" s="338"/>
      <c r="DW369" s="338"/>
      <c r="DX369" s="338"/>
      <c r="DY369" s="338"/>
      <c r="EA369" s="338"/>
      <c r="EB369" s="338"/>
      <c r="EC369" s="338"/>
      <c r="EE369" s="338"/>
      <c r="EF369" s="338"/>
      <c r="EG369" s="338"/>
      <c r="EI369" s="336"/>
      <c r="EJ369" s="336"/>
      <c r="EK369" s="336"/>
      <c r="EL369" s="336"/>
      <c r="EM369" s="336"/>
      <c r="EN369" s="336"/>
      <c r="EO369" s="337"/>
      <c r="EP369" s="342"/>
      <c r="EQ369" s="336"/>
      <c r="ER369" s="342"/>
      <c r="ES369" s="336"/>
      <c r="ET369" s="342"/>
      <c r="EU369" s="336"/>
      <c r="EV369" s="342"/>
      <c r="EW369" s="336"/>
      <c r="EX369" s="342"/>
      <c r="EY369" s="342"/>
      <c r="EZ369" s="342"/>
      <c r="FA369" s="337"/>
      <c r="FE369" s="338"/>
      <c r="FH369" s="338"/>
      <c r="FI369" s="338"/>
      <c r="FJ369" s="338"/>
      <c r="FK369" s="338"/>
      <c r="FL369" s="338"/>
      <c r="FM369" s="337"/>
      <c r="FN369" s="336"/>
      <c r="FO369" s="336"/>
      <c r="FP369" s="336"/>
      <c r="FQ369" s="336"/>
      <c r="FR369" s="336"/>
      <c r="FS369" s="336"/>
      <c r="FT369" s="336"/>
      <c r="FU369" s="336"/>
      <c r="FV369" s="336"/>
      <c r="FW369" s="337"/>
      <c r="FX369" s="532"/>
      <c r="FY369" s="341"/>
      <c r="FZ369" s="341"/>
      <c r="GA369" s="336"/>
      <c r="GB369" s="341"/>
      <c r="GC369" s="341"/>
      <c r="GD369" s="341"/>
      <c r="GE369" s="336"/>
      <c r="GF369" s="336"/>
      <c r="GG369" s="336"/>
      <c r="GH369" s="336"/>
      <c r="GI369" s="336"/>
      <c r="GJ369" s="337"/>
      <c r="GM369" s="338"/>
      <c r="GN369" s="338"/>
      <c r="GO369" s="338"/>
      <c r="GS369" s="338"/>
      <c r="GT369" s="338"/>
      <c r="GU369" s="338"/>
      <c r="GY369" s="338"/>
      <c r="GZ369" s="338"/>
      <c r="HA369" s="338"/>
      <c r="HE369" s="338"/>
      <c r="HF369" s="338"/>
      <c r="HG369" s="338"/>
      <c r="HN369" s="68"/>
      <c r="HO369" s="68"/>
      <c r="HP369" s="68"/>
      <c r="HQ369" s="336"/>
      <c r="HR369" s="68"/>
      <c r="HS369" s="68"/>
      <c r="HT369" s="10"/>
      <c r="HW369" s="338"/>
      <c r="HX369" s="338"/>
      <c r="HY369" s="338"/>
      <c r="IC369" s="338"/>
      <c r="ID369" s="338"/>
      <c r="IE369" s="338"/>
      <c r="II369" s="338"/>
      <c r="IJ369" s="338"/>
      <c r="IK369" s="338"/>
      <c r="IO369" s="338"/>
      <c r="IP369" s="338"/>
      <c r="IQ369" s="338"/>
      <c r="IX369" s="68"/>
      <c r="IY369" s="68"/>
      <c r="IZ369" s="68"/>
      <c r="JA369" s="68"/>
      <c r="JB369" s="68"/>
      <c r="JC369" s="68"/>
      <c r="JD369" s="10"/>
      <c r="JG369" s="338"/>
      <c r="JH369" s="338"/>
      <c r="JI369" s="338"/>
      <c r="JM369" s="338"/>
      <c r="JN369" s="338"/>
      <c r="JQ369" s="338"/>
      <c r="JR369" s="338"/>
      <c r="JS369" s="338"/>
      <c r="JW369" s="358"/>
      <c r="JX369" s="336"/>
      <c r="JY369" s="336"/>
      <c r="JZ369" s="336"/>
      <c r="KA369" s="336"/>
      <c r="KB369" s="336"/>
      <c r="KC369" s="336"/>
      <c r="KD369" s="336"/>
      <c r="KE369" s="336"/>
      <c r="KF369" s="336"/>
      <c r="KG369" s="337"/>
      <c r="KH369" s="338"/>
      <c r="KI369" s="338"/>
      <c r="KJ369" s="338"/>
      <c r="KK369" s="338"/>
      <c r="KL369" s="338"/>
      <c r="KM369" s="338"/>
      <c r="KN369" s="338"/>
      <c r="KO369" s="338"/>
      <c r="KP369" s="338"/>
      <c r="KQ369" s="338"/>
      <c r="KR369" s="338"/>
      <c r="KS369" s="338"/>
      <c r="KT369" s="338"/>
      <c r="KU369" s="338"/>
      <c r="KV369" s="338"/>
      <c r="KW369" s="337"/>
      <c r="KX369" s="336"/>
      <c r="KY369" s="336"/>
      <c r="KZ369" s="336"/>
      <c r="LA369" s="336"/>
      <c r="LB369" s="336"/>
      <c r="LC369" s="336"/>
      <c r="LD369" s="336"/>
      <c r="LE369" s="336"/>
      <c r="LF369" s="336"/>
      <c r="LG369" s="336"/>
      <c r="LH369" s="336"/>
      <c r="LI369" s="336"/>
      <c r="LJ369" s="336"/>
      <c r="LK369" s="336"/>
      <c r="LL369" s="336"/>
      <c r="LM369" s="336"/>
      <c r="LN369" s="336"/>
      <c r="LO369" s="336"/>
      <c r="LP369" s="336"/>
      <c r="LQ369" s="337"/>
      <c r="MN369" s="10"/>
      <c r="OA369" s="10"/>
    </row>
    <row r="370" spans="1:391" s="370" customFormat="1" x14ac:dyDescent="0.25">
      <c r="A370" s="68"/>
      <c r="B370" s="10"/>
      <c r="C370" s="68"/>
      <c r="D370" s="68"/>
      <c r="E370" s="68"/>
      <c r="F370" s="68"/>
      <c r="G370" s="68"/>
      <c r="H370" s="68"/>
      <c r="I370" s="68"/>
      <c r="J370" s="68"/>
      <c r="K370" s="68"/>
      <c r="L370" s="68"/>
      <c r="M370" s="68"/>
      <c r="N370" s="68"/>
      <c r="O370" s="68"/>
      <c r="P370" s="68"/>
      <c r="Q370" s="68"/>
      <c r="R370" s="68"/>
      <c r="S370" s="68"/>
      <c r="T370" s="70"/>
      <c r="AC370" s="68"/>
      <c r="AD370" s="70"/>
      <c r="AM370" s="68"/>
      <c r="AN370" s="70"/>
      <c r="AU370" s="68"/>
      <c r="AV370" s="70"/>
      <c r="BB370" s="68"/>
      <c r="BC370" s="70"/>
      <c r="BD370" s="68"/>
      <c r="BE370" s="68"/>
      <c r="BF370" s="68"/>
      <c r="BG370" s="68"/>
      <c r="BH370" s="68"/>
      <c r="BI370" s="68"/>
      <c r="BJ370" s="70"/>
      <c r="BM370" s="68"/>
      <c r="BN370" s="70"/>
      <c r="BT370" s="68"/>
      <c r="BU370" s="70"/>
      <c r="BZ370" s="10"/>
      <c r="CF370" s="10"/>
      <c r="CI370" s="389"/>
      <c r="CJ370" s="389"/>
      <c r="CK370" s="68"/>
      <c r="CL370" s="70"/>
      <c r="CO370" s="10"/>
      <c r="CU370" s="10"/>
      <c r="DA370" s="10"/>
      <c r="DB370" s="70"/>
      <c r="DC370" s="70"/>
      <c r="DF370" s="68"/>
      <c r="DG370" s="70"/>
      <c r="DH370" s="68"/>
      <c r="DI370" s="386"/>
      <c r="DJ370" s="425"/>
      <c r="DL370" s="68"/>
      <c r="DM370" s="70"/>
      <c r="DQ370" s="68"/>
      <c r="DR370" s="70"/>
      <c r="DS370" s="338"/>
      <c r="DT370" s="338"/>
      <c r="DU370" s="338"/>
      <c r="DW370" s="338"/>
      <c r="DX370" s="338"/>
      <c r="DY370" s="338"/>
      <c r="EA370" s="338"/>
      <c r="EB370" s="338"/>
      <c r="EC370" s="338"/>
      <c r="EE370" s="338"/>
      <c r="EF370" s="338"/>
      <c r="EG370" s="338"/>
      <c r="EI370" s="336"/>
      <c r="EJ370" s="336"/>
      <c r="EK370" s="336"/>
      <c r="EL370" s="336"/>
      <c r="EM370" s="336"/>
      <c r="EN370" s="336"/>
      <c r="EO370" s="337"/>
      <c r="EP370" s="342"/>
      <c r="EQ370" s="336"/>
      <c r="ER370" s="342"/>
      <c r="ES370" s="336"/>
      <c r="ET370" s="342"/>
      <c r="EU370" s="336"/>
      <c r="EV370" s="342"/>
      <c r="EW370" s="336"/>
      <c r="EX370" s="342"/>
      <c r="EY370" s="342"/>
      <c r="EZ370" s="342"/>
      <c r="FA370" s="337"/>
      <c r="FE370" s="338"/>
      <c r="FH370" s="338"/>
      <c r="FI370" s="338"/>
      <c r="FJ370" s="338"/>
      <c r="FK370" s="338"/>
      <c r="FL370" s="338"/>
      <c r="FM370" s="337"/>
      <c r="FN370" s="336"/>
      <c r="FO370" s="336"/>
      <c r="FP370" s="336"/>
      <c r="FQ370" s="336"/>
      <c r="FR370" s="336"/>
      <c r="FS370" s="336"/>
      <c r="FT370" s="336"/>
      <c r="FU370" s="336"/>
      <c r="FV370" s="336"/>
      <c r="FW370" s="337"/>
      <c r="FX370" s="532"/>
      <c r="FY370" s="341"/>
      <c r="FZ370" s="341"/>
      <c r="GA370" s="336"/>
      <c r="GB370" s="341"/>
      <c r="GC370" s="341"/>
      <c r="GD370" s="341"/>
      <c r="GE370" s="336"/>
      <c r="GF370" s="336"/>
      <c r="GG370" s="336"/>
      <c r="GH370" s="336"/>
      <c r="GI370" s="336"/>
      <c r="GJ370" s="337"/>
      <c r="GM370" s="338"/>
      <c r="GN370" s="338"/>
      <c r="GO370" s="338"/>
      <c r="GS370" s="338"/>
      <c r="GT370" s="338"/>
      <c r="GU370" s="338"/>
      <c r="GY370" s="338"/>
      <c r="GZ370" s="338"/>
      <c r="HA370" s="338"/>
      <c r="HE370" s="338"/>
      <c r="HF370" s="338"/>
      <c r="HG370" s="338"/>
      <c r="HN370" s="68"/>
      <c r="HO370" s="68"/>
      <c r="HP370" s="68"/>
      <c r="HQ370" s="336"/>
      <c r="HR370" s="68"/>
      <c r="HS370" s="68"/>
      <c r="HT370" s="10"/>
      <c r="HW370" s="338"/>
      <c r="HX370" s="338"/>
      <c r="HY370" s="338"/>
      <c r="IC370" s="338"/>
      <c r="ID370" s="338"/>
      <c r="IE370" s="338"/>
      <c r="II370" s="338"/>
      <c r="IJ370" s="338"/>
      <c r="IK370" s="338"/>
      <c r="IO370" s="338"/>
      <c r="IP370" s="338"/>
      <c r="IQ370" s="338"/>
      <c r="IX370" s="68"/>
      <c r="IY370" s="68"/>
      <c r="IZ370" s="68"/>
      <c r="JA370" s="68"/>
      <c r="JB370" s="68"/>
      <c r="JC370" s="68"/>
      <c r="JD370" s="10"/>
      <c r="JG370" s="338"/>
      <c r="JH370" s="338"/>
      <c r="JI370" s="338"/>
      <c r="JM370" s="338"/>
      <c r="JN370" s="338"/>
      <c r="JQ370" s="338"/>
      <c r="JR370" s="338"/>
      <c r="JS370" s="338"/>
      <c r="JW370" s="358"/>
      <c r="JX370" s="336"/>
      <c r="JY370" s="336"/>
      <c r="JZ370" s="336"/>
      <c r="KA370" s="336"/>
      <c r="KB370" s="336"/>
      <c r="KC370" s="336"/>
      <c r="KD370" s="336"/>
      <c r="KE370" s="336"/>
      <c r="KF370" s="336"/>
      <c r="KG370" s="337"/>
      <c r="KH370" s="338"/>
      <c r="KI370" s="338"/>
      <c r="KJ370" s="338"/>
      <c r="KK370" s="338"/>
      <c r="KL370" s="338"/>
      <c r="KM370" s="338"/>
      <c r="KN370" s="338"/>
      <c r="KO370" s="338"/>
      <c r="KP370" s="338"/>
      <c r="KQ370" s="338"/>
      <c r="KR370" s="338"/>
      <c r="KS370" s="338"/>
      <c r="KT370" s="338"/>
      <c r="KU370" s="338"/>
      <c r="KV370" s="338"/>
      <c r="KW370" s="337"/>
      <c r="KX370" s="336"/>
      <c r="KY370" s="336"/>
      <c r="KZ370" s="336"/>
      <c r="LA370" s="336"/>
      <c r="LB370" s="336"/>
      <c r="LC370" s="336"/>
      <c r="LD370" s="336"/>
      <c r="LE370" s="336"/>
      <c r="LF370" s="336"/>
      <c r="LG370" s="336"/>
      <c r="LH370" s="336"/>
      <c r="LI370" s="336"/>
      <c r="LJ370" s="336"/>
      <c r="LK370" s="336"/>
      <c r="LL370" s="336"/>
      <c r="LM370" s="336"/>
      <c r="LN370" s="336"/>
      <c r="LO370" s="336"/>
      <c r="LP370" s="336"/>
      <c r="LQ370" s="337"/>
      <c r="MN370" s="10"/>
      <c r="OA370" s="10"/>
    </row>
    <row r="371" spans="1:391" s="370" customFormat="1" x14ac:dyDescent="0.25">
      <c r="A371" s="68"/>
      <c r="B371" s="10"/>
      <c r="C371" s="68"/>
      <c r="D371" s="68"/>
      <c r="E371" s="68"/>
      <c r="F371" s="68"/>
      <c r="G371" s="68"/>
      <c r="H371" s="68"/>
      <c r="I371" s="68"/>
      <c r="J371" s="68"/>
      <c r="K371" s="68"/>
      <c r="L371" s="68"/>
      <c r="M371" s="68"/>
      <c r="N371" s="68"/>
      <c r="O371" s="68"/>
      <c r="P371" s="68"/>
      <c r="Q371" s="68"/>
      <c r="R371" s="68"/>
      <c r="S371" s="68"/>
      <c r="T371" s="70"/>
      <c r="AC371" s="68"/>
      <c r="AD371" s="70"/>
      <c r="AM371" s="68"/>
      <c r="AN371" s="70"/>
      <c r="AU371" s="68"/>
      <c r="AV371" s="70"/>
      <c r="BB371" s="68"/>
      <c r="BC371" s="70"/>
      <c r="BD371" s="68"/>
      <c r="BE371" s="68"/>
      <c r="BF371" s="68"/>
      <c r="BG371" s="68"/>
      <c r="BH371" s="68"/>
      <c r="BI371" s="68"/>
      <c r="BJ371" s="70"/>
      <c r="BM371" s="68"/>
      <c r="BN371" s="70"/>
      <c r="BT371" s="68"/>
      <c r="BU371" s="70"/>
      <c r="BZ371" s="10"/>
      <c r="CF371" s="10"/>
      <c r="CI371" s="389"/>
      <c r="CJ371" s="389"/>
      <c r="CK371" s="68"/>
      <c r="CL371" s="70"/>
      <c r="CO371" s="10"/>
      <c r="CU371" s="10"/>
      <c r="DA371" s="10"/>
      <c r="DB371" s="70"/>
      <c r="DC371" s="70"/>
      <c r="DF371" s="68"/>
      <c r="DG371" s="70"/>
      <c r="DH371" s="68"/>
      <c r="DI371" s="386"/>
      <c r="DJ371" s="425"/>
      <c r="DL371" s="68"/>
      <c r="DM371" s="70"/>
      <c r="DQ371" s="68"/>
      <c r="DR371" s="70"/>
      <c r="DS371" s="338"/>
      <c r="DT371" s="338"/>
      <c r="DU371" s="338"/>
      <c r="DW371" s="338"/>
      <c r="DX371" s="338"/>
      <c r="DY371" s="338"/>
      <c r="EA371" s="338"/>
      <c r="EB371" s="338"/>
      <c r="EC371" s="338"/>
      <c r="EE371" s="338"/>
      <c r="EF371" s="338"/>
      <c r="EG371" s="338"/>
      <c r="EI371" s="336"/>
      <c r="EJ371" s="336"/>
      <c r="EK371" s="336"/>
      <c r="EL371" s="336"/>
      <c r="EM371" s="336"/>
      <c r="EN371" s="336"/>
      <c r="EO371" s="337"/>
      <c r="EP371" s="342"/>
      <c r="EQ371" s="336"/>
      <c r="ER371" s="342"/>
      <c r="ES371" s="336"/>
      <c r="ET371" s="342"/>
      <c r="EU371" s="336"/>
      <c r="EV371" s="342"/>
      <c r="EW371" s="336"/>
      <c r="EX371" s="342"/>
      <c r="EY371" s="342"/>
      <c r="EZ371" s="342"/>
      <c r="FA371" s="337"/>
      <c r="FE371" s="338"/>
      <c r="FH371" s="338"/>
      <c r="FI371" s="338"/>
      <c r="FJ371" s="338"/>
      <c r="FK371" s="338"/>
      <c r="FL371" s="338"/>
      <c r="FM371" s="337"/>
      <c r="FN371" s="336"/>
      <c r="FO371" s="336"/>
      <c r="FP371" s="336"/>
      <c r="FQ371" s="336"/>
      <c r="FR371" s="336"/>
      <c r="FS371" s="336"/>
      <c r="FT371" s="336"/>
      <c r="FU371" s="336"/>
      <c r="FV371" s="336"/>
      <c r="FW371" s="337"/>
      <c r="FX371" s="532"/>
      <c r="FY371" s="341"/>
      <c r="FZ371" s="341"/>
      <c r="GA371" s="336"/>
      <c r="GB371" s="341"/>
      <c r="GC371" s="341"/>
      <c r="GD371" s="341"/>
      <c r="GE371" s="336"/>
      <c r="GF371" s="336"/>
      <c r="GG371" s="336"/>
      <c r="GH371" s="336"/>
      <c r="GI371" s="336"/>
      <c r="GJ371" s="337"/>
      <c r="GM371" s="338"/>
      <c r="GN371" s="338"/>
      <c r="GO371" s="338"/>
      <c r="GS371" s="338"/>
      <c r="GT371" s="338"/>
      <c r="GU371" s="338"/>
      <c r="GY371" s="338"/>
      <c r="GZ371" s="338"/>
      <c r="HA371" s="338"/>
      <c r="HE371" s="338"/>
      <c r="HF371" s="338"/>
      <c r="HG371" s="338"/>
      <c r="HN371" s="68"/>
      <c r="HO371" s="68"/>
      <c r="HP371" s="68"/>
      <c r="HQ371" s="336"/>
      <c r="HR371" s="68"/>
      <c r="HS371" s="68"/>
      <c r="HT371" s="10"/>
      <c r="HW371" s="338"/>
      <c r="HX371" s="338"/>
      <c r="HY371" s="338"/>
      <c r="IC371" s="338"/>
      <c r="ID371" s="338"/>
      <c r="IE371" s="338"/>
      <c r="II371" s="338"/>
      <c r="IJ371" s="338"/>
      <c r="IK371" s="338"/>
      <c r="IO371" s="338"/>
      <c r="IP371" s="338"/>
      <c r="IQ371" s="338"/>
      <c r="IX371" s="68"/>
      <c r="IY371" s="68"/>
      <c r="IZ371" s="68"/>
      <c r="JA371" s="68"/>
      <c r="JB371" s="68"/>
      <c r="JC371" s="68"/>
      <c r="JD371" s="10"/>
      <c r="JG371" s="338"/>
      <c r="JH371" s="338"/>
      <c r="JI371" s="338"/>
      <c r="JM371" s="338"/>
      <c r="JN371" s="338"/>
      <c r="JQ371" s="338"/>
      <c r="JR371" s="338"/>
      <c r="JS371" s="338"/>
      <c r="JW371" s="358"/>
      <c r="JX371" s="336"/>
      <c r="JY371" s="336"/>
      <c r="JZ371" s="336"/>
      <c r="KA371" s="336"/>
      <c r="KB371" s="336"/>
      <c r="KC371" s="336"/>
      <c r="KD371" s="336"/>
      <c r="KE371" s="336"/>
      <c r="KF371" s="336"/>
      <c r="KG371" s="337"/>
      <c r="KH371" s="338"/>
      <c r="KI371" s="338"/>
      <c r="KJ371" s="338"/>
      <c r="KK371" s="338"/>
      <c r="KL371" s="338"/>
      <c r="KM371" s="338"/>
      <c r="KN371" s="338"/>
      <c r="KO371" s="338"/>
      <c r="KP371" s="338"/>
      <c r="KQ371" s="338"/>
      <c r="KR371" s="338"/>
      <c r="KS371" s="338"/>
      <c r="KT371" s="338"/>
      <c r="KU371" s="338"/>
      <c r="KV371" s="338"/>
      <c r="KW371" s="337"/>
      <c r="KX371" s="336"/>
      <c r="KY371" s="336"/>
      <c r="KZ371" s="336"/>
      <c r="LA371" s="336"/>
      <c r="LB371" s="336"/>
      <c r="LC371" s="336"/>
      <c r="LD371" s="336"/>
      <c r="LE371" s="336"/>
      <c r="LF371" s="336"/>
      <c r="LG371" s="336"/>
      <c r="LH371" s="336"/>
      <c r="LI371" s="336"/>
      <c r="LJ371" s="336"/>
      <c r="LK371" s="336"/>
      <c r="LL371" s="336"/>
      <c r="LM371" s="336"/>
      <c r="LN371" s="336"/>
      <c r="LO371" s="336"/>
      <c r="LP371" s="336"/>
      <c r="LQ371" s="337"/>
      <c r="MN371" s="10"/>
      <c r="OA371" s="10"/>
    </row>
    <row r="372" spans="1:391" s="370" customFormat="1" x14ac:dyDescent="0.25">
      <c r="A372" s="68"/>
      <c r="B372" s="10"/>
      <c r="C372" s="68"/>
      <c r="D372" s="68"/>
      <c r="E372" s="68"/>
      <c r="F372" s="68"/>
      <c r="G372" s="68"/>
      <c r="H372" s="68"/>
      <c r="I372" s="68"/>
      <c r="J372" s="68"/>
      <c r="K372" s="68"/>
      <c r="L372" s="68"/>
      <c r="M372" s="68"/>
      <c r="N372" s="68"/>
      <c r="O372" s="68"/>
      <c r="P372" s="68"/>
      <c r="Q372" s="68"/>
      <c r="R372" s="68"/>
      <c r="S372" s="68"/>
      <c r="T372" s="70"/>
      <c r="AC372" s="68"/>
      <c r="AD372" s="70"/>
      <c r="AM372" s="68"/>
      <c r="AN372" s="70"/>
      <c r="AU372" s="68"/>
      <c r="AV372" s="70"/>
      <c r="BB372" s="68"/>
      <c r="BC372" s="70"/>
      <c r="BD372" s="68"/>
      <c r="BE372" s="68"/>
      <c r="BF372" s="68"/>
      <c r="BG372" s="68"/>
      <c r="BH372" s="68"/>
      <c r="BI372" s="68"/>
      <c r="BJ372" s="70"/>
      <c r="BM372" s="68"/>
      <c r="BN372" s="70"/>
      <c r="BT372" s="68"/>
      <c r="BU372" s="70"/>
      <c r="BZ372" s="10"/>
      <c r="CF372" s="10"/>
      <c r="CI372" s="389"/>
      <c r="CJ372" s="389"/>
      <c r="CK372" s="68"/>
      <c r="CL372" s="70"/>
      <c r="CO372" s="10"/>
      <c r="CU372" s="10"/>
      <c r="DA372" s="10"/>
      <c r="DB372" s="70"/>
      <c r="DC372" s="70"/>
      <c r="DF372" s="68"/>
      <c r="DG372" s="70"/>
      <c r="DH372" s="68"/>
      <c r="DI372" s="386"/>
      <c r="DJ372" s="425"/>
      <c r="DL372" s="68"/>
      <c r="DM372" s="70"/>
      <c r="DQ372" s="68"/>
      <c r="DR372" s="70"/>
      <c r="DS372" s="338"/>
      <c r="DT372" s="338"/>
      <c r="DU372" s="338"/>
      <c r="DW372" s="338"/>
      <c r="DX372" s="338"/>
      <c r="DY372" s="338"/>
      <c r="EA372" s="338"/>
      <c r="EB372" s="338"/>
      <c r="EC372" s="338"/>
      <c r="EE372" s="338"/>
      <c r="EF372" s="338"/>
      <c r="EG372" s="338"/>
      <c r="EI372" s="336"/>
      <c r="EJ372" s="336"/>
      <c r="EK372" s="336"/>
      <c r="EL372" s="336"/>
      <c r="EM372" s="336"/>
      <c r="EN372" s="336"/>
      <c r="EO372" s="337"/>
      <c r="EP372" s="342"/>
      <c r="EQ372" s="336"/>
      <c r="ER372" s="342"/>
      <c r="ES372" s="336"/>
      <c r="ET372" s="342"/>
      <c r="EU372" s="336"/>
      <c r="EV372" s="342"/>
      <c r="EW372" s="336"/>
      <c r="EX372" s="342"/>
      <c r="EY372" s="342"/>
      <c r="EZ372" s="342"/>
      <c r="FA372" s="337"/>
      <c r="FE372" s="338"/>
      <c r="FH372" s="338"/>
      <c r="FI372" s="338"/>
      <c r="FJ372" s="338"/>
      <c r="FK372" s="338"/>
      <c r="FL372" s="338"/>
      <c r="FM372" s="337"/>
      <c r="FN372" s="336"/>
      <c r="FO372" s="336"/>
      <c r="FP372" s="336"/>
      <c r="FQ372" s="336"/>
      <c r="FR372" s="336"/>
      <c r="FS372" s="336"/>
      <c r="FT372" s="336"/>
      <c r="FU372" s="336"/>
      <c r="FV372" s="336"/>
      <c r="FW372" s="337"/>
      <c r="FX372" s="532"/>
      <c r="FY372" s="341"/>
      <c r="FZ372" s="341"/>
      <c r="GA372" s="336"/>
      <c r="GB372" s="341"/>
      <c r="GC372" s="341"/>
      <c r="GD372" s="341"/>
      <c r="GE372" s="336"/>
      <c r="GF372" s="336"/>
      <c r="GG372" s="336"/>
      <c r="GH372" s="336"/>
      <c r="GI372" s="336"/>
      <c r="GJ372" s="337"/>
      <c r="GM372" s="338"/>
      <c r="GN372" s="338"/>
      <c r="GO372" s="338"/>
      <c r="GS372" s="338"/>
      <c r="GT372" s="338"/>
      <c r="GU372" s="338"/>
      <c r="GY372" s="338"/>
      <c r="GZ372" s="338"/>
      <c r="HA372" s="338"/>
      <c r="HE372" s="338"/>
      <c r="HF372" s="338"/>
      <c r="HG372" s="338"/>
      <c r="HN372" s="68"/>
      <c r="HO372" s="68"/>
      <c r="HP372" s="68"/>
      <c r="HQ372" s="336"/>
      <c r="HR372" s="68"/>
      <c r="HS372" s="68"/>
      <c r="HT372" s="10"/>
      <c r="HW372" s="338"/>
      <c r="HX372" s="338"/>
      <c r="HY372" s="338"/>
      <c r="IC372" s="338"/>
      <c r="ID372" s="338"/>
      <c r="IE372" s="338"/>
      <c r="II372" s="338"/>
      <c r="IJ372" s="338"/>
      <c r="IK372" s="338"/>
      <c r="IO372" s="338"/>
      <c r="IP372" s="338"/>
      <c r="IQ372" s="338"/>
      <c r="IX372" s="68"/>
      <c r="IY372" s="68"/>
      <c r="IZ372" s="68"/>
      <c r="JA372" s="68"/>
      <c r="JB372" s="68"/>
      <c r="JC372" s="68"/>
      <c r="JD372" s="10"/>
      <c r="JG372" s="338"/>
      <c r="JH372" s="338"/>
      <c r="JI372" s="338"/>
      <c r="JM372" s="338"/>
      <c r="JN372" s="338"/>
      <c r="JQ372" s="338"/>
      <c r="JR372" s="338"/>
      <c r="JS372" s="338"/>
      <c r="JW372" s="358"/>
      <c r="JX372" s="336"/>
      <c r="JY372" s="336"/>
      <c r="JZ372" s="336"/>
      <c r="KA372" s="336"/>
      <c r="KB372" s="336"/>
      <c r="KC372" s="336"/>
      <c r="KD372" s="336"/>
      <c r="KE372" s="336"/>
      <c r="KF372" s="336"/>
      <c r="KG372" s="337"/>
      <c r="KH372" s="338"/>
      <c r="KI372" s="338"/>
      <c r="KJ372" s="338"/>
      <c r="KK372" s="338"/>
      <c r="KL372" s="338"/>
      <c r="KM372" s="338"/>
      <c r="KN372" s="338"/>
      <c r="KO372" s="338"/>
      <c r="KP372" s="338"/>
      <c r="KQ372" s="338"/>
      <c r="KR372" s="338"/>
      <c r="KS372" s="338"/>
      <c r="KT372" s="338"/>
      <c r="KU372" s="338"/>
      <c r="KV372" s="338"/>
      <c r="KW372" s="337"/>
      <c r="KX372" s="336"/>
      <c r="KY372" s="336"/>
      <c r="KZ372" s="336"/>
      <c r="LA372" s="336"/>
      <c r="LB372" s="336"/>
      <c r="LC372" s="336"/>
      <c r="LD372" s="336"/>
      <c r="LE372" s="336"/>
      <c r="LF372" s="336"/>
      <c r="LG372" s="336"/>
      <c r="LH372" s="336"/>
      <c r="LI372" s="336"/>
      <c r="LJ372" s="336"/>
      <c r="LK372" s="336"/>
      <c r="LL372" s="336"/>
      <c r="LM372" s="336"/>
      <c r="LN372" s="336"/>
      <c r="LO372" s="336"/>
      <c r="LP372" s="336"/>
      <c r="LQ372" s="337"/>
      <c r="MN372" s="10"/>
      <c r="OA372" s="10"/>
    </row>
    <row r="373" spans="1:391" s="370" customFormat="1" x14ac:dyDescent="0.25">
      <c r="A373" s="68"/>
      <c r="B373" s="10"/>
      <c r="C373" s="68"/>
      <c r="D373" s="68"/>
      <c r="E373" s="68"/>
      <c r="F373" s="68"/>
      <c r="G373" s="68"/>
      <c r="H373" s="68"/>
      <c r="I373" s="68"/>
      <c r="J373" s="68"/>
      <c r="K373" s="68"/>
      <c r="L373" s="68"/>
      <c r="M373" s="68"/>
      <c r="N373" s="68"/>
      <c r="O373" s="68"/>
      <c r="P373" s="68"/>
      <c r="Q373" s="68"/>
      <c r="R373" s="68"/>
      <c r="S373" s="68"/>
      <c r="T373" s="70"/>
      <c r="AC373" s="68"/>
      <c r="AD373" s="70"/>
      <c r="AM373" s="68"/>
      <c r="AN373" s="70"/>
      <c r="AU373" s="68"/>
      <c r="AV373" s="70"/>
      <c r="BB373" s="68"/>
      <c r="BC373" s="70"/>
      <c r="BD373" s="68"/>
      <c r="BE373" s="68"/>
      <c r="BF373" s="68"/>
      <c r="BG373" s="68"/>
      <c r="BH373" s="68"/>
      <c r="BI373" s="68"/>
      <c r="BJ373" s="70"/>
      <c r="BM373" s="68"/>
      <c r="BN373" s="70"/>
      <c r="BT373" s="68"/>
      <c r="BU373" s="70"/>
      <c r="BZ373" s="10"/>
      <c r="CF373" s="10"/>
      <c r="CI373" s="389"/>
      <c r="CJ373" s="389"/>
      <c r="CK373" s="68"/>
      <c r="CL373" s="70"/>
      <c r="CO373" s="10"/>
      <c r="CU373" s="10"/>
      <c r="DA373" s="10"/>
      <c r="DB373" s="70"/>
      <c r="DC373" s="70"/>
      <c r="DF373" s="68"/>
      <c r="DG373" s="70"/>
      <c r="DH373" s="68"/>
      <c r="DI373" s="386"/>
      <c r="DJ373" s="425"/>
      <c r="DL373" s="68"/>
      <c r="DM373" s="70"/>
      <c r="DQ373" s="68"/>
      <c r="DR373" s="70"/>
      <c r="DS373" s="338"/>
      <c r="DT373" s="338"/>
      <c r="DU373" s="338"/>
      <c r="DW373" s="338"/>
      <c r="DX373" s="338"/>
      <c r="DY373" s="338"/>
      <c r="EA373" s="338"/>
      <c r="EB373" s="338"/>
      <c r="EC373" s="338"/>
      <c r="EE373" s="338"/>
      <c r="EF373" s="338"/>
      <c r="EG373" s="338"/>
      <c r="EI373" s="336"/>
      <c r="EJ373" s="336"/>
      <c r="EK373" s="336"/>
      <c r="EL373" s="336"/>
      <c r="EM373" s="336"/>
      <c r="EN373" s="336"/>
      <c r="EO373" s="337"/>
      <c r="EP373" s="342"/>
      <c r="EQ373" s="336"/>
      <c r="ER373" s="342"/>
      <c r="ES373" s="336"/>
      <c r="ET373" s="342"/>
      <c r="EU373" s="336"/>
      <c r="EV373" s="342"/>
      <c r="EW373" s="336"/>
      <c r="EX373" s="342"/>
      <c r="EY373" s="342"/>
      <c r="EZ373" s="342"/>
      <c r="FA373" s="337"/>
      <c r="FE373" s="338"/>
      <c r="FH373" s="338"/>
      <c r="FI373" s="338"/>
      <c r="FJ373" s="338"/>
      <c r="FK373" s="338"/>
      <c r="FL373" s="338"/>
      <c r="FM373" s="337"/>
      <c r="FN373" s="336"/>
      <c r="FO373" s="336"/>
      <c r="FP373" s="336"/>
      <c r="FQ373" s="336"/>
      <c r="FR373" s="336"/>
      <c r="FS373" s="336"/>
      <c r="FT373" s="336"/>
      <c r="FU373" s="336"/>
      <c r="FV373" s="336"/>
      <c r="FW373" s="337"/>
      <c r="FX373" s="532"/>
      <c r="FY373" s="341"/>
      <c r="FZ373" s="341"/>
      <c r="GA373" s="336"/>
      <c r="GB373" s="341"/>
      <c r="GC373" s="341"/>
      <c r="GD373" s="341"/>
      <c r="GE373" s="336"/>
      <c r="GF373" s="336"/>
      <c r="GG373" s="336"/>
      <c r="GH373" s="336"/>
      <c r="GI373" s="336"/>
      <c r="GJ373" s="337"/>
      <c r="GM373" s="338"/>
      <c r="GN373" s="338"/>
      <c r="GO373" s="338"/>
      <c r="GS373" s="338"/>
      <c r="GT373" s="338"/>
      <c r="GU373" s="338"/>
      <c r="GY373" s="338"/>
      <c r="GZ373" s="338"/>
      <c r="HA373" s="338"/>
      <c r="HE373" s="338"/>
      <c r="HF373" s="338"/>
      <c r="HG373" s="338"/>
      <c r="HN373" s="68"/>
      <c r="HO373" s="68"/>
      <c r="HP373" s="68"/>
      <c r="HQ373" s="336"/>
      <c r="HR373" s="68"/>
      <c r="HS373" s="68"/>
      <c r="HT373" s="10"/>
      <c r="HW373" s="338"/>
      <c r="HX373" s="338"/>
      <c r="HY373" s="338"/>
      <c r="IC373" s="338"/>
      <c r="ID373" s="338"/>
      <c r="IE373" s="338"/>
      <c r="II373" s="338"/>
      <c r="IJ373" s="338"/>
      <c r="IK373" s="338"/>
      <c r="IO373" s="338"/>
      <c r="IP373" s="338"/>
      <c r="IQ373" s="338"/>
      <c r="IX373" s="68"/>
      <c r="IY373" s="68"/>
      <c r="IZ373" s="68"/>
      <c r="JA373" s="68"/>
      <c r="JB373" s="68"/>
      <c r="JC373" s="68"/>
      <c r="JD373" s="10"/>
      <c r="JG373" s="338"/>
      <c r="JH373" s="338"/>
      <c r="JI373" s="338"/>
      <c r="JM373" s="338"/>
      <c r="JN373" s="338"/>
      <c r="JQ373" s="338"/>
      <c r="JR373" s="338"/>
      <c r="JS373" s="338"/>
      <c r="JW373" s="358"/>
      <c r="JX373" s="336"/>
      <c r="JY373" s="336"/>
      <c r="JZ373" s="336"/>
      <c r="KA373" s="336"/>
      <c r="KB373" s="336"/>
      <c r="KC373" s="336"/>
      <c r="KD373" s="336"/>
      <c r="KE373" s="336"/>
      <c r="KF373" s="336"/>
      <c r="KG373" s="337"/>
      <c r="KH373" s="338"/>
      <c r="KI373" s="338"/>
      <c r="KJ373" s="338"/>
      <c r="KK373" s="338"/>
      <c r="KL373" s="338"/>
      <c r="KM373" s="338"/>
      <c r="KN373" s="338"/>
      <c r="KO373" s="338"/>
      <c r="KP373" s="338"/>
      <c r="KQ373" s="338"/>
      <c r="KR373" s="338"/>
      <c r="KS373" s="338"/>
      <c r="KT373" s="338"/>
      <c r="KU373" s="338"/>
      <c r="KV373" s="338"/>
      <c r="KW373" s="337"/>
      <c r="KX373" s="336"/>
      <c r="KY373" s="336"/>
      <c r="KZ373" s="336"/>
      <c r="LA373" s="336"/>
      <c r="LB373" s="336"/>
      <c r="LC373" s="336"/>
      <c r="LD373" s="336"/>
      <c r="LE373" s="336"/>
      <c r="LF373" s="336"/>
      <c r="LG373" s="336"/>
      <c r="LH373" s="336"/>
      <c r="LI373" s="336"/>
      <c r="LJ373" s="336"/>
      <c r="LK373" s="336"/>
      <c r="LL373" s="336"/>
      <c r="LM373" s="336"/>
      <c r="LN373" s="336"/>
      <c r="LO373" s="336"/>
      <c r="LP373" s="336"/>
      <c r="LQ373" s="337"/>
      <c r="MN373" s="10"/>
      <c r="OA373" s="10"/>
    </row>
    <row r="374" spans="1:391" s="370" customFormat="1" x14ac:dyDescent="0.25">
      <c r="A374" s="68"/>
      <c r="B374" s="10"/>
      <c r="C374" s="68"/>
      <c r="D374" s="68"/>
      <c r="E374" s="68"/>
      <c r="F374" s="68"/>
      <c r="G374" s="68"/>
      <c r="H374" s="68"/>
      <c r="I374" s="68"/>
      <c r="J374" s="68"/>
      <c r="K374" s="68"/>
      <c r="L374" s="68"/>
      <c r="M374" s="68"/>
      <c r="N374" s="68"/>
      <c r="O374" s="68"/>
      <c r="P374" s="68"/>
      <c r="Q374" s="68"/>
      <c r="R374" s="68"/>
      <c r="S374" s="68"/>
      <c r="T374" s="70"/>
      <c r="AC374" s="68"/>
      <c r="AD374" s="70"/>
      <c r="AM374" s="68"/>
      <c r="AN374" s="70"/>
      <c r="AU374" s="68"/>
      <c r="AV374" s="70"/>
      <c r="BB374" s="68"/>
      <c r="BC374" s="70"/>
      <c r="BD374" s="68"/>
      <c r="BE374" s="68"/>
      <c r="BF374" s="68"/>
      <c r="BG374" s="68"/>
      <c r="BH374" s="68"/>
      <c r="BI374" s="68"/>
      <c r="BJ374" s="70"/>
      <c r="BM374" s="68"/>
      <c r="BN374" s="70"/>
      <c r="BT374" s="68"/>
      <c r="BU374" s="70"/>
      <c r="BZ374" s="10"/>
      <c r="CF374" s="10"/>
      <c r="CI374" s="389"/>
      <c r="CJ374" s="389"/>
      <c r="CK374" s="68"/>
      <c r="CL374" s="70"/>
      <c r="CO374" s="10"/>
      <c r="CU374" s="10"/>
      <c r="DA374" s="10"/>
      <c r="DB374" s="70"/>
      <c r="DC374" s="70"/>
      <c r="DF374" s="68"/>
      <c r="DG374" s="70"/>
      <c r="DH374" s="68"/>
      <c r="DI374" s="386"/>
      <c r="DJ374" s="425"/>
      <c r="DL374" s="68"/>
      <c r="DM374" s="70"/>
      <c r="DQ374" s="68"/>
      <c r="DR374" s="70"/>
      <c r="DS374" s="338"/>
      <c r="DT374" s="338"/>
      <c r="DU374" s="338"/>
      <c r="DW374" s="338"/>
      <c r="DX374" s="338"/>
      <c r="DY374" s="338"/>
      <c r="EA374" s="338"/>
      <c r="EB374" s="338"/>
      <c r="EC374" s="338"/>
      <c r="EE374" s="338"/>
      <c r="EF374" s="338"/>
      <c r="EG374" s="338"/>
      <c r="EI374" s="336"/>
      <c r="EJ374" s="336"/>
      <c r="EK374" s="336"/>
      <c r="EL374" s="336"/>
      <c r="EM374" s="336"/>
      <c r="EN374" s="336"/>
      <c r="EO374" s="337"/>
      <c r="EP374" s="342"/>
      <c r="EQ374" s="336"/>
      <c r="ER374" s="342"/>
      <c r="ES374" s="336"/>
      <c r="ET374" s="342"/>
      <c r="EU374" s="336"/>
      <c r="EV374" s="342"/>
      <c r="EW374" s="336"/>
      <c r="EX374" s="342"/>
      <c r="EY374" s="342"/>
      <c r="EZ374" s="342"/>
      <c r="FA374" s="337"/>
      <c r="FE374" s="338"/>
      <c r="FH374" s="338"/>
      <c r="FI374" s="338"/>
      <c r="FJ374" s="338"/>
      <c r="FK374" s="338"/>
      <c r="FL374" s="338"/>
      <c r="FM374" s="337"/>
      <c r="FN374" s="336"/>
      <c r="FO374" s="336"/>
      <c r="FP374" s="336"/>
      <c r="FQ374" s="336"/>
      <c r="FR374" s="336"/>
      <c r="FS374" s="336"/>
      <c r="FT374" s="336"/>
      <c r="FU374" s="336"/>
      <c r="FV374" s="336"/>
      <c r="FW374" s="337"/>
      <c r="FX374" s="532"/>
      <c r="FY374" s="341"/>
      <c r="FZ374" s="341"/>
      <c r="GA374" s="336"/>
      <c r="GB374" s="341"/>
      <c r="GC374" s="341"/>
      <c r="GD374" s="341"/>
      <c r="GE374" s="336"/>
      <c r="GF374" s="336"/>
      <c r="GG374" s="336"/>
      <c r="GH374" s="336"/>
      <c r="GI374" s="336"/>
      <c r="GJ374" s="337"/>
      <c r="GM374" s="338"/>
      <c r="GN374" s="338"/>
      <c r="GO374" s="338"/>
      <c r="GS374" s="338"/>
      <c r="GT374" s="338"/>
      <c r="GU374" s="338"/>
      <c r="GY374" s="338"/>
      <c r="GZ374" s="338"/>
      <c r="HA374" s="338"/>
      <c r="HE374" s="338"/>
      <c r="HF374" s="338"/>
      <c r="HG374" s="338"/>
      <c r="HN374" s="68"/>
      <c r="HO374" s="68"/>
      <c r="HP374" s="68"/>
      <c r="HQ374" s="336"/>
      <c r="HR374" s="68"/>
      <c r="HS374" s="68"/>
      <c r="HT374" s="10"/>
      <c r="HW374" s="338"/>
      <c r="HX374" s="338"/>
      <c r="HY374" s="338"/>
      <c r="IC374" s="338"/>
      <c r="ID374" s="338"/>
      <c r="IE374" s="338"/>
      <c r="II374" s="338"/>
      <c r="IJ374" s="338"/>
      <c r="IK374" s="338"/>
      <c r="IO374" s="338"/>
      <c r="IP374" s="338"/>
      <c r="IQ374" s="338"/>
      <c r="IX374" s="68"/>
      <c r="IY374" s="68"/>
      <c r="IZ374" s="68"/>
      <c r="JA374" s="68"/>
      <c r="JB374" s="68"/>
      <c r="JC374" s="68"/>
      <c r="JD374" s="10"/>
      <c r="JG374" s="338"/>
      <c r="JH374" s="338"/>
      <c r="JI374" s="338"/>
      <c r="JM374" s="338"/>
      <c r="JN374" s="338"/>
      <c r="JQ374" s="338"/>
      <c r="JR374" s="338"/>
      <c r="JS374" s="338"/>
      <c r="JW374" s="358"/>
      <c r="JX374" s="336"/>
      <c r="JY374" s="336"/>
      <c r="JZ374" s="336"/>
      <c r="KA374" s="336"/>
      <c r="KB374" s="336"/>
      <c r="KC374" s="336"/>
      <c r="KD374" s="336"/>
      <c r="KE374" s="336"/>
      <c r="KF374" s="336"/>
      <c r="KG374" s="337"/>
      <c r="KH374" s="338"/>
      <c r="KI374" s="338"/>
      <c r="KJ374" s="338"/>
      <c r="KK374" s="338"/>
      <c r="KL374" s="338"/>
      <c r="KM374" s="338"/>
      <c r="KN374" s="338"/>
      <c r="KO374" s="338"/>
      <c r="KP374" s="338"/>
      <c r="KQ374" s="338"/>
      <c r="KR374" s="338"/>
      <c r="KS374" s="338"/>
      <c r="KT374" s="338"/>
      <c r="KU374" s="338"/>
      <c r="KV374" s="338"/>
      <c r="KW374" s="337"/>
      <c r="KX374" s="336"/>
      <c r="KY374" s="336"/>
      <c r="KZ374" s="336"/>
      <c r="LA374" s="336"/>
      <c r="LB374" s="336"/>
      <c r="LC374" s="336"/>
      <c r="LD374" s="336"/>
      <c r="LE374" s="336"/>
      <c r="LF374" s="336"/>
      <c r="LG374" s="336"/>
      <c r="LH374" s="336"/>
      <c r="LI374" s="336"/>
      <c r="LJ374" s="336"/>
      <c r="LK374" s="336"/>
      <c r="LL374" s="336"/>
      <c r="LM374" s="336"/>
      <c r="LN374" s="336"/>
      <c r="LO374" s="336"/>
      <c r="LP374" s="336"/>
      <c r="LQ374" s="337"/>
      <c r="MN374" s="10"/>
      <c r="OA374" s="10"/>
    </row>
    <row r="375" spans="1:391" s="370" customFormat="1" x14ac:dyDescent="0.25">
      <c r="A375" s="68"/>
      <c r="B375" s="10"/>
      <c r="C375" s="68"/>
      <c r="D375" s="68"/>
      <c r="E375" s="68"/>
      <c r="F375" s="68"/>
      <c r="G375" s="68"/>
      <c r="H375" s="68"/>
      <c r="I375" s="68"/>
      <c r="J375" s="68"/>
      <c r="K375" s="68"/>
      <c r="L375" s="68"/>
      <c r="M375" s="68"/>
      <c r="N375" s="68"/>
      <c r="O375" s="68"/>
      <c r="P375" s="68"/>
      <c r="Q375" s="68"/>
      <c r="R375" s="68"/>
      <c r="S375" s="68"/>
      <c r="T375" s="70"/>
      <c r="AC375" s="68"/>
      <c r="AD375" s="70"/>
      <c r="AM375" s="68"/>
      <c r="AN375" s="70"/>
      <c r="AU375" s="68"/>
      <c r="AV375" s="70"/>
      <c r="BB375" s="68"/>
      <c r="BC375" s="70"/>
      <c r="BD375" s="68"/>
      <c r="BE375" s="68"/>
      <c r="BF375" s="68"/>
      <c r="BG375" s="68"/>
      <c r="BH375" s="68"/>
      <c r="BI375" s="68"/>
      <c r="BJ375" s="70"/>
      <c r="BM375" s="68"/>
      <c r="BN375" s="70"/>
      <c r="BT375" s="68"/>
      <c r="BU375" s="70"/>
      <c r="BZ375" s="10"/>
      <c r="CF375" s="10"/>
      <c r="CI375" s="389"/>
      <c r="CJ375" s="389"/>
      <c r="CK375" s="68"/>
      <c r="CL375" s="70"/>
      <c r="CO375" s="10"/>
      <c r="CU375" s="10"/>
      <c r="DA375" s="10"/>
      <c r="DB375" s="70"/>
      <c r="DC375" s="70"/>
      <c r="DF375" s="68"/>
      <c r="DG375" s="70"/>
      <c r="DH375" s="68"/>
      <c r="DI375" s="386"/>
      <c r="DJ375" s="425"/>
      <c r="DL375" s="68"/>
      <c r="DM375" s="70"/>
      <c r="DQ375" s="68"/>
      <c r="DR375" s="70"/>
      <c r="DS375" s="338"/>
      <c r="DT375" s="338"/>
      <c r="DU375" s="338"/>
      <c r="DW375" s="338"/>
      <c r="DX375" s="338"/>
      <c r="DY375" s="338"/>
      <c r="EA375" s="338"/>
      <c r="EB375" s="338"/>
      <c r="EC375" s="338"/>
      <c r="EE375" s="338"/>
      <c r="EF375" s="338"/>
      <c r="EG375" s="338"/>
      <c r="EI375" s="336"/>
      <c r="EJ375" s="336"/>
      <c r="EK375" s="336"/>
      <c r="EL375" s="336"/>
      <c r="EM375" s="336"/>
      <c r="EN375" s="336"/>
      <c r="EO375" s="337"/>
      <c r="EP375" s="342"/>
      <c r="EQ375" s="336"/>
      <c r="ER375" s="342"/>
      <c r="ES375" s="336"/>
      <c r="ET375" s="342"/>
      <c r="EU375" s="336"/>
      <c r="EV375" s="342"/>
      <c r="EW375" s="336"/>
      <c r="EX375" s="342"/>
      <c r="EY375" s="342"/>
      <c r="EZ375" s="342"/>
      <c r="FA375" s="337"/>
      <c r="FE375" s="338"/>
      <c r="FH375" s="338"/>
      <c r="FI375" s="338"/>
      <c r="FJ375" s="338"/>
      <c r="FK375" s="338"/>
      <c r="FL375" s="338"/>
      <c r="FM375" s="337"/>
      <c r="FN375" s="336"/>
      <c r="FO375" s="336"/>
      <c r="FP375" s="336"/>
      <c r="FQ375" s="336"/>
      <c r="FR375" s="336"/>
      <c r="FS375" s="336"/>
      <c r="FT375" s="336"/>
      <c r="FU375" s="336"/>
      <c r="FV375" s="336"/>
      <c r="FW375" s="337"/>
      <c r="FX375" s="532"/>
      <c r="FY375" s="341"/>
      <c r="FZ375" s="341"/>
      <c r="GA375" s="336"/>
      <c r="GB375" s="341"/>
      <c r="GC375" s="341"/>
      <c r="GD375" s="341"/>
      <c r="GE375" s="336"/>
      <c r="GF375" s="336"/>
      <c r="GG375" s="336"/>
      <c r="GH375" s="336"/>
      <c r="GI375" s="336"/>
      <c r="GJ375" s="337"/>
      <c r="GM375" s="338"/>
      <c r="GN375" s="338"/>
      <c r="GO375" s="338"/>
      <c r="GS375" s="338"/>
      <c r="GT375" s="338"/>
      <c r="GU375" s="338"/>
      <c r="GY375" s="338"/>
      <c r="GZ375" s="338"/>
      <c r="HA375" s="338"/>
      <c r="HE375" s="338"/>
      <c r="HF375" s="338"/>
      <c r="HG375" s="338"/>
      <c r="HN375" s="68"/>
      <c r="HO375" s="68"/>
      <c r="HP375" s="68"/>
      <c r="HQ375" s="336"/>
      <c r="HR375" s="68"/>
      <c r="HS375" s="68"/>
      <c r="HT375" s="10"/>
      <c r="HW375" s="338"/>
      <c r="HX375" s="338"/>
      <c r="HY375" s="338"/>
      <c r="IC375" s="338"/>
      <c r="ID375" s="338"/>
      <c r="IE375" s="338"/>
      <c r="II375" s="338"/>
      <c r="IJ375" s="338"/>
      <c r="IK375" s="338"/>
      <c r="IO375" s="338"/>
      <c r="IP375" s="338"/>
      <c r="IQ375" s="338"/>
      <c r="IX375" s="68"/>
      <c r="IY375" s="68"/>
      <c r="IZ375" s="68"/>
      <c r="JA375" s="68"/>
      <c r="JB375" s="68"/>
      <c r="JC375" s="68"/>
      <c r="JD375" s="10"/>
      <c r="JG375" s="338"/>
      <c r="JH375" s="338"/>
      <c r="JI375" s="338"/>
      <c r="JM375" s="338"/>
      <c r="JN375" s="338"/>
      <c r="JQ375" s="338"/>
      <c r="JR375" s="338"/>
      <c r="JS375" s="338"/>
      <c r="JW375" s="358"/>
      <c r="JX375" s="336"/>
      <c r="JY375" s="336"/>
      <c r="JZ375" s="336"/>
      <c r="KA375" s="336"/>
      <c r="KB375" s="336"/>
      <c r="KC375" s="336"/>
      <c r="KD375" s="336"/>
      <c r="KE375" s="336"/>
      <c r="KF375" s="336"/>
      <c r="KG375" s="337"/>
      <c r="KH375" s="338"/>
      <c r="KI375" s="338"/>
      <c r="KJ375" s="338"/>
      <c r="KK375" s="338"/>
      <c r="KL375" s="338"/>
      <c r="KM375" s="338"/>
      <c r="KN375" s="338"/>
      <c r="KO375" s="338"/>
      <c r="KP375" s="338"/>
      <c r="KQ375" s="338"/>
      <c r="KR375" s="338"/>
      <c r="KS375" s="338"/>
      <c r="KT375" s="338"/>
      <c r="KU375" s="338"/>
      <c r="KV375" s="338"/>
      <c r="KW375" s="337"/>
      <c r="KX375" s="336"/>
      <c r="KY375" s="336"/>
      <c r="KZ375" s="336"/>
      <c r="LA375" s="336"/>
      <c r="LB375" s="336"/>
      <c r="LC375" s="336"/>
      <c r="LD375" s="336"/>
      <c r="LE375" s="336"/>
      <c r="LF375" s="336"/>
      <c r="LG375" s="336"/>
      <c r="LH375" s="336"/>
      <c r="LI375" s="336"/>
      <c r="LJ375" s="336"/>
      <c r="LK375" s="336"/>
      <c r="LL375" s="336"/>
      <c r="LM375" s="336"/>
      <c r="LN375" s="336"/>
      <c r="LO375" s="336"/>
      <c r="LP375" s="336"/>
      <c r="LQ375" s="337"/>
      <c r="MN375" s="10"/>
      <c r="OA375" s="10"/>
    </row>
    <row r="376" spans="1:391" s="370" customFormat="1" x14ac:dyDescent="0.25">
      <c r="A376" s="68"/>
      <c r="B376" s="10"/>
      <c r="C376" s="68"/>
      <c r="D376" s="68"/>
      <c r="E376" s="68"/>
      <c r="F376" s="68"/>
      <c r="G376" s="68"/>
      <c r="H376" s="68"/>
      <c r="I376" s="68"/>
      <c r="J376" s="68"/>
      <c r="K376" s="68"/>
      <c r="L376" s="68"/>
      <c r="M376" s="68"/>
      <c r="N376" s="68"/>
      <c r="O376" s="68"/>
      <c r="P376" s="68"/>
      <c r="Q376" s="68"/>
      <c r="R376" s="68"/>
      <c r="S376" s="68"/>
      <c r="T376" s="70"/>
      <c r="AC376" s="68"/>
      <c r="AD376" s="70"/>
      <c r="AM376" s="68"/>
      <c r="AN376" s="70"/>
      <c r="AU376" s="68"/>
      <c r="AV376" s="70"/>
      <c r="BB376" s="68"/>
      <c r="BC376" s="70"/>
      <c r="BD376" s="68"/>
      <c r="BE376" s="68"/>
      <c r="BF376" s="68"/>
      <c r="BG376" s="68"/>
      <c r="BH376" s="68"/>
      <c r="BI376" s="68"/>
      <c r="BJ376" s="70"/>
      <c r="BM376" s="68"/>
      <c r="BN376" s="70"/>
      <c r="BT376" s="68"/>
      <c r="BU376" s="70"/>
      <c r="BZ376" s="10"/>
      <c r="CF376" s="10"/>
      <c r="CI376" s="389"/>
      <c r="CJ376" s="389"/>
      <c r="CK376" s="68"/>
      <c r="CL376" s="70"/>
      <c r="CO376" s="10"/>
      <c r="CU376" s="10"/>
      <c r="DA376" s="10"/>
      <c r="DB376" s="70"/>
      <c r="DC376" s="70"/>
      <c r="DF376" s="68"/>
      <c r="DG376" s="70"/>
      <c r="DH376" s="68"/>
      <c r="DI376" s="386"/>
      <c r="DJ376" s="425"/>
      <c r="DL376" s="68"/>
      <c r="DM376" s="70"/>
      <c r="DQ376" s="68"/>
      <c r="DR376" s="70"/>
      <c r="DS376" s="338"/>
      <c r="DT376" s="338"/>
      <c r="DU376" s="338"/>
      <c r="DW376" s="338"/>
      <c r="DX376" s="338"/>
      <c r="DY376" s="338"/>
      <c r="EA376" s="338"/>
      <c r="EB376" s="338"/>
      <c r="EC376" s="338"/>
      <c r="EE376" s="338"/>
      <c r="EF376" s="338"/>
      <c r="EG376" s="338"/>
      <c r="EI376" s="336"/>
      <c r="EJ376" s="336"/>
      <c r="EK376" s="336"/>
      <c r="EL376" s="336"/>
      <c r="EM376" s="336"/>
      <c r="EN376" s="336"/>
      <c r="EO376" s="337"/>
      <c r="EP376" s="342"/>
      <c r="EQ376" s="336"/>
      <c r="ER376" s="342"/>
      <c r="ES376" s="336"/>
      <c r="ET376" s="342"/>
      <c r="EU376" s="336"/>
      <c r="EV376" s="342"/>
      <c r="EW376" s="336"/>
      <c r="EX376" s="342"/>
      <c r="EY376" s="342"/>
      <c r="EZ376" s="342"/>
      <c r="FA376" s="337"/>
      <c r="FE376" s="338"/>
      <c r="FH376" s="338"/>
      <c r="FI376" s="338"/>
      <c r="FJ376" s="338"/>
      <c r="FK376" s="338"/>
      <c r="FL376" s="338"/>
      <c r="FM376" s="337"/>
      <c r="FN376" s="336"/>
      <c r="FO376" s="336"/>
      <c r="FP376" s="336"/>
      <c r="FQ376" s="336"/>
      <c r="FR376" s="336"/>
      <c r="FS376" s="336"/>
      <c r="FT376" s="336"/>
      <c r="FU376" s="336"/>
      <c r="FV376" s="336"/>
      <c r="FW376" s="337"/>
      <c r="FX376" s="532"/>
      <c r="FY376" s="341"/>
      <c r="FZ376" s="341"/>
      <c r="GA376" s="336"/>
      <c r="GB376" s="341"/>
      <c r="GC376" s="341"/>
      <c r="GD376" s="341"/>
      <c r="GE376" s="336"/>
      <c r="GF376" s="336"/>
      <c r="GG376" s="336"/>
      <c r="GH376" s="336"/>
      <c r="GI376" s="336"/>
      <c r="GJ376" s="337"/>
      <c r="GM376" s="338"/>
      <c r="GN376" s="338"/>
      <c r="GO376" s="338"/>
      <c r="GS376" s="338"/>
      <c r="GT376" s="338"/>
      <c r="GU376" s="338"/>
      <c r="GY376" s="338"/>
      <c r="GZ376" s="338"/>
      <c r="HA376" s="338"/>
      <c r="HE376" s="338"/>
      <c r="HF376" s="338"/>
      <c r="HG376" s="338"/>
      <c r="HN376" s="68"/>
      <c r="HO376" s="68"/>
      <c r="HP376" s="68"/>
      <c r="HQ376" s="336"/>
      <c r="HR376" s="68"/>
      <c r="HS376" s="68"/>
      <c r="HT376" s="10"/>
      <c r="HW376" s="338"/>
      <c r="HX376" s="338"/>
      <c r="HY376" s="338"/>
      <c r="IC376" s="338"/>
      <c r="ID376" s="338"/>
      <c r="IE376" s="338"/>
      <c r="II376" s="338"/>
      <c r="IJ376" s="338"/>
      <c r="IK376" s="338"/>
      <c r="IO376" s="338"/>
      <c r="IP376" s="338"/>
      <c r="IQ376" s="338"/>
      <c r="IX376" s="68"/>
      <c r="IY376" s="68"/>
      <c r="IZ376" s="68"/>
      <c r="JA376" s="68"/>
      <c r="JB376" s="68"/>
      <c r="JC376" s="68"/>
      <c r="JD376" s="10"/>
      <c r="JG376" s="338"/>
      <c r="JH376" s="338"/>
      <c r="JI376" s="338"/>
      <c r="JM376" s="338"/>
      <c r="JN376" s="338"/>
      <c r="JQ376" s="338"/>
      <c r="JR376" s="338"/>
      <c r="JS376" s="338"/>
      <c r="JW376" s="358"/>
      <c r="JX376" s="336"/>
      <c r="JY376" s="336"/>
      <c r="JZ376" s="336"/>
      <c r="KA376" s="336"/>
      <c r="KB376" s="336"/>
      <c r="KC376" s="336"/>
      <c r="KD376" s="336"/>
      <c r="KE376" s="336"/>
      <c r="KF376" s="336"/>
      <c r="KG376" s="337"/>
      <c r="KH376" s="338"/>
      <c r="KI376" s="338"/>
      <c r="KJ376" s="338"/>
      <c r="KK376" s="338"/>
      <c r="KL376" s="338"/>
      <c r="KM376" s="338"/>
      <c r="KN376" s="338"/>
      <c r="KO376" s="338"/>
      <c r="KP376" s="338"/>
      <c r="KQ376" s="338"/>
      <c r="KR376" s="338"/>
      <c r="KS376" s="338"/>
      <c r="KT376" s="338"/>
      <c r="KU376" s="338"/>
      <c r="KV376" s="338"/>
      <c r="KW376" s="337"/>
      <c r="KX376" s="336"/>
      <c r="KY376" s="336"/>
      <c r="KZ376" s="336"/>
      <c r="LA376" s="336"/>
      <c r="LB376" s="336"/>
      <c r="LC376" s="336"/>
      <c r="LD376" s="336"/>
      <c r="LE376" s="336"/>
      <c r="LF376" s="336"/>
      <c r="LG376" s="336"/>
      <c r="LH376" s="336"/>
      <c r="LI376" s="336"/>
      <c r="LJ376" s="336"/>
      <c r="LK376" s="336"/>
      <c r="LL376" s="336"/>
      <c r="LM376" s="336"/>
      <c r="LN376" s="336"/>
      <c r="LO376" s="336"/>
      <c r="LP376" s="336"/>
      <c r="LQ376" s="337"/>
      <c r="MN376" s="10"/>
      <c r="OA376" s="10"/>
    </row>
    <row r="377" spans="1:391" s="370" customFormat="1" x14ac:dyDescent="0.25">
      <c r="A377" s="68"/>
      <c r="B377" s="10"/>
      <c r="C377" s="68"/>
      <c r="D377" s="68"/>
      <c r="E377" s="68"/>
      <c r="F377" s="68"/>
      <c r="G377" s="68"/>
      <c r="H377" s="68"/>
      <c r="I377" s="68"/>
      <c r="J377" s="68"/>
      <c r="K377" s="68"/>
      <c r="L377" s="68"/>
      <c r="M377" s="68"/>
      <c r="N377" s="68"/>
      <c r="O377" s="68"/>
      <c r="P377" s="68"/>
      <c r="Q377" s="68"/>
      <c r="R377" s="68"/>
      <c r="S377" s="68"/>
      <c r="T377" s="70"/>
      <c r="AC377" s="68"/>
      <c r="AD377" s="70"/>
      <c r="AM377" s="68"/>
      <c r="AN377" s="70"/>
      <c r="AU377" s="68"/>
      <c r="AV377" s="70"/>
      <c r="BB377" s="68"/>
      <c r="BC377" s="70"/>
      <c r="BD377" s="68"/>
      <c r="BE377" s="68"/>
      <c r="BF377" s="68"/>
      <c r="BG377" s="68"/>
      <c r="BH377" s="68"/>
      <c r="BI377" s="68"/>
      <c r="BJ377" s="70"/>
      <c r="BM377" s="68"/>
      <c r="BN377" s="70"/>
      <c r="BT377" s="68"/>
      <c r="BU377" s="70"/>
      <c r="BZ377" s="10"/>
      <c r="CF377" s="10"/>
      <c r="CI377" s="389"/>
      <c r="CJ377" s="389"/>
      <c r="CK377" s="68"/>
      <c r="CL377" s="70"/>
      <c r="CO377" s="10"/>
      <c r="CU377" s="10"/>
      <c r="DA377" s="10"/>
      <c r="DB377" s="70"/>
      <c r="DC377" s="70"/>
      <c r="DF377" s="68"/>
      <c r="DG377" s="70"/>
      <c r="DH377" s="68"/>
      <c r="DI377" s="386"/>
      <c r="DJ377" s="425"/>
      <c r="DL377" s="68"/>
      <c r="DM377" s="70"/>
      <c r="DQ377" s="68"/>
      <c r="DR377" s="70"/>
      <c r="DS377" s="338"/>
      <c r="DT377" s="338"/>
      <c r="DU377" s="338"/>
      <c r="DW377" s="338"/>
      <c r="DX377" s="338"/>
      <c r="DY377" s="338"/>
      <c r="EA377" s="338"/>
      <c r="EB377" s="338"/>
      <c r="EC377" s="338"/>
      <c r="EE377" s="338"/>
      <c r="EF377" s="338"/>
      <c r="EG377" s="338"/>
      <c r="EI377" s="336"/>
      <c r="EJ377" s="336"/>
      <c r="EK377" s="336"/>
      <c r="EL377" s="336"/>
      <c r="EM377" s="336"/>
      <c r="EN377" s="336"/>
      <c r="EO377" s="337"/>
      <c r="EP377" s="342"/>
      <c r="EQ377" s="336"/>
      <c r="ER377" s="342"/>
      <c r="ES377" s="336"/>
      <c r="ET377" s="342"/>
      <c r="EU377" s="336"/>
      <c r="EV377" s="342"/>
      <c r="EW377" s="336"/>
      <c r="EX377" s="342"/>
      <c r="EY377" s="342"/>
      <c r="EZ377" s="342"/>
      <c r="FA377" s="337"/>
      <c r="FE377" s="338"/>
      <c r="FH377" s="338"/>
      <c r="FI377" s="338"/>
      <c r="FJ377" s="338"/>
      <c r="FK377" s="338"/>
      <c r="FL377" s="338"/>
      <c r="FM377" s="337"/>
      <c r="FN377" s="336"/>
      <c r="FO377" s="336"/>
      <c r="FP377" s="336"/>
      <c r="FQ377" s="336"/>
      <c r="FR377" s="336"/>
      <c r="FS377" s="336"/>
      <c r="FT377" s="336"/>
      <c r="FU377" s="336"/>
      <c r="FV377" s="336"/>
      <c r="FW377" s="337"/>
      <c r="FX377" s="532"/>
      <c r="FY377" s="341"/>
      <c r="FZ377" s="341"/>
      <c r="GA377" s="336"/>
      <c r="GB377" s="341"/>
      <c r="GC377" s="341"/>
      <c r="GD377" s="341"/>
      <c r="GE377" s="336"/>
      <c r="GF377" s="336"/>
      <c r="GG377" s="336"/>
      <c r="GH377" s="336"/>
      <c r="GI377" s="336"/>
      <c r="GJ377" s="337"/>
      <c r="GM377" s="338"/>
      <c r="GN377" s="338"/>
      <c r="GO377" s="338"/>
      <c r="GS377" s="338"/>
      <c r="GT377" s="338"/>
      <c r="GU377" s="338"/>
      <c r="GY377" s="338"/>
      <c r="GZ377" s="338"/>
      <c r="HA377" s="338"/>
      <c r="HE377" s="338"/>
      <c r="HF377" s="338"/>
      <c r="HG377" s="338"/>
      <c r="HN377" s="68"/>
      <c r="HO377" s="68"/>
      <c r="HP377" s="68"/>
      <c r="HQ377" s="336"/>
      <c r="HR377" s="68"/>
      <c r="HS377" s="68"/>
      <c r="HT377" s="10"/>
      <c r="HW377" s="338"/>
      <c r="HX377" s="338"/>
      <c r="HY377" s="338"/>
      <c r="IC377" s="338"/>
      <c r="ID377" s="338"/>
      <c r="IE377" s="338"/>
      <c r="II377" s="338"/>
      <c r="IJ377" s="338"/>
      <c r="IK377" s="338"/>
      <c r="IO377" s="338"/>
      <c r="IP377" s="338"/>
      <c r="IQ377" s="338"/>
      <c r="IX377" s="68"/>
      <c r="IY377" s="68"/>
      <c r="IZ377" s="68"/>
      <c r="JA377" s="68"/>
      <c r="JB377" s="68"/>
      <c r="JC377" s="68"/>
      <c r="JD377" s="10"/>
      <c r="JG377" s="338"/>
      <c r="JH377" s="338"/>
      <c r="JI377" s="338"/>
      <c r="JM377" s="338"/>
      <c r="JN377" s="338"/>
      <c r="JQ377" s="338"/>
      <c r="JR377" s="338"/>
      <c r="JS377" s="338"/>
      <c r="JW377" s="358"/>
      <c r="JX377" s="336"/>
      <c r="JY377" s="336"/>
      <c r="JZ377" s="336"/>
      <c r="KA377" s="336"/>
      <c r="KB377" s="336"/>
      <c r="KC377" s="336"/>
      <c r="KD377" s="336"/>
      <c r="KE377" s="336"/>
      <c r="KF377" s="336"/>
      <c r="KG377" s="337"/>
      <c r="KH377" s="338"/>
      <c r="KI377" s="338"/>
      <c r="KJ377" s="338"/>
      <c r="KK377" s="338"/>
      <c r="KL377" s="338"/>
      <c r="KM377" s="338"/>
      <c r="KN377" s="338"/>
      <c r="KO377" s="338"/>
      <c r="KP377" s="338"/>
      <c r="KQ377" s="338"/>
      <c r="KR377" s="338"/>
      <c r="KS377" s="338"/>
      <c r="KT377" s="338"/>
      <c r="KU377" s="338"/>
      <c r="KV377" s="338"/>
      <c r="KW377" s="337"/>
      <c r="KX377" s="336"/>
      <c r="KY377" s="336"/>
      <c r="KZ377" s="336"/>
      <c r="LA377" s="336"/>
      <c r="LB377" s="336"/>
      <c r="LC377" s="336"/>
      <c r="LD377" s="336"/>
      <c r="LE377" s="336"/>
      <c r="LF377" s="336"/>
      <c r="LG377" s="336"/>
      <c r="LH377" s="336"/>
      <c r="LI377" s="336"/>
      <c r="LJ377" s="336"/>
      <c r="LK377" s="336"/>
      <c r="LL377" s="336"/>
      <c r="LM377" s="336"/>
      <c r="LN377" s="336"/>
      <c r="LO377" s="336"/>
      <c r="LP377" s="336"/>
      <c r="LQ377" s="337"/>
      <c r="MN377" s="10"/>
      <c r="OA377" s="10"/>
    </row>
    <row r="378" spans="1:391" s="370" customFormat="1" x14ac:dyDescent="0.25">
      <c r="A378" s="68"/>
      <c r="B378" s="10"/>
      <c r="C378" s="68"/>
      <c r="D378" s="68"/>
      <c r="E378" s="68"/>
      <c r="F378" s="68"/>
      <c r="G378" s="68"/>
      <c r="H378" s="68"/>
      <c r="I378" s="68"/>
      <c r="J378" s="68"/>
      <c r="K378" s="68"/>
      <c r="L378" s="68"/>
      <c r="M378" s="68"/>
      <c r="N378" s="68"/>
      <c r="O378" s="68"/>
      <c r="P378" s="68"/>
      <c r="Q378" s="68"/>
      <c r="R378" s="68"/>
      <c r="S378" s="68"/>
      <c r="T378" s="70"/>
      <c r="AC378" s="68"/>
      <c r="AD378" s="70"/>
      <c r="AM378" s="68"/>
      <c r="AN378" s="70"/>
      <c r="AU378" s="68"/>
      <c r="AV378" s="70"/>
      <c r="BB378" s="68"/>
      <c r="BC378" s="70"/>
      <c r="BD378" s="68"/>
      <c r="BE378" s="68"/>
      <c r="BF378" s="68"/>
      <c r="BG378" s="68"/>
      <c r="BH378" s="68"/>
      <c r="BI378" s="68"/>
      <c r="BJ378" s="70"/>
      <c r="BM378" s="68"/>
      <c r="BN378" s="70"/>
      <c r="BT378" s="68"/>
      <c r="BU378" s="70"/>
      <c r="BZ378" s="10"/>
      <c r="CF378" s="10"/>
      <c r="CI378" s="389"/>
      <c r="CJ378" s="389"/>
      <c r="CK378" s="68"/>
      <c r="CL378" s="70"/>
      <c r="CO378" s="10"/>
      <c r="CU378" s="10"/>
      <c r="DA378" s="10"/>
      <c r="DB378" s="70"/>
      <c r="DC378" s="70"/>
      <c r="DF378" s="68"/>
      <c r="DG378" s="70"/>
      <c r="DH378" s="68"/>
      <c r="DI378" s="386"/>
      <c r="DJ378" s="425"/>
      <c r="DL378" s="68"/>
      <c r="DM378" s="70"/>
      <c r="DQ378" s="68"/>
      <c r="DR378" s="70"/>
      <c r="DS378" s="338"/>
      <c r="DT378" s="338"/>
      <c r="DU378" s="338"/>
      <c r="DW378" s="338"/>
      <c r="DX378" s="338"/>
      <c r="DY378" s="338"/>
      <c r="EA378" s="338"/>
      <c r="EB378" s="338"/>
      <c r="EC378" s="338"/>
      <c r="EE378" s="338"/>
      <c r="EF378" s="338"/>
      <c r="EG378" s="338"/>
      <c r="EI378" s="336"/>
      <c r="EJ378" s="336"/>
      <c r="EK378" s="336"/>
      <c r="EL378" s="336"/>
      <c r="EM378" s="336"/>
      <c r="EN378" s="336"/>
      <c r="EO378" s="337"/>
      <c r="EP378" s="342"/>
      <c r="EQ378" s="336"/>
      <c r="ER378" s="342"/>
      <c r="ES378" s="336"/>
      <c r="ET378" s="342"/>
      <c r="EU378" s="336"/>
      <c r="EV378" s="342"/>
      <c r="EW378" s="336"/>
      <c r="EX378" s="342"/>
      <c r="EY378" s="342"/>
      <c r="EZ378" s="342"/>
      <c r="FA378" s="337"/>
      <c r="FE378" s="338"/>
      <c r="FH378" s="338"/>
      <c r="FI378" s="338"/>
      <c r="FJ378" s="338"/>
      <c r="FK378" s="338"/>
      <c r="FL378" s="338"/>
      <c r="FM378" s="337"/>
      <c r="FN378" s="336"/>
      <c r="FO378" s="336"/>
      <c r="FP378" s="336"/>
      <c r="FQ378" s="336"/>
      <c r="FR378" s="336"/>
      <c r="FS378" s="336"/>
      <c r="FT378" s="336"/>
      <c r="FU378" s="336"/>
      <c r="FV378" s="336"/>
      <c r="FW378" s="337"/>
      <c r="FX378" s="532"/>
      <c r="FY378" s="341"/>
      <c r="FZ378" s="341"/>
      <c r="GA378" s="336"/>
      <c r="GB378" s="341"/>
      <c r="GC378" s="341"/>
      <c r="GD378" s="341"/>
      <c r="GE378" s="336"/>
      <c r="GF378" s="336"/>
      <c r="GG378" s="336"/>
      <c r="GH378" s="336"/>
      <c r="GI378" s="336"/>
      <c r="GJ378" s="337"/>
      <c r="GM378" s="338"/>
      <c r="GN378" s="338"/>
      <c r="GO378" s="338"/>
      <c r="GS378" s="338"/>
      <c r="GT378" s="338"/>
      <c r="GU378" s="338"/>
      <c r="GY378" s="338"/>
      <c r="GZ378" s="338"/>
      <c r="HA378" s="338"/>
      <c r="HE378" s="338"/>
      <c r="HF378" s="338"/>
      <c r="HG378" s="338"/>
      <c r="HN378" s="68"/>
      <c r="HO378" s="68"/>
      <c r="HP378" s="68"/>
      <c r="HQ378" s="336"/>
      <c r="HR378" s="68"/>
      <c r="HS378" s="68"/>
      <c r="HT378" s="10"/>
      <c r="HW378" s="338"/>
      <c r="HX378" s="338"/>
      <c r="HY378" s="338"/>
      <c r="IC378" s="338"/>
      <c r="ID378" s="338"/>
      <c r="IE378" s="338"/>
      <c r="II378" s="338"/>
      <c r="IJ378" s="338"/>
      <c r="IK378" s="338"/>
      <c r="IO378" s="338"/>
      <c r="IP378" s="338"/>
      <c r="IQ378" s="338"/>
      <c r="IX378" s="68"/>
      <c r="IY378" s="68"/>
      <c r="IZ378" s="68"/>
      <c r="JA378" s="68"/>
      <c r="JB378" s="68"/>
      <c r="JC378" s="68"/>
      <c r="JD378" s="10"/>
      <c r="JG378" s="338"/>
      <c r="JH378" s="338"/>
      <c r="JI378" s="338"/>
      <c r="JM378" s="338"/>
      <c r="JN378" s="338"/>
      <c r="JQ378" s="338"/>
      <c r="JR378" s="338"/>
      <c r="JS378" s="338"/>
      <c r="JW378" s="358"/>
      <c r="JX378" s="336"/>
      <c r="JY378" s="336"/>
      <c r="JZ378" s="336"/>
      <c r="KA378" s="336"/>
      <c r="KB378" s="336"/>
      <c r="KC378" s="336"/>
      <c r="KD378" s="336"/>
      <c r="KE378" s="336"/>
      <c r="KF378" s="336"/>
      <c r="KG378" s="337"/>
      <c r="KH378" s="338"/>
      <c r="KI378" s="338"/>
      <c r="KJ378" s="338"/>
      <c r="KK378" s="338"/>
      <c r="KL378" s="338"/>
      <c r="KM378" s="338"/>
      <c r="KN378" s="338"/>
      <c r="KO378" s="338"/>
      <c r="KP378" s="338"/>
      <c r="KQ378" s="338"/>
      <c r="KR378" s="338"/>
      <c r="KS378" s="338"/>
      <c r="KT378" s="338"/>
      <c r="KU378" s="338"/>
      <c r="KV378" s="338"/>
      <c r="KW378" s="337"/>
      <c r="KX378" s="336"/>
      <c r="KY378" s="336"/>
      <c r="KZ378" s="336"/>
      <c r="LA378" s="336"/>
      <c r="LB378" s="336"/>
      <c r="LC378" s="336"/>
      <c r="LD378" s="336"/>
      <c r="LE378" s="336"/>
      <c r="LF378" s="336"/>
      <c r="LG378" s="336"/>
      <c r="LH378" s="336"/>
      <c r="LI378" s="336"/>
      <c r="LJ378" s="336"/>
      <c r="LK378" s="336"/>
      <c r="LL378" s="336"/>
      <c r="LM378" s="336"/>
      <c r="LN378" s="336"/>
      <c r="LO378" s="336"/>
      <c r="LP378" s="336"/>
      <c r="LQ378" s="337"/>
      <c r="MN378" s="10"/>
      <c r="OA378" s="10"/>
    </row>
    <row r="379" spans="1:391" s="370" customFormat="1" x14ac:dyDescent="0.25">
      <c r="A379" s="68"/>
      <c r="B379" s="10"/>
      <c r="C379" s="68"/>
      <c r="D379" s="68"/>
      <c r="E379" s="68"/>
      <c r="F379" s="68"/>
      <c r="G379" s="68"/>
      <c r="H379" s="68"/>
      <c r="I379" s="68"/>
      <c r="J379" s="68"/>
      <c r="K379" s="68"/>
      <c r="L379" s="68"/>
      <c r="M379" s="68"/>
      <c r="N379" s="68"/>
      <c r="O379" s="68"/>
      <c r="P379" s="68"/>
      <c r="Q379" s="68"/>
      <c r="R379" s="68"/>
      <c r="S379" s="68"/>
      <c r="T379" s="70"/>
      <c r="AC379" s="68"/>
      <c r="AD379" s="70"/>
      <c r="AM379" s="68"/>
      <c r="AN379" s="70"/>
      <c r="AU379" s="68"/>
      <c r="AV379" s="70"/>
      <c r="BB379" s="68"/>
      <c r="BC379" s="70"/>
      <c r="BD379" s="68"/>
      <c r="BE379" s="68"/>
      <c r="BF379" s="68"/>
      <c r="BG379" s="68"/>
      <c r="BH379" s="68"/>
      <c r="BI379" s="68"/>
      <c r="BJ379" s="70"/>
      <c r="BM379" s="68"/>
      <c r="BN379" s="70"/>
      <c r="BT379" s="68"/>
      <c r="BU379" s="70"/>
      <c r="BZ379" s="10"/>
      <c r="CF379" s="10"/>
      <c r="CI379" s="389"/>
      <c r="CJ379" s="389"/>
      <c r="CK379" s="68"/>
      <c r="CL379" s="70"/>
      <c r="CO379" s="10"/>
      <c r="CU379" s="10"/>
      <c r="DA379" s="10"/>
      <c r="DB379" s="70"/>
      <c r="DC379" s="70"/>
      <c r="DF379" s="68"/>
      <c r="DG379" s="70"/>
      <c r="DH379" s="68"/>
      <c r="DI379" s="386"/>
      <c r="DJ379" s="425"/>
      <c r="DL379" s="68"/>
      <c r="DM379" s="70"/>
      <c r="DQ379" s="68"/>
      <c r="DR379" s="70"/>
      <c r="DS379" s="338"/>
      <c r="DT379" s="338"/>
      <c r="DU379" s="338"/>
      <c r="DW379" s="338"/>
      <c r="DX379" s="338"/>
      <c r="DY379" s="338"/>
      <c r="EA379" s="338"/>
      <c r="EB379" s="338"/>
      <c r="EC379" s="338"/>
      <c r="EE379" s="338"/>
      <c r="EF379" s="338"/>
      <c r="EG379" s="338"/>
      <c r="EI379" s="336"/>
      <c r="EJ379" s="336"/>
      <c r="EK379" s="336"/>
      <c r="EL379" s="336"/>
      <c r="EM379" s="336"/>
      <c r="EN379" s="336"/>
      <c r="EO379" s="337"/>
      <c r="EP379" s="342"/>
      <c r="EQ379" s="336"/>
      <c r="ER379" s="342"/>
      <c r="ES379" s="336"/>
      <c r="ET379" s="342"/>
      <c r="EU379" s="336"/>
      <c r="EV379" s="342"/>
      <c r="EW379" s="336"/>
      <c r="EX379" s="342"/>
      <c r="EY379" s="342"/>
      <c r="EZ379" s="342"/>
      <c r="FA379" s="337"/>
      <c r="FE379" s="338"/>
      <c r="FH379" s="338"/>
      <c r="FI379" s="338"/>
      <c r="FJ379" s="338"/>
      <c r="FK379" s="338"/>
      <c r="FL379" s="338"/>
      <c r="FM379" s="337"/>
      <c r="FN379" s="336"/>
      <c r="FO379" s="336"/>
      <c r="FP379" s="336"/>
      <c r="FQ379" s="336"/>
      <c r="FR379" s="336"/>
      <c r="FS379" s="336"/>
      <c r="FT379" s="336"/>
      <c r="FU379" s="336"/>
      <c r="FV379" s="336"/>
      <c r="FW379" s="337"/>
      <c r="FX379" s="532"/>
      <c r="FY379" s="341"/>
      <c r="FZ379" s="341"/>
      <c r="GA379" s="336"/>
      <c r="GB379" s="341"/>
      <c r="GC379" s="341"/>
      <c r="GD379" s="341"/>
      <c r="GE379" s="336"/>
      <c r="GF379" s="336"/>
      <c r="GG379" s="336"/>
      <c r="GH379" s="336"/>
      <c r="GI379" s="336"/>
      <c r="GJ379" s="337"/>
      <c r="GM379" s="338"/>
      <c r="GN379" s="338"/>
      <c r="GO379" s="338"/>
      <c r="GS379" s="338"/>
      <c r="GT379" s="338"/>
      <c r="GU379" s="338"/>
      <c r="GY379" s="338"/>
      <c r="GZ379" s="338"/>
      <c r="HA379" s="338"/>
      <c r="HE379" s="338"/>
      <c r="HF379" s="338"/>
      <c r="HG379" s="338"/>
      <c r="HN379" s="68"/>
      <c r="HO379" s="68"/>
      <c r="HP379" s="68"/>
      <c r="HQ379" s="336"/>
      <c r="HR379" s="68"/>
      <c r="HS379" s="68"/>
      <c r="HT379" s="10"/>
      <c r="HW379" s="338"/>
      <c r="HX379" s="338"/>
      <c r="HY379" s="338"/>
      <c r="IC379" s="338"/>
      <c r="ID379" s="338"/>
      <c r="IE379" s="338"/>
      <c r="II379" s="338"/>
      <c r="IJ379" s="338"/>
      <c r="IK379" s="338"/>
      <c r="IO379" s="338"/>
      <c r="IP379" s="338"/>
      <c r="IQ379" s="338"/>
      <c r="IX379" s="68"/>
      <c r="IY379" s="68"/>
      <c r="IZ379" s="68"/>
      <c r="JA379" s="68"/>
      <c r="JB379" s="68"/>
      <c r="JC379" s="68"/>
      <c r="JD379" s="10"/>
      <c r="JG379" s="338"/>
      <c r="JH379" s="338"/>
      <c r="JI379" s="338"/>
      <c r="JM379" s="338"/>
      <c r="JN379" s="338"/>
      <c r="JQ379" s="338"/>
      <c r="JR379" s="338"/>
      <c r="JS379" s="338"/>
      <c r="JW379" s="358"/>
      <c r="JX379" s="336"/>
      <c r="JY379" s="336"/>
      <c r="JZ379" s="336"/>
      <c r="KA379" s="336"/>
      <c r="KB379" s="336"/>
      <c r="KC379" s="336"/>
      <c r="KD379" s="336"/>
      <c r="KE379" s="336"/>
      <c r="KF379" s="336"/>
      <c r="KG379" s="337"/>
      <c r="KH379" s="338"/>
      <c r="KI379" s="338"/>
      <c r="KJ379" s="338"/>
      <c r="KK379" s="338"/>
      <c r="KL379" s="338"/>
      <c r="KM379" s="338"/>
      <c r="KN379" s="338"/>
      <c r="KO379" s="338"/>
      <c r="KP379" s="338"/>
      <c r="KQ379" s="338"/>
      <c r="KR379" s="338"/>
      <c r="KS379" s="338"/>
      <c r="KT379" s="338"/>
      <c r="KU379" s="338"/>
      <c r="KV379" s="338"/>
      <c r="KW379" s="337"/>
      <c r="KX379" s="336"/>
      <c r="KY379" s="336"/>
      <c r="KZ379" s="336"/>
      <c r="LA379" s="336"/>
      <c r="LB379" s="336"/>
      <c r="LC379" s="336"/>
      <c r="LD379" s="336"/>
      <c r="LE379" s="336"/>
      <c r="LF379" s="336"/>
      <c r="LG379" s="336"/>
      <c r="LH379" s="336"/>
      <c r="LI379" s="336"/>
      <c r="LJ379" s="336"/>
      <c r="LK379" s="336"/>
      <c r="LL379" s="336"/>
      <c r="LM379" s="336"/>
      <c r="LN379" s="336"/>
      <c r="LO379" s="336"/>
      <c r="LP379" s="336"/>
      <c r="LQ379" s="337"/>
      <c r="MN379" s="10"/>
      <c r="OA379" s="10"/>
    </row>
    <row r="380" spans="1:391" s="370" customFormat="1" x14ac:dyDescent="0.25">
      <c r="A380" s="68"/>
      <c r="B380" s="10"/>
      <c r="C380" s="68"/>
      <c r="D380" s="68"/>
      <c r="E380" s="68"/>
      <c r="F380" s="68"/>
      <c r="G380" s="68"/>
      <c r="H380" s="68"/>
      <c r="I380" s="68"/>
      <c r="J380" s="68"/>
      <c r="K380" s="68"/>
      <c r="L380" s="68"/>
      <c r="M380" s="68"/>
      <c r="N380" s="68"/>
      <c r="O380" s="68"/>
      <c r="P380" s="68"/>
      <c r="Q380" s="68"/>
      <c r="R380" s="68"/>
      <c r="S380" s="68"/>
      <c r="T380" s="70"/>
      <c r="AC380" s="68"/>
      <c r="AD380" s="70"/>
      <c r="AM380" s="68"/>
      <c r="AN380" s="70"/>
      <c r="AU380" s="68"/>
      <c r="AV380" s="70"/>
      <c r="BB380" s="68"/>
      <c r="BC380" s="70"/>
      <c r="BD380" s="68"/>
      <c r="BE380" s="68"/>
      <c r="BF380" s="68"/>
      <c r="BG380" s="68"/>
      <c r="BH380" s="68"/>
      <c r="BI380" s="68"/>
      <c r="BJ380" s="70"/>
      <c r="BM380" s="68"/>
      <c r="BN380" s="70"/>
      <c r="BT380" s="68"/>
      <c r="BU380" s="70"/>
      <c r="BZ380" s="10"/>
      <c r="CF380" s="10"/>
      <c r="CI380" s="389"/>
      <c r="CJ380" s="389"/>
      <c r="CK380" s="68"/>
      <c r="CL380" s="70"/>
      <c r="CO380" s="10"/>
      <c r="CU380" s="10"/>
      <c r="DA380" s="10"/>
      <c r="DB380" s="70"/>
      <c r="DC380" s="70"/>
      <c r="DF380" s="68"/>
      <c r="DG380" s="70"/>
      <c r="DH380" s="68"/>
      <c r="DI380" s="386"/>
      <c r="DJ380" s="425"/>
      <c r="DL380" s="68"/>
      <c r="DM380" s="70"/>
      <c r="DQ380" s="68"/>
      <c r="DR380" s="70"/>
      <c r="DS380" s="338"/>
      <c r="DT380" s="338"/>
      <c r="DU380" s="338"/>
      <c r="DW380" s="338"/>
      <c r="DX380" s="338"/>
      <c r="DY380" s="338"/>
      <c r="EA380" s="338"/>
      <c r="EB380" s="338"/>
      <c r="EC380" s="338"/>
      <c r="EE380" s="338"/>
      <c r="EF380" s="338"/>
      <c r="EG380" s="338"/>
      <c r="EI380" s="336"/>
      <c r="EJ380" s="336"/>
      <c r="EK380" s="336"/>
      <c r="EL380" s="336"/>
      <c r="EM380" s="336"/>
      <c r="EN380" s="336"/>
      <c r="EO380" s="337"/>
      <c r="EP380" s="342"/>
      <c r="EQ380" s="336"/>
      <c r="ER380" s="342"/>
      <c r="ES380" s="336"/>
      <c r="ET380" s="342"/>
      <c r="EU380" s="336"/>
      <c r="EV380" s="342"/>
      <c r="EW380" s="336"/>
      <c r="EX380" s="342"/>
      <c r="EY380" s="342"/>
      <c r="EZ380" s="342"/>
      <c r="FA380" s="337"/>
      <c r="FE380" s="338"/>
      <c r="FH380" s="338"/>
      <c r="FI380" s="338"/>
      <c r="FJ380" s="338"/>
      <c r="FK380" s="338"/>
      <c r="FL380" s="338"/>
      <c r="FM380" s="337"/>
      <c r="FN380" s="336"/>
      <c r="FO380" s="336"/>
      <c r="FP380" s="336"/>
      <c r="FQ380" s="336"/>
      <c r="FR380" s="336"/>
      <c r="FS380" s="336"/>
      <c r="FT380" s="336"/>
      <c r="FU380" s="336"/>
      <c r="FV380" s="336"/>
      <c r="FW380" s="337"/>
      <c r="FX380" s="532"/>
      <c r="FY380" s="341"/>
      <c r="FZ380" s="341"/>
      <c r="GA380" s="336"/>
      <c r="GB380" s="341"/>
      <c r="GC380" s="341"/>
      <c r="GD380" s="341"/>
      <c r="GE380" s="336"/>
      <c r="GF380" s="336"/>
      <c r="GG380" s="336"/>
      <c r="GH380" s="336"/>
      <c r="GI380" s="336"/>
      <c r="GJ380" s="337"/>
      <c r="GM380" s="338"/>
      <c r="GN380" s="338"/>
      <c r="GO380" s="338"/>
      <c r="GS380" s="338"/>
      <c r="GT380" s="338"/>
      <c r="GU380" s="338"/>
      <c r="GY380" s="338"/>
      <c r="GZ380" s="338"/>
      <c r="HA380" s="338"/>
      <c r="HE380" s="338"/>
      <c r="HF380" s="338"/>
      <c r="HG380" s="338"/>
      <c r="HN380" s="68"/>
      <c r="HO380" s="68"/>
      <c r="HP380" s="68"/>
      <c r="HQ380" s="336"/>
      <c r="HR380" s="68"/>
      <c r="HS380" s="68"/>
      <c r="HT380" s="10"/>
      <c r="HW380" s="338"/>
      <c r="HX380" s="338"/>
      <c r="HY380" s="338"/>
      <c r="IC380" s="338"/>
      <c r="ID380" s="338"/>
      <c r="IE380" s="338"/>
      <c r="II380" s="338"/>
      <c r="IJ380" s="338"/>
      <c r="IK380" s="338"/>
      <c r="IO380" s="338"/>
      <c r="IP380" s="338"/>
      <c r="IQ380" s="338"/>
      <c r="IX380" s="68"/>
      <c r="IY380" s="68"/>
      <c r="IZ380" s="68"/>
      <c r="JA380" s="68"/>
      <c r="JB380" s="68"/>
      <c r="JC380" s="68"/>
      <c r="JD380" s="10"/>
      <c r="JG380" s="338"/>
      <c r="JH380" s="338"/>
      <c r="JI380" s="338"/>
      <c r="JM380" s="338"/>
      <c r="JN380" s="338"/>
      <c r="JQ380" s="338"/>
      <c r="JR380" s="338"/>
      <c r="JS380" s="338"/>
      <c r="JW380" s="358"/>
      <c r="JX380" s="336"/>
      <c r="JY380" s="336"/>
      <c r="JZ380" s="336"/>
      <c r="KA380" s="336"/>
      <c r="KB380" s="336"/>
      <c r="KC380" s="336"/>
      <c r="KD380" s="336"/>
      <c r="KE380" s="336"/>
      <c r="KF380" s="336"/>
      <c r="KG380" s="337"/>
      <c r="KH380" s="338"/>
      <c r="KI380" s="338"/>
      <c r="KJ380" s="338"/>
      <c r="KK380" s="338"/>
      <c r="KL380" s="338"/>
      <c r="KM380" s="338"/>
      <c r="KN380" s="338"/>
      <c r="KO380" s="338"/>
      <c r="KP380" s="338"/>
      <c r="KQ380" s="338"/>
      <c r="KR380" s="338"/>
      <c r="KS380" s="338"/>
      <c r="KT380" s="338"/>
      <c r="KU380" s="338"/>
      <c r="KV380" s="338"/>
      <c r="KW380" s="337"/>
      <c r="KX380" s="336"/>
      <c r="KY380" s="336"/>
      <c r="KZ380" s="336"/>
      <c r="LA380" s="336"/>
      <c r="LB380" s="336"/>
      <c r="LC380" s="336"/>
      <c r="LD380" s="336"/>
      <c r="LE380" s="336"/>
      <c r="LF380" s="336"/>
      <c r="LG380" s="336"/>
      <c r="LH380" s="336"/>
      <c r="LI380" s="336"/>
      <c r="LJ380" s="336"/>
      <c r="LK380" s="336"/>
      <c r="LL380" s="336"/>
      <c r="LM380" s="336"/>
      <c r="LN380" s="336"/>
      <c r="LO380" s="336"/>
      <c r="LP380" s="336"/>
      <c r="LQ380" s="337"/>
      <c r="MN380" s="10"/>
      <c r="OA380" s="10"/>
    </row>
    <row r="381" spans="1:391" s="370" customFormat="1" x14ac:dyDescent="0.25">
      <c r="A381" s="68"/>
      <c r="B381" s="10"/>
      <c r="C381" s="68"/>
      <c r="D381" s="68"/>
      <c r="E381" s="68"/>
      <c r="F381" s="68"/>
      <c r="G381" s="68"/>
      <c r="H381" s="68"/>
      <c r="I381" s="68"/>
      <c r="J381" s="68"/>
      <c r="K381" s="68"/>
      <c r="L381" s="68"/>
      <c r="M381" s="68"/>
      <c r="N381" s="68"/>
      <c r="O381" s="68"/>
      <c r="P381" s="68"/>
      <c r="Q381" s="68"/>
      <c r="R381" s="68"/>
      <c r="S381" s="68"/>
      <c r="T381" s="70"/>
      <c r="AC381" s="68"/>
      <c r="AD381" s="70"/>
      <c r="AM381" s="68"/>
      <c r="AN381" s="70"/>
      <c r="AU381" s="68"/>
      <c r="AV381" s="70"/>
      <c r="BB381" s="68"/>
      <c r="BC381" s="70"/>
      <c r="BD381" s="68"/>
      <c r="BE381" s="68"/>
      <c r="BF381" s="68"/>
      <c r="BG381" s="68"/>
      <c r="BH381" s="68"/>
      <c r="BI381" s="68"/>
      <c r="BJ381" s="70"/>
      <c r="BM381" s="68"/>
      <c r="BN381" s="70"/>
      <c r="BT381" s="68"/>
      <c r="BU381" s="70"/>
      <c r="BZ381" s="10"/>
      <c r="CF381" s="10"/>
      <c r="CI381" s="389"/>
      <c r="CJ381" s="389"/>
      <c r="CK381" s="68"/>
      <c r="CL381" s="70"/>
      <c r="CO381" s="10"/>
      <c r="CU381" s="10"/>
      <c r="DA381" s="10"/>
      <c r="DB381" s="70"/>
      <c r="DC381" s="70"/>
      <c r="DF381" s="68"/>
      <c r="DG381" s="70"/>
      <c r="DH381" s="68"/>
      <c r="DI381" s="386"/>
      <c r="DJ381" s="425"/>
      <c r="DL381" s="68"/>
      <c r="DM381" s="70"/>
      <c r="DQ381" s="68"/>
      <c r="DR381" s="70"/>
      <c r="DS381" s="338"/>
      <c r="DT381" s="338"/>
      <c r="DU381" s="338"/>
      <c r="DW381" s="338"/>
      <c r="DX381" s="338"/>
      <c r="DY381" s="338"/>
      <c r="EA381" s="338"/>
      <c r="EB381" s="338"/>
      <c r="EC381" s="338"/>
      <c r="EE381" s="338"/>
      <c r="EF381" s="338"/>
      <c r="EG381" s="338"/>
      <c r="EI381" s="336"/>
      <c r="EJ381" s="336"/>
      <c r="EK381" s="336"/>
      <c r="EL381" s="336"/>
      <c r="EM381" s="336"/>
      <c r="EN381" s="336"/>
      <c r="EO381" s="337"/>
      <c r="EP381" s="342"/>
      <c r="EQ381" s="336"/>
      <c r="ER381" s="342"/>
      <c r="ES381" s="336"/>
      <c r="ET381" s="342"/>
      <c r="EU381" s="336"/>
      <c r="EV381" s="342"/>
      <c r="EW381" s="336"/>
      <c r="EX381" s="342"/>
      <c r="EY381" s="342"/>
      <c r="EZ381" s="342"/>
      <c r="FA381" s="337"/>
      <c r="FE381" s="338"/>
      <c r="FH381" s="338"/>
      <c r="FI381" s="338"/>
      <c r="FJ381" s="338"/>
      <c r="FK381" s="338"/>
      <c r="FL381" s="338"/>
      <c r="FM381" s="337"/>
      <c r="FN381" s="336"/>
      <c r="FO381" s="336"/>
      <c r="FP381" s="336"/>
      <c r="FQ381" s="336"/>
      <c r="FR381" s="336"/>
      <c r="FS381" s="336"/>
      <c r="FT381" s="336"/>
      <c r="FU381" s="336"/>
      <c r="FV381" s="336"/>
      <c r="FW381" s="337"/>
      <c r="FX381" s="532"/>
      <c r="FY381" s="341"/>
      <c r="FZ381" s="341"/>
      <c r="GA381" s="336"/>
      <c r="GB381" s="341"/>
      <c r="GC381" s="341"/>
      <c r="GD381" s="341"/>
      <c r="GE381" s="336"/>
      <c r="GF381" s="336"/>
      <c r="GG381" s="336"/>
      <c r="GH381" s="336"/>
      <c r="GI381" s="336"/>
      <c r="GJ381" s="337"/>
      <c r="GM381" s="338"/>
      <c r="GN381" s="338"/>
      <c r="GO381" s="338"/>
      <c r="GS381" s="338"/>
      <c r="GT381" s="338"/>
      <c r="GU381" s="338"/>
      <c r="GY381" s="338"/>
      <c r="GZ381" s="338"/>
      <c r="HA381" s="338"/>
      <c r="HE381" s="338"/>
      <c r="HF381" s="338"/>
      <c r="HG381" s="338"/>
      <c r="HN381" s="68"/>
      <c r="HO381" s="68"/>
      <c r="HP381" s="68"/>
      <c r="HQ381" s="336"/>
      <c r="HR381" s="68"/>
      <c r="HS381" s="68"/>
      <c r="HT381" s="10"/>
      <c r="HW381" s="338"/>
      <c r="HX381" s="338"/>
      <c r="HY381" s="338"/>
      <c r="IC381" s="338"/>
      <c r="ID381" s="338"/>
      <c r="IE381" s="338"/>
      <c r="II381" s="338"/>
      <c r="IJ381" s="338"/>
      <c r="IK381" s="338"/>
      <c r="IO381" s="338"/>
      <c r="IP381" s="338"/>
      <c r="IQ381" s="338"/>
      <c r="IX381" s="68"/>
      <c r="IY381" s="68"/>
      <c r="IZ381" s="68"/>
      <c r="JA381" s="68"/>
      <c r="JB381" s="68"/>
      <c r="JC381" s="68"/>
      <c r="JD381" s="10"/>
      <c r="JG381" s="338"/>
      <c r="JH381" s="338"/>
      <c r="JI381" s="338"/>
      <c r="JM381" s="338"/>
      <c r="JN381" s="338"/>
      <c r="JQ381" s="338"/>
      <c r="JR381" s="338"/>
      <c r="JS381" s="338"/>
      <c r="JW381" s="358"/>
      <c r="JX381" s="336"/>
      <c r="JY381" s="336"/>
      <c r="JZ381" s="336"/>
      <c r="KA381" s="336"/>
      <c r="KB381" s="336"/>
      <c r="KC381" s="336"/>
      <c r="KD381" s="336"/>
      <c r="KE381" s="336"/>
      <c r="KF381" s="336"/>
      <c r="KG381" s="337"/>
      <c r="KH381" s="338"/>
      <c r="KI381" s="338"/>
      <c r="KJ381" s="338"/>
      <c r="KK381" s="338"/>
      <c r="KL381" s="338"/>
      <c r="KM381" s="338"/>
      <c r="KN381" s="338"/>
      <c r="KO381" s="338"/>
      <c r="KP381" s="338"/>
      <c r="KQ381" s="338"/>
      <c r="KR381" s="338"/>
      <c r="KS381" s="338"/>
      <c r="KT381" s="338"/>
      <c r="KU381" s="338"/>
      <c r="KV381" s="338"/>
      <c r="KW381" s="337"/>
      <c r="KX381" s="336"/>
      <c r="KY381" s="336"/>
      <c r="KZ381" s="336"/>
      <c r="LA381" s="336"/>
      <c r="LB381" s="336"/>
      <c r="LC381" s="336"/>
      <c r="LD381" s="336"/>
      <c r="LE381" s="336"/>
      <c r="LF381" s="336"/>
      <c r="LG381" s="336"/>
      <c r="LH381" s="336"/>
      <c r="LI381" s="336"/>
      <c r="LJ381" s="336"/>
      <c r="LK381" s="336"/>
      <c r="LL381" s="336"/>
      <c r="LM381" s="336"/>
      <c r="LN381" s="336"/>
      <c r="LO381" s="336"/>
      <c r="LP381" s="336"/>
      <c r="LQ381" s="337"/>
      <c r="MN381" s="10"/>
      <c r="OA381" s="10"/>
    </row>
    <row r="382" spans="1:391" s="370" customFormat="1" x14ac:dyDescent="0.25">
      <c r="A382" s="68"/>
      <c r="B382" s="10"/>
      <c r="C382" s="68"/>
      <c r="D382" s="68"/>
      <c r="E382" s="68"/>
      <c r="F382" s="68"/>
      <c r="G382" s="68"/>
      <c r="H382" s="68"/>
      <c r="I382" s="68"/>
      <c r="J382" s="68"/>
      <c r="K382" s="68"/>
      <c r="L382" s="68"/>
      <c r="M382" s="68"/>
      <c r="N382" s="68"/>
      <c r="O382" s="68"/>
      <c r="P382" s="68"/>
      <c r="Q382" s="68"/>
      <c r="R382" s="68"/>
      <c r="S382" s="68"/>
      <c r="T382" s="70"/>
      <c r="AC382" s="68"/>
      <c r="AD382" s="70"/>
      <c r="AM382" s="68"/>
      <c r="AN382" s="70"/>
      <c r="AU382" s="68"/>
      <c r="AV382" s="70"/>
      <c r="BB382" s="68"/>
      <c r="BC382" s="70"/>
      <c r="BD382" s="68"/>
      <c r="BE382" s="68"/>
      <c r="BF382" s="68"/>
      <c r="BG382" s="68"/>
      <c r="BH382" s="68"/>
      <c r="BI382" s="68"/>
      <c r="BJ382" s="70"/>
      <c r="BM382" s="68"/>
      <c r="BN382" s="70"/>
      <c r="BT382" s="68"/>
      <c r="BU382" s="70"/>
      <c r="BZ382" s="10"/>
      <c r="CF382" s="10"/>
      <c r="CI382" s="389"/>
      <c r="CJ382" s="389"/>
      <c r="CK382" s="68"/>
      <c r="CL382" s="70"/>
      <c r="CO382" s="10"/>
      <c r="CU382" s="10"/>
      <c r="DA382" s="10"/>
      <c r="DB382" s="70"/>
      <c r="DC382" s="70"/>
      <c r="DF382" s="68"/>
      <c r="DG382" s="70"/>
      <c r="DH382" s="68"/>
      <c r="DI382" s="386"/>
      <c r="DJ382" s="425"/>
      <c r="DL382" s="68"/>
      <c r="DM382" s="70"/>
      <c r="DQ382" s="68"/>
      <c r="DR382" s="70"/>
      <c r="DS382" s="338"/>
      <c r="DT382" s="338"/>
      <c r="DU382" s="338"/>
      <c r="DW382" s="338"/>
      <c r="DX382" s="338"/>
      <c r="DY382" s="338"/>
      <c r="EA382" s="338"/>
      <c r="EB382" s="338"/>
      <c r="EC382" s="338"/>
      <c r="EE382" s="338"/>
      <c r="EF382" s="338"/>
      <c r="EG382" s="338"/>
      <c r="EI382" s="336"/>
      <c r="EJ382" s="336"/>
      <c r="EK382" s="336"/>
      <c r="EL382" s="336"/>
      <c r="EM382" s="336"/>
      <c r="EN382" s="336"/>
      <c r="EO382" s="337"/>
      <c r="EP382" s="342"/>
      <c r="EQ382" s="336"/>
      <c r="ER382" s="342"/>
      <c r="ES382" s="336"/>
      <c r="ET382" s="342"/>
      <c r="EU382" s="336"/>
      <c r="EV382" s="342"/>
      <c r="EW382" s="336"/>
      <c r="EX382" s="342"/>
      <c r="EY382" s="342"/>
      <c r="EZ382" s="342"/>
      <c r="FA382" s="337"/>
      <c r="FE382" s="338"/>
      <c r="FH382" s="338"/>
      <c r="FI382" s="338"/>
      <c r="FJ382" s="338"/>
      <c r="FK382" s="338"/>
      <c r="FL382" s="338"/>
      <c r="FM382" s="337"/>
      <c r="FN382" s="336"/>
      <c r="FO382" s="336"/>
      <c r="FP382" s="336"/>
      <c r="FQ382" s="336"/>
      <c r="FR382" s="336"/>
      <c r="FS382" s="336"/>
      <c r="FT382" s="336"/>
      <c r="FU382" s="336"/>
      <c r="FV382" s="336"/>
      <c r="FW382" s="337"/>
      <c r="FX382" s="532"/>
      <c r="FY382" s="341"/>
      <c r="FZ382" s="341"/>
      <c r="GA382" s="336"/>
      <c r="GB382" s="341"/>
      <c r="GC382" s="341"/>
      <c r="GD382" s="341"/>
      <c r="GE382" s="336"/>
      <c r="GF382" s="336"/>
      <c r="GG382" s="336"/>
      <c r="GH382" s="336"/>
      <c r="GI382" s="336"/>
      <c r="GJ382" s="337"/>
      <c r="GM382" s="338"/>
      <c r="GN382" s="338"/>
      <c r="GO382" s="338"/>
      <c r="GS382" s="338"/>
      <c r="GT382" s="338"/>
      <c r="GU382" s="338"/>
      <c r="GY382" s="338"/>
      <c r="GZ382" s="338"/>
      <c r="HA382" s="338"/>
      <c r="HE382" s="338"/>
      <c r="HF382" s="338"/>
      <c r="HG382" s="338"/>
      <c r="HN382" s="68"/>
      <c r="HO382" s="68"/>
      <c r="HP382" s="68"/>
      <c r="HQ382" s="336"/>
      <c r="HR382" s="68"/>
      <c r="HS382" s="68"/>
      <c r="HT382" s="10"/>
      <c r="HW382" s="338"/>
      <c r="HX382" s="338"/>
      <c r="HY382" s="338"/>
      <c r="IC382" s="338"/>
      <c r="ID382" s="338"/>
      <c r="IE382" s="338"/>
      <c r="II382" s="338"/>
      <c r="IJ382" s="338"/>
      <c r="IK382" s="338"/>
      <c r="IO382" s="338"/>
      <c r="IP382" s="338"/>
      <c r="IQ382" s="338"/>
      <c r="IX382" s="68"/>
      <c r="IY382" s="68"/>
      <c r="IZ382" s="68"/>
      <c r="JA382" s="68"/>
      <c r="JB382" s="68"/>
      <c r="JC382" s="68"/>
      <c r="JD382" s="10"/>
      <c r="JG382" s="338"/>
      <c r="JH382" s="338"/>
      <c r="JI382" s="338"/>
      <c r="JM382" s="338"/>
      <c r="JN382" s="338"/>
      <c r="JQ382" s="338"/>
      <c r="JR382" s="338"/>
      <c r="JS382" s="338"/>
      <c r="JW382" s="358"/>
      <c r="JX382" s="336"/>
      <c r="JY382" s="336"/>
      <c r="JZ382" s="336"/>
      <c r="KA382" s="336"/>
      <c r="KB382" s="336"/>
      <c r="KC382" s="336"/>
      <c r="KD382" s="336"/>
      <c r="KE382" s="336"/>
      <c r="KF382" s="336"/>
      <c r="KG382" s="337"/>
      <c r="KH382" s="338"/>
      <c r="KI382" s="338"/>
      <c r="KJ382" s="338"/>
      <c r="KK382" s="338"/>
      <c r="KL382" s="338"/>
      <c r="KM382" s="338"/>
      <c r="KN382" s="338"/>
      <c r="KO382" s="338"/>
      <c r="KP382" s="338"/>
      <c r="KQ382" s="338"/>
      <c r="KR382" s="338"/>
      <c r="KS382" s="338"/>
      <c r="KT382" s="338"/>
      <c r="KU382" s="338"/>
      <c r="KV382" s="338"/>
      <c r="KW382" s="337"/>
      <c r="KX382" s="336"/>
      <c r="KY382" s="336"/>
      <c r="KZ382" s="336"/>
      <c r="LA382" s="336"/>
      <c r="LB382" s="336"/>
      <c r="LC382" s="336"/>
      <c r="LD382" s="336"/>
      <c r="LE382" s="336"/>
      <c r="LF382" s="336"/>
      <c r="LG382" s="336"/>
      <c r="LH382" s="336"/>
      <c r="LI382" s="336"/>
      <c r="LJ382" s="336"/>
      <c r="LK382" s="336"/>
      <c r="LL382" s="336"/>
      <c r="LM382" s="336"/>
      <c r="LN382" s="336"/>
      <c r="LO382" s="336"/>
      <c r="LP382" s="336"/>
      <c r="LQ382" s="337"/>
      <c r="MN382" s="10"/>
      <c r="OA382" s="10"/>
    </row>
    <row r="383" spans="1:391" s="370" customFormat="1" x14ac:dyDescent="0.25">
      <c r="A383" s="68"/>
      <c r="B383" s="10"/>
      <c r="C383" s="68"/>
      <c r="D383" s="68"/>
      <c r="E383" s="68"/>
      <c r="F383" s="68"/>
      <c r="G383" s="68"/>
      <c r="H383" s="68"/>
      <c r="I383" s="68"/>
      <c r="J383" s="68"/>
      <c r="K383" s="68"/>
      <c r="L383" s="68"/>
      <c r="M383" s="68"/>
      <c r="N383" s="68"/>
      <c r="O383" s="68"/>
      <c r="P383" s="68"/>
      <c r="Q383" s="68"/>
      <c r="R383" s="68"/>
      <c r="S383" s="68"/>
      <c r="T383" s="70"/>
      <c r="AC383" s="68"/>
      <c r="AD383" s="70"/>
      <c r="AM383" s="68"/>
      <c r="AN383" s="70"/>
      <c r="AU383" s="68"/>
      <c r="AV383" s="70"/>
      <c r="BB383" s="68"/>
      <c r="BC383" s="70"/>
      <c r="BD383" s="68"/>
      <c r="BE383" s="68"/>
      <c r="BF383" s="68"/>
      <c r="BG383" s="68"/>
      <c r="BH383" s="68"/>
      <c r="BI383" s="68"/>
      <c r="BJ383" s="70"/>
      <c r="BM383" s="68"/>
      <c r="BN383" s="70"/>
      <c r="BT383" s="68"/>
      <c r="BU383" s="70"/>
      <c r="BZ383" s="10"/>
      <c r="CF383" s="10"/>
      <c r="CI383" s="389"/>
      <c r="CJ383" s="389"/>
      <c r="CK383" s="68"/>
      <c r="CL383" s="70"/>
      <c r="CO383" s="10"/>
      <c r="CU383" s="10"/>
      <c r="DA383" s="10"/>
      <c r="DB383" s="70"/>
      <c r="DC383" s="70"/>
      <c r="DF383" s="68"/>
      <c r="DG383" s="70"/>
      <c r="DH383" s="68"/>
      <c r="DI383" s="386"/>
      <c r="DJ383" s="425"/>
      <c r="DL383" s="68"/>
      <c r="DM383" s="70"/>
      <c r="DQ383" s="68"/>
      <c r="DR383" s="70"/>
      <c r="DS383" s="338"/>
      <c r="DT383" s="338"/>
      <c r="DU383" s="338"/>
      <c r="DW383" s="338"/>
      <c r="DX383" s="338"/>
      <c r="DY383" s="338"/>
      <c r="EA383" s="338"/>
      <c r="EB383" s="338"/>
      <c r="EC383" s="338"/>
      <c r="EE383" s="338"/>
      <c r="EF383" s="338"/>
      <c r="EG383" s="338"/>
      <c r="EI383" s="336"/>
      <c r="EJ383" s="336"/>
      <c r="EK383" s="336"/>
      <c r="EL383" s="336"/>
      <c r="EM383" s="336"/>
      <c r="EN383" s="336"/>
      <c r="EO383" s="337"/>
      <c r="EP383" s="342"/>
      <c r="EQ383" s="336"/>
      <c r="ER383" s="342"/>
      <c r="ES383" s="336"/>
      <c r="ET383" s="342"/>
      <c r="EU383" s="336"/>
      <c r="EV383" s="342"/>
      <c r="EW383" s="336"/>
      <c r="EX383" s="342"/>
      <c r="EY383" s="342"/>
      <c r="EZ383" s="342"/>
      <c r="FA383" s="337"/>
      <c r="FE383" s="338"/>
      <c r="FH383" s="338"/>
      <c r="FI383" s="338"/>
      <c r="FJ383" s="338"/>
      <c r="FK383" s="338"/>
      <c r="FL383" s="338"/>
      <c r="FM383" s="337"/>
      <c r="FN383" s="336"/>
      <c r="FO383" s="336"/>
      <c r="FP383" s="336"/>
      <c r="FQ383" s="336"/>
      <c r="FR383" s="336"/>
      <c r="FS383" s="336"/>
      <c r="FT383" s="336"/>
      <c r="FU383" s="336"/>
      <c r="FV383" s="336"/>
      <c r="FW383" s="337"/>
      <c r="FX383" s="532"/>
      <c r="FY383" s="341"/>
      <c r="FZ383" s="341"/>
      <c r="GA383" s="336"/>
      <c r="GB383" s="341"/>
      <c r="GC383" s="341"/>
      <c r="GD383" s="341"/>
      <c r="GE383" s="336"/>
      <c r="GF383" s="336"/>
      <c r="GG383" s="336"/>
      <c r="GH383" s="336"/>
      <c r="GI383" s="336"/>
      <c r="GJ383" s="337"/>
      <c r="GM383" s="338"/>
      <c r="GN383" s="338"/>
      <c r="GO383" s="338"/>
      <c r="GS383" s="338"/>
      <c r="GT383" s="338"/>
      <c r="GU383" s="338"/>
      <c r="GY383" s="338"/>
      <c r="GZ383" s="338"/>
      <c r="HA383" s="338"/>
      <c r="HE383" s="338"/>
      <c r="HF383" s="338"/>
      <c r="HG383" s="338"/>
      <c r="HN383" s="68"/>
      <c r="HO383" s="68"/>
      <c r="HP383" s="68"/>
      <c r="HQ383" s="336"/>
      <c r="HR383" s="68"/>
      <c r="HS383" s="68"/>
      <c r="HT383" s="10"/>
      <c r="HW383" s="338"/>
      <c r="HX383" s="338"/>
      <c r="HY383" s="338"/>
      <c r="IC383" s="338"/>
      <c r="ID383" s="338"/>
      <c r="IE383" s="338"/>
      <c r="II383" s="338"/>
      <c r="IJ383" s="338"/>
      <c r="IK383" s="338"/>
      <c r="IO383" s="338"/>
      <c r="IP383" s="338"/>
      <c r="IQ383" s="338"/>
      <c r="IX383" s="68"/>
      <c r="IY383" s="68"/>
      <c r="IZ383" s="68"/>
      <c r="JA383" s="68"/>
      <c r="JB383" s="68"/>
      <c r="JC383" s="68"/>
      <c r="JD383" s="10"/>
      <c r="JG383" s="338"/>
      <c r="JH383" s="338"/>
      <c r="JI383" s="338"/>
      <c r="JM383" s="338"/>
      <c r="JN383" s="338"/>
      <c r="JQ383" s="338"/>
      <c r="JR383" s="338"/>
      <c r="JS383" s="338"/>
      <c r="JW383" s="358"/>
      <c r="JX383" s="336"/>
      <c r="JY383" s="336"/>
      <c r="JZ383" s="336"/>
      <c r="KA383" s="336"/>
      <c r="KB383" s="336"/>
      <c r="KC383" s="336"/>
      <c r="KD383" s="336"/>
      <c r="KE383" s="336"/>
      <c r="KF383" s="336"/>
      <c r="KG383" s="337"/>
      <c r="KH383" s="338"/>
      <c r="KI383" s="338"/>
      <c r="KJ383" s="338"/>
      <c r="KK383" s="338"/>
      <c r="KL383" s="338"/>
      <c r="KM383" s="338"/>
      <c r="KN383" s="338"/>
      <c r="KO383" s="338"/>
      <c r="KP383" s="338"/>
      <c r="KQ383" s="338"/>
      <c r="KR383" s="338"/>
      <c r="KS383" s="338"/>
      <c r="KT383" s="338"/>
      <c r="KU383" s="338"/>
      <c r="KV383" s="338"/>
      <c r="KW383" s="337"/>
      <c r="KX383" s="336"/>
      <c r="KY383" s="336"/>
      <c r="KZ383" s="336"/>
      <c r="LA383" s="336"/>
      <c r="LB383" s="336"/>
      <c r="LC383" s="336"/>
      <c r="LD383" s="336"/>
      <c r="LE383" s="336"/>
      <c r="LF383" s="336"/>
      <c r="LG383" s="336"/>
      <c r="LH383" s="336"/>
      <c r="LI383" s="336"/>
      <c r="LJ383" s="336"/>
      <c r="LK383" s="336"/>
      <c r="LL383" s="336"/>
      <c r="LM383" s="336"/>
      <c r="LN383" s="336"/>
      <c r="LO383" s="336"/>
      <c r="LP383" s="336"/>
      <c r="LQ383" s="337"/>
      <c r="MN383" s="10"/>
      <c r="OA383" s="10"/>
    </row>
    <row r="384" spans="1:391" s="370" customFormat="1" x14ac:dyDescent="0.25">
      <c r="A384" s="68"/>
      <c r="B384" s="10"/>
      <c r="C384" s="68"/>
      <c r="D384" s="68"/>
      <c r="E384" s="68"/>
      <c r="F384" s="68"/>
      <c r="G384" s="68"/>
      <c r="H384" s="68"/>
      <c r="I384" s="68"/>
      <c r="J384" s="68"/>
      <c r="K384" s="68"/>
      <c r="L384" s="68"/>
      <c r="M384" s="68"/>
      <c r="N384" s="68"/>
      <c r="O384" s="68"/>
      <c r="P384" s="68"/>
      <c r="Q384" s="68"/>
      <c r="R384" s="68"/>
      <c r="S384" s="68"/>
      <c r="T384" s="70"/>
      <c r="AC384" s="68"/>
      <c r="AD384" s="70"/>
      <c r="AM384" s="68"/>
      <c r="AN384" s="70"/>
      <c r="AU384" s="68"/>
      <c r="AV384" s="70"/>
      <c r="BB384" s="68"/>
      <c r="BC384" s="70"/>
      <c r="BD384" s="68"/>
      <c r="BE384" s="68"/>
      <c r="BF384" s="68"/>
      <c r="BG384" s="68"/>
      <c r="BH384" s="68"/>
      <c r="BI384" s="68"/>
      <c r="BJ384" s="70"/>
      <c r="BM384" s="68"/>
      <c r="BN384" s="70"/>
      <c r="BT384" s="68"/>
      <c r="BU384" s="70"/>
      <c r="BZ384" s="10"/>
      <c r="CF384" s="10"/>
      <c r="CI384" s="389"/>
      <c r="CJ384" s="389"/>
      <c r="CK384" s="68"/>
      <c r="CL384" s="70"/>
      <c r="CO384" s="10"/>
      <c r="CU384" s="10"/>
      <c r="DA384" s="10"/>
      <c r="DB384" s="70"/>
      <c r="DC384" s="70"/>
      <c r="DF384" s="68"/>
      <c r="DG384" s="70"/>
      <c r="DH384" s="68"/>
      <c r="DI384" s="386"/>
      <c r="DJ384" s="425"/>
      <c r="DL384" s="68"/>
      <c r="DM384" s="70"/>
      <c r="DQ384" s="68"/>
      <c r="DR384" s="70"/>
      <c r="DS384" s="338"/>
      <c r="DT384" s="338"/>
      <c r="DU384" s="338"/>
      <c r="DW384" s="338"/>
      <c r="DX384" s="338"/>
      <c r="DY384" s="338"/>
      <c r="EA384" s="338"/>
      <c r="EB384" s="338"/>
      <c r="EC384" s="338"/>
      <c r="EE384" s="338"/>
      <c r="EF384" s="338"/>
      <c r="EG384" s="338"/>
      <c r="EI384" s="336"/>
      <c r="EJ384" s="336"/>
      <c r="EK384" s="336"/>
      <c r="EL384" s="336"/>
      <c r="EM384" s="336"/>
      <c r="EN384" s="336"/>
      <c r="EO384" s="337"/>
      <c r="EP384" s="342"/>
      <c r="EQ384" s="336"/>
      <c r="ER384" s="342"/>
      <c r="ES384" s="336"/>
      <c r="ET384" s="342"/>
      <c r="EU384" s="336"/>
      <c r="EV384" s="342"/>
      <c r="EW384" s="336"/>
      <c r="EX384" s="342"/>
      <c r="EY384" s="342"/>
      <c r="EZ384" s="342"/>
      <c r="FA384" s="337"/>
      <c r="FE384" s="338"/>
      <c r="FH384" s="338"/>
      <c r="FI384" s="338"/>
      <c r="FJ384" s="338"/>
      <c r="FK384" s="338"/>
      <c r="FL384" s="338"/>
      <c r="FM384" s="337"/>
      <c r="FN384" s="336"/>
      <c r="FO384" s="336"/>
      <c r="FP384" s="336"/>
      <c r="FQ384" s="336"/>
      <c r="FR384" s="336"/>
      <c r="FS384" s="336"/>
      <c r="FT384" s="336"/>
      <c r="FU384" s="336"/>
      <c r="FV384" s="336"/>
      <c r="FW384" s="337"/>
      <c r="FX384" s="532"/>
      <c r="FY384" s="341"/>
      <c r="FZ384" s="341"/>
      <c r="GA384" s="336"/>
      <c r="GB384" s="341"/>
      <c r="GC384" s="341"/>
      <c r="GD384" s="341"/>
      <c r="GE384" s="336"/>
      <c r="GF384" s="336"/>
      <c r="GG384" s="336"/>
      <c r="GH384" s="336"/>
      <c r="GI384" s="336"/>
      <c r="GJ384" s="337"/>
      <c r="GM384" s="338"/>
      <c r="GN384" s="338"/>
      <c r="GO384" s="338"/>
      <c r="GS384" s="338"/>
      <c r="GT384" s="338"/>
      <c r="GU384" s="338"/>
      <c r="GY384" s="338"/>
      <c r="GZ384" s="338"/>
      <c r="HA384" s="338"/>
      <c r="HE384" s="338"/>
      <c r="HF384" s="338"/>
      <c r="HG384" s="338"/>
      <c r="HN384" s="68"/>
      <c r="HO384" s="68"/>
      <c r="HP384" s="68"/>
      <c r="HQ384" s="336"/>
      <c r="HR384" s="68"/>
      <c r="HS384" s="68"/>
      <c r="HT384" s="10"/>
      <c r="HW384" s="338"/>
      <c r="HX384" s="338"/>
      <c r="HY384" s="338"/>
      <c r="IC384" s="338"/>
      <c r="ID384" s="338"/>
      <c r="IE384" s="338"/>
      <c r="II384" s="338"/>
      <c r="IJ384" s="338"/>
      <c r="IK384" s="338"/>
      <c r="IO384" s="338"/>
      <c r="IP384" s="338"/>
      <c r="IQ384" s="338"/>
      <c r="IX384" s="68"/>
      <c r="IY384" s="68"/>
      <c r="IZ384" s="68"/>
      <c r="JA384" s="68"/>
      <c r="JB384" s="68"/>
      <c r="JC384" s="68"/>
      <c r="JD384" s="10"/>
      <c r="JG384" s="338"/>
      <c r="JH384" s="338"/>
      <c r="JI384" s="338"/>
      <c r="JM384" s="338"/>
      <c r="JN384" s="338"/>
      <c r="JQ384" s="338"/>
      <c r="JR384" s="338"/>
      <c r="JS384" s="338"/>
      <c r="JW384" s="358"/>
      <c r="JX384" s="336"/>
      <c r="JY384" s="336"/>
      <c r="JZ384" s="336"/>
      <c r="KA384" s="336"/>
      <c r="KB384" s="336"/>
      <c r="KC384" s="336"/>
      <c r="KD384" s="336"/>
      <c r="KE384" s="336"/>
      <c r="KF384" s="336"/>
      <c r="KG384" s="337"/>
      <c r="KH384" s="338"/>
      <c r="KI384" s="338"/>
      <c r="KJ384" s="338"/>
      <c r="KK384" s="338"/>
      <c r="KL384" s="338"/>
      <c r="KM384" s="338"/>
      <c r="KN384" s="338"/>
      <c r="KO384" s="338"/>
      <c r="KP384" s="338"/>
      <c r="KQ384" s="338"/>
      <c r="KR384" s="338"/>
      <c r="KS384" s="338"/>
      <c r="KT384" s="338"/>
      <c r="KU384" s="338"/>
      <c r="KV384" s="338"/>
      <c r="KW384" s="337"/>
      <c r="KX384" s="336"/>
      <c r="KY384" s="336"/>
      <c r="KZ384" s="336"/>
      <c r="LA384" s="336"/>
      <c r="LB384" s="336"/>
      <c r="LC384" s="336"/>
      <c r="LD384" s="336"/>
      <c r="LE384" s="336"/>
      <c r="LF384" s="336"/>
      <c r="LG384" s="336"/>
      <c r="LH384" s="336"/>
      <c r="LI384" s="336"/>
      <c r="LJ384" s="336"/>
      <c r="LK384" s="336"/>
      <c r="LL384" s="336"/>
      <c r="LM384" s="336"/>
      <c r="LN384" s="336"/>
      <c r="LO384" s="336"/>
      <c r="LP384" s="336"/>
      <c r="LQ384" s="337"/>
      <c r="MN384" s="10"/>
      <c r="OA384" s="10"/>
    </row>
    <row r="385" spans="1:391" s="370" customFormat="1" x14ac:dyDescent="0.25">
      <c r="A385" s="68"/>
      <c r="B385" s="10"/>
      <c r="C385" s="68"/>
      <c r="D385" s="68"/>
      <c r="E385" s="68"/>
      <c r="F385" s="68"/>
      <c r="G385" s="68"/>
      <c r="H385" s="68"/>
      <c r="I385" s="68"/>
      <c r="J385" s="68"/>
      <c r="K385" s="68"/>
      <c r="L385" s="68"/>
      <c r="M385" s="68"/>
      <c r="N385" s="68"/>
      <c r="O385" s="68"/>
      <c r="P385" s="68"/>
      <c r="Q385" s="68"/>
      <c r="R385" s="68"/>
      <c r="S385" s="68"/>
      <c r="T385" s="70"/>
      <c r="AC385" s="68"/>
      <c r="AD385" s="70"/>
      <c r="AM385" s="68"/>
      <c r="AN385" s="70"/>
      <c r="AU385" s="68"/>
      <c r="AV385" s="70"/>
      <c r="BB385" s="68"/>
      <c r="BC385" s="70"/>
      <c r="BD385" s="68"/>
      <c r="BE385" s="68"/>
      <c r="BF385" s="68"/>
      <c r="BG385" s="68"/>
      <c r="BH385" s="68"/>
      <c r="BI385" s="68"/>
      <c r="BJ385" s="70"/>
      <c r="BM385" s="68"/>
      <c r="BN385" s="70"/>
      <c r="BT385" s="68"/>
      <c r="BU385" s="70"/>
      <c r="BZ385" s="10"/>
      <c r="CF385" s="10"/>
      <c r="CI385" s="389"/>
      <c r="CJ385" s="389"/>
      <c r="CK385" s="68"/>
      <c r="CL385" s="70"/>
      <c r="CO385" s="10"/>
      <c r="CU385" s="10"/>
      <c r="DA385" s="10"/>
      <c r="DB385" s="70"/>
      <c r="DC385" s="70"/>
      <c r="DF385" s="68"/>
      <c r="DG385" s="70"/>
      <c r="DH385" s="68"/>
      <c r="DI385" s="386"/>
      <c r="DJ385" s="425"/>
      <c r="DL385" s="68"/>
      <c r="DM385" s="70"/>
      <c r="DQ385" s="68"/>
      <c r="DR385" s="70"/>
      <c r="DS385" s="338"/>
      <c r="DT385" s="338"/>
      <c r="DU385" s="338"/>
      <c r="DW385" s="338"/>
      <c r="DX385" s="338"/>
      <c r="DY385" s="338"/>
      <c r="EA385" s="338"/>
      <c r="EB385" s="338"/>
      <c r="EC385" s="338"/>
      <c r="EE385" s="338"/>
      <c r="EF385" s="338"/>
      <c r="EG385" s="338"/>
      <c r="EI385" s="336"/>
      <c r="EJ385" s="336"/>
      <c r="EK385" s="336"/>
      <c r="EL385" s="336"/>
      <c r="EM385" s="336"/>
      <c r="EN385" s="336"/>
      <c r="EO385" s="337"/>
      <c r="EP385" s="342"/>
      <c r="EQ385" s="336"/>
      <c r="ER385" s="342"/>
      <c r="ES385" s="336"/>
      <c r="ET385" s="342"/>
      <c r="EU385" s="336"/>
      <c r="EV385" s="342"/>
      <c r="EW385" s="336"/>
      <c r="EX385" s="342"/>
      <c r="EY385" s="342"/>
      <c r="EZ385" s="342"/>
      <c r="FA385" s="337"/>
      <c r="FE385" s="338"/>
      <c r="FH385" s="338"/>
      <c r="FI385" s="338"/>
      <c r="FJ385" s="338"/>
      <c r="FK385" s="338"/>
      <c r="FL385" s="338"/>
      <c r="FM385" s="337"/>
      <c r="FN385" s="336"/>
      <c r="FO385" s="336"/>
      <c r="FP385" s="336"/>
      <c r="FQ385" s="336"/>
      <c r="FR385" s="336"/>
      <c r="FS385" s="336"/>
      <c r="FT385" s="336"/>
      <c r="FU385" s="336"/>
      <c r="FV385" s="336"/>
      <c r="FW385" s="337"/>
      <c r="FX385" s="532"/>
      <c r="FY385" s="341"/>
      <c r="FZ385" s="341"/>
      <c r="GA385" s="336"/>
      <c r="GB385" s="341"/>
      <c r="GC385" s="341"/>
      <c r="GD385" s="341"/>
      <c r="GE385" s="336"/>
      <c r="GF385" s="336"/>
      <c r="GG385" s="336"/>
      <c r="GH385" s="336"/>
      <c r="GI385" s="336"/>
      <c r="GJ385" s="337"/>
      <c r="GM385" s="338"/>
      <c r="GN385" s="338"/>
      <c r="GO385" s="338"/>
      <c r="GS385" s="338"/>
      <c r="GT385" s="338"/>
      <c r="GU385" s="338"/>
      <c r="GY385" s="338"/>
      <c r="GZ385" s="338"/>
      <c r="HA385" s="338"/>
      <c r="HE385" s="338"/>
      <c r="HF385" s="338"/>
      <c r="HG385" s="338"/>
      <c r="HN385" s="68"/>
      <c r="HO385" s="68"/>
      <c r="HP385" s="68"/>
      <c r="HQ385" s="336"/>
      <c r="HR385" s="68"/>
      <c r="HS385" s="68"/>
      <c r="HT385" s="10"/>
      <c r="HW385" s="338"/>
      <c r="HX385" s="338"/>
      <c r="HY385" s="338"/>
      <c r="IC385" s="338"/>
      <c r="ID385" s="338"/>
      <c r="IE385" s="338"/>
      <c r="II385" s="338"/>
      <c r="IJ385" s="338"/>
      <c r="IK385" s="338"/>
      <c r="IO385" s="338"/>
      <c r="IP385" s="338"/>
      <c r="IQ385" s="338"/>
      <c r="IX385" s="68"/>
      <c r="IY385" s="68"/>
      <c r="IZ385" s="68"/>
      <c r="JA385" s="68"/>
      <c r="JB385" s="68"/>
      <c r="JC385" s="68"/>
      <c r="JD385" s="10"/>
      <c r="JG385" s="338"/>
      <c r="JH385" s="338"/>
      <c r="JI385" s="338"/>
      <c r="JM385" s="338"/>
      <c r="JN385" s="338"/>
      <c r="JQ385" s="338"/>
      <c r="JR385" s="338"/>
      <c r="JS385" s="338"/>
      <c r="JW385" s="358"/>
      <c r="JX385" s="336"/>
      <c r="JY385" s="336"/>
      <c r="JZ385" s="336"/>
      <c r="KA385" s="336"/>
      <c r="KB385" s="336"/>
      <c r="KC385" s="336"/>
      <c r="KD385" s="336"/>
      <c r="KE385" s="336"/>
      <c r="KF385" s="336"/>
      <c r="KG385" s="337"/>
      <c r="KH385" s="338"/>
      <c r="KI385" s="338"/>
      <c r="KJ385" s="338"/>
      <c r="KK385" s="338"/>
      <c r="KL385" s="338"/>
      <c r="KM385" s="338"/>
      <c r="KN385" s="338"/>
      <c r="KO385" s="338"/>
      <c r="KP385" s="338"/>
      <c r="KQ385" s="338"/>
      <c r="KR385" s="338"/>
      <c r="KS385" s="338"/>
      <c r="KT385" s="338"/>
      <c r="KU385" s="338"/>
      <c r="KV385" s="338"/>
      <c r="KW385" s="337"/>
      <c r="KX385" s="336"/>
      <c r="KY385" s="336"/>
      <c r="KZ385" s="336"/>
      <c r="LA385" s="336"/>
      <c r="LB385" s="336"/>
      <c r="LC385" s="336"/>
      <c r="LD385" s="336"/>
      <c r="LE385" s="336"/>
      <c r="LF385" s="336"/>
      <c r="LG385" s="336"/>
      <c r="LH385" s="336"/>
      <c r="LI385" s="336"/>
      <c r="LJ385" s="336"/>
      <c r="LK385" s="336"/>
      <c r="LL385" s="336"/>
      <c r="LM385" s="336"/>
      <c r="LN385" s="336"/>
      <c r="LO385" s="336"/>
      <c r="LP385" s="336"/>
      <c r="LQ385" s="337"/>
      <c r="MN385" s="10"/>
      <c r="OA385" s="10"/>
    </row>
    <row r="386" spans="1:391" s="370" customFormat="1" x14ac:dyDescent="0.25">
      <c r="A386" s="68"/>
      <c r="B386" s="10"/>
      <c r="C386" s="68"/>
      <c r="D386" s="68"/>
      <c r="E386" s="68"/>
      <c r="F386" s="68"/>
      <c r="G386" s="68"/>
      <c r="H386" s="68"/>
      <c r="I386" s="68"/>
      <c r="J386" s="68"/>
      <c r="K386" s="68"/>
      <c r="L386" s="68"/>
      <c r="M386" s="68"/>
      <c r="N386" s="68"/>
      <c r="O386" s="68"/>
      <c r="P386" s="68"/>
      <c r="Q386" s="68"/>
      <c r="R386" s="68"/>
      <c r="S386" s="68"/>
      <c r="T386" s="70"/>
      <c r="AC386" s="68"/>
      <c r="AD386" s="70"/>
      <c r="AM386" s="68"/>
      <c r="AN386" s="70"/>
      <c r="AU386" s="68"/>
      <c r="AV386" s="70"/>
      <c r="BB386" s="68"/>
      <c r="BC386" s="70"/>
      <c r="BD386" s="68"/>
      <c r="BE386" s="68"/>
      <c r="BF386" s="68"/>
      <c r="BG386" s="68"/>
      <c r="BH386" s="68"/>
      <c r="BI386" s="68"/>
      <c r="BJ386" s="70"/>
      <c r="BM386" s="68"/>
      <c r="BN386" s="70"/>
      <c r="BT386" s="68"/>
      <c r="BU386" s="70"/>
      <c r="BZ386" s="10"/>
      <c r="CF386" s="10"/>
      <c r="CI386" s="389"/>
      <c r="CJ386" s="389"/>
      <c r="CK386" s="68"/>
      <c r="CL386" s="70"/>
      <c r="CO386" s="10"/>
      <c r="CU386" s="10"/>
      <c r="DA386" s="10"/>
      <c r="DB386" s="70"/>
      <c r="DC386" s="70"/>
      <c r="DF386" s="68"/>
      <c r="DG386" s="70"/>
      <c r="DH386" s="68"/>
      <c r="DI386" s="386"/>
      <c r="DJ386" s="425"/>
      <c r="DL386" s="68"/>
      <c r="DM386" s="70"/>
      <c r="DQ386" s="68"/>
      <c r="DR386" s="70"/>
      <c r="DS386" s="338"/>
      <c r="DT386" s="338"/>
      <c r="DU386" s="338"/>
      <c r="DW386" s="338"/>
      <c r="DX386" s="338"/>
      <c r="DY386" s="338"/>
      <c r="EA386" s="338"/>
      <c r="EB386" s="338"/>
      <c r="EC386" s="338"/>
      <c r="EE386" s="338"/>
      <c r="EF386" s="338"/>
      <c r="EG386" s="338"/>
      <c r="EI386" s="336"/>
      <c r="EJ386" s="336"/>
      <c r="EK386" s="336"/>
      <c r="EL386" s="336"/>
      <c r="EM386" s="336"/>
      <c r="EN386" s="336"/>
      <c r="EO386" s="337"/>
      <c r="EP386" s="342"/>
      <c r="EQ386" s="336"/>
      <c r="ER386" s="342"/>
      <c r="ES386" s="336"/>
      <c r="ET386" s="342"/>
      <c r="EU386" s="336"/>
      <c r="EV386" s="342"/>
      <c r="EW386" s="336"/>
      <c r="EX386" s="342"/>
      <c r="EY386" s="342"/>
      <c r="EZ386" s="342"/>
      <c r="FA386" s="337"/>
      <c r="FE386" s="338"/>
      <c r="FH386" s="338"/>
      <c r="FI386" s="338"/>
      <c r="FJ386" s="338"/>
      <c r="FK386" s="338"/>
      <c r="FL386" s="338"/>
      <c r="FM386" s="337"/>
      <c r="FN386" s="336"/>
      <c r="FO386" s="336"/>
      <c r="FP386" s="336"/>
      <c r="FQ386" s="336"/>
      <c r="FR386" s="336"/>
      <c r="FS386" s="336"/>
      <c r="FT386" s="336"/>
      <c r="FU386" s="336"/>
      <c r="FV386" s="336"/>
      <c r="FW386" s="337"/>
      <c r="FX386" s="532"/>
      <c r="FY386" s="341"/>
      <c r="FZ386" s="341"/>
      <c r="GA386" s="336"/>
      <c r="GB386" s="341"/>
      <c r="GC386" s="341"/>
      <c r="GD386" s="341"/>
      <c r="GE386" s="336"/>
      <c r="GF386" s="336"/>
      <c r="GG386" s="336"/>
      <c r="GH386" s="336"/>
      <c r="GI386" s="336"/>
      <c r="GJ386" s="337"/>
      <c r="GM386" s="338"/>
      <c r="GN386" s="338"/>
      <c r="GO386" s="338"/>
      <c r="GS386" s="338"/>
      <c r="GT386" s="338"/>
      <c r="GU386" s="338"/>
      <c r="GY386" s="338"/>
      <c r="GZ386" s="338"/>
      <c r="HA386" s="338"/>
      <c r="HE386" s="338"/>
      <c r="HF386" s="338"/>
      <c r="HG386" s="338"/>
      <c r="HN386" s="68"/>
      <c r="HO386" s="68"/>
      <c r="HP386" s="68"/>
      <c r="HQ386" s="336"/>
      <c r="HR386" s="68"/>
      <c r="HS386" s="68"/>
      <c r="HT386" s="10"/>
      <c r="HW386" s="338"/>
      <c r="HX386" s="338"/>
      <c r="HY386" s="338"/>
      <c r="IC386" s="338"/>
      <c r="ID386" s="338"/>
      <c r="IE386" s="338"/>
      <c r="II386" s="338"/>
      <c r="IJ386" s="338"/>
      <c r="IK386" s="338"/>
      <c r="IO386" s="338"/>
      <c r="IP386" s="338"/>
      <c r="IQ386" s="338"/>
      <c r="IX386" s="68"/>
      <c r="IY386" s="68"/>
      <c r="IZ386" s="68"/>
      <c r="JA386" s="68"/>
      <c r="JB386" s="68"/>
      <c r="JC386" s="68"/>
      <c r="JD386" s="10"/>
      <c r="JG386" s="338"/>
      <c r="JH386" s="338"/>
      <c r="JI386" s="338"/>
      <c r="JM386" s="338"/>
      <c r="JN386" s="338"/>
      <c r="JQ386" s="338"/>
      <c r="JR386" s="338"/>
      <c r="JS386" s="338"/>
      <c r="JW386" s="358"/>
      <c r="JX386" s="336"/>
      <c r="JY386" s="336"/>
      <c r="JZ386" s="336"/>
      <c r="KA386" s="336"/>
      <c r="KB386" s="336"/>
      <c r="KC386" s="336"/>
      <c r="KD386" s="336"/>
      <c r="KE386" s="336"/>
      <c r="KF386" s="336"/>
      <c r="KG386" s="337"/>
      <c r="KH386" s="338"/>
      <c r="KI386" s="338"/>
      <c r="KJ386" s="338"/>
      <c r="KK386" s="338"/>
      <c r="KL386" s="338"/>
      <c r="KM386" s="338"/>
      <c r="KN386" s="338"/>
      <c r="KO386" s="338"/>
      <c r="KP386" s="338"/>
      <c r="KQ386" s="338"/>
      <c r="KR386" s="338"/>
      <c r="KS386" s="338"/>
      <c r="KT386" s="338"/>
      <c r="KU386" s="338"/>
      <c r="KV386" s="338"/>
      <c r="KW386" s="337"/>
      <c r="KX386" s="336"/>
      <c r="KY386" s="336"/>
      <c r="KZ386" s="336"/>
      <c r="LA386" s="336"/>
      <c r="LB386" s="336"/>
      <c r="LC386" s="336"/>
      <c r="LD386" s="336"/>
      <c r="LE386" s="336"/>
      <c r="LF386" s="336"/>
      <c r="LG386" s="336"/>
      <c r="LH386" s="336"/>
      <c r="LI386" s="336"/>
      <c r="LJ386" s="336"/>
      <c r="LK386" s="336"/>
      <c r="LL386" s="336"/>
      <c r="LM386" s="336"/>
      <c r="LN386" s="336"/>
      <c r="LO386" s="336"/>
      <c r="LP386" s="336"/>
      <c r="LQ386" s="337"/>
      <c r="MN386" s="10"/>
      <c r="OA386" s="10"/>
    </row>
    <row r="387" spans="1:391" s="370" customFormat="1" x14ac:dyDescent="0.25">
      <c r="A387" s="68"/>
      <c r="B387" s="10"/>
      <c r="C387" s="68"/>
      <c r="D387" s="68"/>
      <c r="E387" s="68"/>
      <c r="F387" s="68"/>
      <c r="G387" s="68"/>
      <c r="H387" s="68"/>
      <c r="I387" s="68"/>
      <c r="J387" s="68"/>
      <c r="K387" s="68"/>
      <c r="L387" s="68"/>
      <c r="M387" s="68"/>
      <c r="N387" s="68"/>
      <c r="O387" s="68"/>
      <c r="P387" s="68"/>
      <c r="Q387" s="68"/>
      <c r="R387" s="68"/>
      <c r="S387" s="68"/>
      <c r="T387" s="70"/>
      <c r="AC387" s="68"/>
      <c r="AD387" s="70"/>
      <c r="AM387" s="68"/>
      <c r="AN387" s="70"/>
      <c r="AU387" s="68"/>
      <c r="AV387" s="70"/>
      <c r="BB387" s="68"/>
      <c r="BC387" s="70"/>
      <c r="BD387" s="68"/>
      <c r="BE387" s="68"/>
      <c r="BF387" s="68"/>
      <c r="BG387" s="68"/>
      <c r="BH387" s="68"/>
      <c r="BI387" s="68"/>
      <c r="BJ387" s="70"/>
      <c r="BM387" s="68"/>
      <c r="BN387" s="70"/>
      <c r="BT387" s="68"/>
      <c r="BU387" s="70"/>
      <c r="BZ387" s="10"/>
      <c r="CF387" s="10"/>
      <c r="CI387" s="389"/>
      <c r="CJ387" s="389"/>
      <c r="CK387" s="68"/>
      <c r="CL387" s="70"/>
      <c r="CO387" s="10"/>
      <c r="CU387" s="10"/>
      <c r="DA387" s="10"/>
      <c r="DB387" s="70"/>
      <c r="DC387" s="70"/>
      <c r="DF387" s="68"/>
      <c r="DG387" s="70"/>
      <c r="DH387" s="68"/>
      <c r="DI387" s="386"/>
      <c r="DJ387" s="425"/>
      <c r="DL387" s="68"/>
      <c r="DM387" s="70"/>
      <c r="DQ387" s="68"/>
      <c r="DR387" s="70"/>
      <c r="DS387" s="338"/>
      <c r="DT387" s="338"/>
      <c r="DU387" s="338"/>
      <c r="DW387" s="338"/>
      <c r="DX387" s="338"/>
      <c r="DY387" s="338"/>
      <c r="EA387" s="338"/>
      <c r="EB387" s="338"/>
      <c r="EC387" s="338"/>
      <c r="EE387" s="338"/>
      <c r="EF387" s="338"/>
      <c r="EG387" s="338"/>
      <c r="EI387" s="336"/>
      <c r="EJ387" s="336"/>
      <c r="EK387" s="336"/>
      <c r="EL387" s="336"/>
      <c r="EM387" s="336"/>
      <c r="EN387" s="336"/>
      <c r="EO387" s="337"/>
      <c r="EP387" s="342"/>
      <c r="EQ387" s="336"/>
      <c r="ER387" s="342"/>
      <c r="ES387" s="336"/>
      <c r="ET387" s="342"/>
      <c r="EU387" s="336"/>
      <c r="EV387" s="342"/>
      <c r="EW387" s="336"/>
      <c r="EX387" s="342"/>
      <c r="EY387" s="342"/>
      <c r="EZ387" s="342"/>
      <c r="FA387" s="337"/>
      <c r="FE387" s="338"/>
      <c r="FH387" s="338"/>
      <c r="FI387" s="338"/>
      <c r="FJ387" s="338"/>
      <c r="FK387" s="338"/>
      <c r="FL387" s="338"/>
      <c r="FM387" s="337"/>
      <c r="FN387" s="336"/>
      <c r="FO387" s="336"/>
      <c r="FP387" s="336"/>
      <c r="FQ387" s="336"/>
      <c r="FR387" s="336"/>
      <c r="FS387" s="336"/>
      <c r="FT387" s="336"/>
      <c r="FU387" s="336"/>
      <c r="FV387" s="336"/>
      <c r="FW387" s="337"/>
      <c r="FX387" s="532"/>
      <c r="FY387" s="341"/>
      <c r="FZ387" s="341"/>
      <c r="GA387" s="336"/>
      <c r="GB387" s="341"/>
      <c r="GC387" s="341"/>
      <c r="GD387" s="341"/>
      <c r="GE387" s="336"/>
      <c r="GF387" s="336"/>
      <c r="GG387" s="336"/>
      <c r="GH387" s="336"/>
      <c r="GI387" s="336"/>
      <c r="GJ387" s="337"/>
      <c r="GM387" s="338"/>
      <c r="GN387" s="338"/>
      <c r="GO387" s="338"/>
      <c r="GS387" s="338"/>
      <c r="GT387" s="338"/>
      <c r="GU387" s="338"/>
      <c r="GY387" s="338"/>
      <c r="GZ387" s="338"/>
      <c r="HA387" s="338"/>
      <c r="HE387" s="338"/>
      <c r="HF387" s="338"/>
      <c r="HG387" s="338"/>
      <c r="HN387" s="68"/>
      <c r="HO387" s="68"/>
      <c r="HP387" s="68"/>
      <c r="HQ387" s="336"/>
      <c r="HR387" s="68"/>
      <c r="HS387" s="68"/>
      <c r="HT387" s="10"/>
      <c r="HW387" s="338"/>
      <c r="HX387" s="338"/>
      <c r="HY387" s="338"/>
      <c r="IC387" s="338"/>
      <c r="ID387" s="338"/>
      <c r="IE387" s="338"/>
      <c r="II387" s="338"/>
      <c r="IJ387" s="338"/>
      <c r="IK387" s="338"/>
      <c r="IO387" s="338"/>
      <c r="IP387" s="338"/>
      <c r="IQ387" s="338"/>
      <c r="IX387" s="68"/>
      <c r="IY387" s="68"/>
      <c r="IZ387" s="68"/>
      <c r="JA387" s="68"/>
      <c r="JB387" s="68"/>
      <c r="JC387" s="68"/>
      <c r="JD387" s="10"/>
      <c r="JG387" s="338"/>
      <c r="JH387" s="338"/>
      <c r="JI387" s="338"/>
      <c r="JM387" s="338"/>
      <c r="JN387" s="338"/>
      <c r="JQ387" s="338"/>
      <c r="JR387" s="338"/>
      <c r="JS387" s="338"/>
      <c r="JW387" s="358"/>
      <c r="JX387" s="336"/>
      <c r="JY387" s="336"/>
      <c r="JZ387" s="336"/>
      <c r="KA387" s="336"/>
      <c r="KB387" s="336"/>
      <c r="KC387" s="336"/>
      <c r="KD387" s="336"/>
      <c r="KE387" s="336"/>
      <c r="KF387" s="336"/>
      <c r="KG387" s="337"/>
      <c r="KH387" s="338"/>
      <c r="KI387" s="338"/>
      <c r="KJ387" s="338"/>
      <c r="KK387" s="338"/>
      <c r="KL387" s="338"/>
      <c r="KM387" s="338"/>
      <c r="KN387" s="338"/>
      <c r="KO387" s="338"/>
      <c r="KP387" s="338"/>
      <c r="KQ387" s="338"/>
      <c r="KR387" s="338"/>
      <c r="KS387" s="338"/>
      <c r="KT387" s="338"/>
      <c r="KU387" s="338"/>
      <c r="KV387" s="338"/>
      <c r="KW387" s="337"/>
      <c r="KX387" s="336"/>
      <c r="KY387" s="336"/>
      <c r="KZ387" s="336"/>
      <c r="LA387" s="336"/>
      <c r="LB387" s="336"/>
      <c r="LC387" s="336"/>
      <c r="LD387" s="336"/>
      <c r="LE387" s="336"/>
      <c r="LF387" s="336"/>
      <c r="LG387" s="336"/>
      <c r="LH387" s="336"/>
      <c r="LI387" s="336"/>
      <c r="LJ387" s="336"/>
      <c r="LK387" s="336"/>
      <c r="LL387" s="336"/>
      <c r="LM387" s="336"/>
      <c r="LN387" s="336"/>
      <c r="LO387" s="336"/>
      <c r="LP387" s="336"/>
      <c r="LQ387" s="337"/>
      <c r="MN387" s="10"/>
      <c r="OA387" s="10"/>
    </row>
    <row r="388" spans="1:391" s="370" customFormat="1" x14ac:dyDescent="0.25">
      <c r="A388" s="68"/>
      <c r="B388" s="10"/>
      <c r="C388" s="68"/>
      <c r="D388" s="68"/>
      <c r="E388" s="68"/>
      <c r="F388" s="68"/>
      <c r="G388" s="68"/>
      <c r="H388" s="68"/>
      <c r="I388" s="68"/>
      <c r="J388" s="68"/>
      <c r="K388" s="68"/>
      <c r="L388" s="68"/>
      <c r="M388" s="68"/>
      <c r="N388" s="68"/>
      <c r="O388" s="68"/>
      <c r="P388" s="68"/>
      <c r="Q388" s="68"/>
      <c r="R388" s="68"/>
      <c r="S388" s="68"/>
      <c r="T388" s="70"/>
      <c r="AC388" s="68"/>
      <c r="AD388" s="70"/>
      <c r="AM388" s="68"/>
      <c r="AN388" s="70"/>
      <c r="AU388" s="68"/>
      <c r="AV388" s="70"/>
      <c r="BB388" s="68"/>
      <c r="BC388" s="70"/>
      <c r="BD388" s="68"/>
      <c r="BE388" s="68"/>
      <c r="BF388" s="68"/>
      <c r="BG388" s="68"/>
      <c r="BH388" s="68"/>
      <c r="BI388" s="68"/>
      <c r="BJ388" s="70"/>
      <c r="BM388" s="68"/>
      <c r="BN388" s="70"/>
      <c r="BT388" s="68"/>
      <c r="BU388" s="70"/>
      <c r="BZ388" s="10"/>
      <c r="CF388" s="10"/>
      <c r="CI388" s="389"/>
      <c r="CJ388" s="389"/>
      <c r="CK388" s="68"/>
      <c r="CL388" s="70"/>
      <c r="CO388" s="10"/>
      <c r="CU388" s="10"/>
      <c r="DA388" s="10"/>
      <c r="DB388" s="70"/>
      <c r="DC388" s="70"/>
      <c r="DF388" s="68"/>
      <c r="DG388" s="70"/>
      <c r="DH388" s="68"/>
      <c r="DI388" s="386"/>
      <c r="DJ388" s="425"/>
      <c r="DL388" s="68"/>
      <c r="DM388" s="70"/>
      <c r="DQ388" s="68"/>
      <c r="DR388" s="70"/>
      <c r="DS388" s="338"/>
      <c r="DT388" s="338"/>
      <c r="DU388" s="338"/>
      <c r="DW388" s="338"/>
      <c r="DX388" s="338"/>
      <c r="DY388" s="338"/>
      <c r="EA388" s="338"/>
      <c r="EB388" s="338"/>
      <c r="EC388" s="338"/>
      <c r="EE388" s="338"/>
      <c r="EF388" s="338"/>
      <c r="EG388" s="338"/>
      <c r="EI388" s="336"/>
      <c r="EJ388" s="336"/>
      <c r="EK388" s="336"/>
      <c r="EL388" s="336"/>
      <c r="EM388" s="336"/>
      <c r="EN388" s="336"/>
      <c r="EO388" s="337"/>
      <c r="EP388" s="342"/>
      <c r="EQ388" s="336"/>
      <c r="ER388" s="342"/>
      <c r="ES388" s="336"/>
      <c r="ET388" s="342"/>
      <c r="EU388" s="336"/>
      <c r="EV388" s="342"/>
      <c r="EW388" s="336"/>
      <c r="EX388" s="342"/>
      <c r="EY388" s="342"/>
      <c r="EZ388" s="342"/>
      <c r="FA388" s="337"/>
      <c r="FE388" s="338"/>
      <c r="FH388" s="338"/>
      <c r="FI388" s="338"/>
      <c r="FJ388" s="338"/>
      <c r="FK388" s="338"/>
      <c r="FL388" s="338"/>
      <c r="FM388" s="337"/>
      <c r="FN388" s="336"/>
      <c r="FO388" s="336"/>
      <c r="FP388" s="336"/>
      <c r="FQ388" s="336"/>
      <c r="FR388" s="336"/>
      <c r="FS388" s="336"/>
      <c r="FT388" s="336"/>
      <c r="FU388" s="336"/>
      <c r="FV388" s="336"/>
      <c r="FW388" s="337"/>
      <c r="FX388" s="532"/>
      <c r="FY388" s="341"/>
      <c r="FZ388" s="341"/>
      <c r="GA388" s="336"/>
      <c r="GB388" s="341"/>
      <c r="GC388" s="341"/>
      <c r="GD388" s="341"/>
      <c r="GE388" s="336"/>
      <c r="GF388" s="336"/>
      <c r="GG388" s="336"/>
      <c r="GH388" s="336"/>
      <c r="GI388" s="336"/>
      <c r="GJ388" s="337"/>
      <c r="GM388" s="338"/>
      <c r="GN388" s="338"/>
      <c r="GO388" s="338"/>
      <c r="GS388" s="338"/>
      <c r="GT388" s="338"/>
      <c r="GU388" s="338"/>
      <c r="GY388" s="338"/>
      <c r="GZ388" s="338"/>
      <c r="HA388" s="338"/>
      <c r="HE388" s="338"/>
      <c r="HF388" s="338"/>
      <c r="HG388" s="338"/>
      <c r="HN388" s="68"/>
      <c r="HO388" s="68"/>
      <c r="HP388" s="68"/>
      <c r="HQ388" s="336"/>
      <c r="HR388" s="68"/>
      <c r="HS388" s="68"/>
      <c r="HT388" s="10"/>
      <c r="HW388" s="338"/>
      <c r="HX388" s="338"/>
      <c r="HY388" s="338"/>
      <c r="IC388" s="338"/>
      <c r="ID388" s="338"/>
      <c r="IE388" s="338"/>
      <c r="II388" s="338"/>
      <c r="IJ388" s="338"/>
      <c r="IK388" s="338"/>
      <c r="IO388" s="338"/>
      <c r="IP388" s="338"/>
      <c r="IQ388" s="338"/>
      <c r="IX388" s="68"/>
      <c r="IY388" s="68"/>
      <c r="IZ388" s="68"/>
      <c r="JA388" s="68"/>
      <c r="JB388" s="68"/>
      <c r="JC388" s="68"/>
      <c r="JD388" s="10"/>
      <c r="JG388" s="338"/>
      <c r="JH388" s="338"/>
      <c r="JI388" s="338"/>
      <c r="JM388" s="338"/>
      <c r="JN388" s="338"/>
      <c r="JQ388" s="338"/>
      <c r="JR388" s="338"/>
      <c r="JS388" s="338"/>
      <c r="JW388" s="358"/>
      <c r="JX388" s="336"/>
      <c r="JY388" s="336"/>
      <c r="JZ388" s="336"/>
      <c r="KA388" s="336"/>
      <c r="KB388" s="336"/>
      <c r="KC388" s="336"/>
      <c r="KD388" s="336"/>
      <c r="KE388" s="336"/>
      <c r="KF388" s="336"/>
      <c r="KG388" s="337"/>
      <c r="KH388" s="338"/>
      <c r="KI388" s="338"/>
      <c r="KJ388" s="338"/>
      <c r="KK388" s="338"/>
      <c r="KL388" s="338"/>
      <c r="KM388" s="338"/>
      <c r="KN388" s="338"/>
      <c r="KO388" s="338"/>
      <c r="KP388" s="338"/>
      <c r="KQ388" s="338"/>
      <c r="KR388" s="338"/>
      <c r="KS388" s="338"/>
      <c r="KT388" s="338"/>
      <c r="KU388" s="338"/>
      <c r="KV388" s="338"/>
      <c r="KW388" s="337"/>
      <c r="KX388" s="336"/>
      <c r="KY388" s="336"/>
      <c r="KZ388" s="336"/>
      <c r="LA388" s="336"/>
      <c r="LB388" s="336"/>
      <c r="LC388" s="336"/>
      <c r="LD388" s="336"/>
      <c r="LE388" s="336"/>
      <c r="LF388" s="336"/>
      <c r="LG388" s="336"/>
      <c r="LH388" s="336"/>
      <c r="LI388" s="336"/>
      <c r="LJ388" s="336"/>
      <c r="LK388" s="336"/>
      <c r="LL388" s="336"/>
      <c r="LM388" s="336"/>
      <c r="LN388" s="336"/>
      <c r="LO388" s="336"/>
      <c r="LP388" s="336"/>
      <c r="LQ388" s="337"/>
      <c r="MN388" s="10"/>
      <c r="OA388" s="10"/>
    </row>
    <row r="389" spans="1:391" s="370" customFormat="1" x14ac:dyDescent="0.25">
      <c r="A389" s="68"/>
      <c r="B389" s="10"/>
      <c r="C389" s="68"/>
      <c r="D389" s="68"/>
      <c r="E389" s="68"/>
      <c r="F389" s="68"/>
      <c r="G389" s="68"/>
      <c r="H389" s="68"/>
      <c r="I389" s="68"/>
      <c r="J389" s="68"/>
      <c r="K389" s="68"/>
      <c r="L389" s="68"/>
      <c r="M389" s="68"/>
      <c r="N389" s="68"/>
      <c r="O389" s="68"/>
      <c r="P389" s="68"/>
      <c r="Q389" s="68"/>
      <c r="R389" s="68"/>
      <c r="S389" s="68"/>
      <c r="T389" s="70"/>
      <c r="AC389" s="68"/>
      <c r="AD389" s="70"/>
      <c r="AM389" s="68"/>
      <c r="AN389" s="70"/>
      <c r="AU389" s="68"/>
      <c r="AV389" s="70"/>
      <c r="BB389" s="68"/>
      <c r="BC389" s="70"/>
      <c r="BD389" s="68"/>
      <c r="BE389" s="68"/>
      <c r="BF389" s="68"/>
      <c r="BG389" s="68"/>
      <c r="BH389" s="68"/>
      <c r="BI389" s="68"/>
      <c r="BJ389" s="70"/>
      <c r="BM389" s="68"/>
      <c r="BN389" s="70"/>
      <c r="BT389" s="68"/>
      <c r="BU389" s="70"/>
      <c r="BZ389" s="10"/>
      <c r="CF389" s="10"/>
      <c r="CI389" s="389"/>
      <c r="CJ389" s="389"/>
      <c r="CK389" s="68"/>
      <c r="CL389" s="70"/>
      <c r="CO389" s="10"/>
      <c r="CU389" s="10"/>
      <c r="DA389" s="10"/>
      <c r="DB389" s="70"/>
      <c r="DC389" s="70"/>
      <c r="DF389" s="68"/>
      <c r="DG389" s="70"/>
      <c r="DH389" s="68"/>
      <c r="DI389" s="386"/>
      <c r="DJ389" s="425"/>
      <c r="DL389" s="68"/>
      <c r="DM389" s="70"/>
      <c r="DQ389" s="68"/>
      <c r="DR389" s="70"/>
      <c r="DS389" s="338"/>
      <c r="DT389" s="338"/>
      <c r="DU389" s="338"/>
      <c r="DW389" s="338"/>
      <c r="DX389" s="338"/>
      <c r="DY389" s="338"/>
      <c r="EA389" s="338"/>
      <c r="EB389" s="338"/>
      <c r="EC389" s="338"/>
      <c r="EE389" s="338"/>
      <c r="EF389" s="338"/>
      <c r="EG389" s="338"/>
      <c r="EI389" s="336"/>
      <c r="EJ389" s="336"/>
      <c r="EK389" s="336"/>
      <c r="EL389" s="336"/>
      <c r="EM389" s="336"/>
      <c r="EN389" s="336"/>
      <c r="EO389" s="337"/>
      <c r="EP389" s="342"/>
      <c r="EQ389" s="336"/>
      <c r="ER389" s="342"/>
      <c r="ES389" s="336"/>
      <c r="ET389" s="342"/>
      <c r="EU389" s="336"/>
      <c r="EV389" s="342"/>
      <c r="EW389" s="336"/>
      <c r="EX389" s="342"/>
      <c r="EY389" s="342"/>
      <c r="EZ389" s="342"/>
      <c r="FA389" s="337"/>
      <c r="FE389" s="338"/>
      <c r="FH389" s="338"/>
      <c r="FI389" s="338"/>
      <c r="FJ389" s="338"/>
      <c r="FK389" s="338"/>
      <c r="FL389" s="338"/>
      <c r="FM389" s="337"/>
      <c r="FN389" s="336"/>
      <c r="FO389" s="336"/>
      <c r="FP389" s="336"/>
      <c r="FQ389" s="336"/>
      <c r="FR389" s="336"/>
      <c r="FS389" s="336"/>
      <c r="FT389" s="336"/>
      <c r="FU389" s="336"/>
      <c r="FV389" s="336"/>
      <c r="FW389" s="337"/>
      <c r="FX389" s="532"/>
      <c r="FY389" s="341"/>
      <c r="FZ389" s="341"/>
      <c r="GA389" s="336"/>
      <c r="GB389" s="341"/>
      <c r="GC389" s="341"/>
      <c r="GD389" s="341"/>
      <c r="GE389" s="336"/>
      <c r="GF389" s="336"/>
      <c r="GG389" s="336"/>
      <c r="GH389" s="336"/>
      <c r="GI389" s="336"/>
      <c r="GJ389" s="337"/>
      <c r="GM389" s="338"/>
      <c r="GN389" s="338"/>
      <c r="GO389" s="338"/>
      <c r="GS389" s="338"/>
      <c r="GT389" s="338"/>
      <c r="GU389" s="338"/>
      <c r="GY389" s="338"/>
      <c r="GZ389" s="338"/>
      <c r="HA389" s="338"/>
      <c r="HE389" s="338"/>
      <c r="HF389" s="338"/>
      <c r="HG389" s="338"/>
      <c r="HN389" s="68"/>
      <c r="HO389" s="68"/>
      <c r="HP389" s="68"/>
      <c r="HQ389" s="336"/>
      <c r="HR389" s="68"/>
      <c r="HS389" s="68"/>
      <c r="HT389" s="10"/>
      <c r="HW389" s="338"/>
      <c r="HX389" s="338"/>
      <c r="HY389" s="338"/>
      <c r="IC389" s="338"/>
      <c r="ID389" s="338"/>
      <c r="IE389" s="338"/>
      <c r="II389" s="338"/>
      <c r="IJ389" s="338"/>
      <c r="IK389" s="338"/>
      <c r="IO389" s="338"/>
      <c r="IP389" s="338"/>
      <c r="IQ389" s="338"/>
      <c r="IX389" s="68"/>
      <c r="IY389" s="68"/>
      <c r="IZ389" s="68"/>
      <c r="JA389" s="68"/>
      <c r="JB389" s="68"/>
      <c r="JC389" s="68"/>
      <c r="JD389" s="10"/>
      <c r="JG389" s="338"/>
      <c r="JH389" s="338"/>
      <c r="JI389" s="338"/>
      <c r="JM389" s="338"/>
      <c r="JN389" s="338"/>
      <c r="JQ389" s="338"/>
      <c r="JR389" s="338"/>
      <c r="JS389" s="338"/>
      <c r="JW389" s="358"/>
      <c r="JX389" s="336"/>
      <c r="JY389" s="336"/>
      <c r="JZ389" s="336"/>
      <c r="KA389" s="336"/>
      <c r="KB389" s="336"/>
      <c r="KC389" s="336"/>
      <c r="KD389" s="336"/>
      <c r="KE389" s="336"/>
      <c r="KF389" s="336"/>
      <c r="KG389" s="337"/>
      <c r="KH389" s="338"/>
      <c r="KI389" s="338"/>
      <c r="KJ389" s="338"/>
      <c r="KK389" s="338"/>
      <c r="KL389" s="338"/>
      <c r="KM389" s="338"/>
      <c r="KN389" s="338"/>
      <c r="KO389" s="338"/>
      <c r="KP389" s="338"/>
      <c r="KQ389" s="338"/>
      <c r="KR389" s="338"/>
      <c r="KS389" s="338"/>
      <c r="KT389" s="338"/>
      <c r="KU389" s="338"/>
      <c r="KV389" s="338"/>
      <c r="KW389" s="337"/>
      <c r="KX389" s="336"/>
      <c r="KY389" s="336"/>
      <c r="KZ389" s="336"/>
      <c r="LA389" s="336"/>
      <c r="LB389" s="336"/>
      <c r="LC389" s="336"/>
      <c r="LD389" s="336"/>
      <c r="LE389" s="336"/>
      <c r="LF389" s="336"/>
      <c r="LG389" s="336"/>
      <c r="LH389" s="336"/>
      <c r="LI389" s="336"/>
      <c r="LJ389" s="336"/>
      <c r="LK389" s="336"/>
      <c r="LL389" s="336"/>
      <c r="LM389" s="336"/>
      <c r="LN389" s="336"/>
      <c r="LO389" s="336"/>
      <c r="LP389" s="336"/>
      <c r="LQ389" s="337"/>
      <c r="MN389" s="10"/>
      <c r="OA389" s="10"/>
    </row>
    <row r="390" spans="1:391" s="370" customFormat="1" x14ac:dyDescent="0.25">
      <c r="A390" s="68"/>
      <c r="B390" s="10"/>
      <c r="C390" s="68"/>
      <c r="D390" s="68"/>
      <c r="E390" s="68"/>
      <c r="F390" s="68"/>
      <c r="G390" s="68"/>
      <c r="H390" s="68"/>
      <c r="I390" s="68"/>
      <c r="J390" s="68"/>
      <c r="K390" s="68"/>
      <c r="L390" s="68"/>
      <c r="M390" s="68"/>
      <c r="N390" s="68"/>
      <c r="O390" s="68"/>
      <c r="P390" s="68"/>
      <c r="Q390" s="68"/>
      <c r="R390" s="68"/>
      <c r="S390" s="68"/>
      <c r="T390" s="70"/>
      <c r="AC390" s="68"/>
      <c r="AD390" s="70"/>
      <c r="AM390" s="68"/>
      <c r="AN390" s="70"/>
      <c r="AU390" s="68"/>
      <c r="AV390" s="70"/>
      <c r="BB390" s="68"/>
      <c r="BC390" s="70"/>
      <c r="BD390" s="68"/>
      <c r="BE390" s="68"/>
      <c r="BF390" s="68"/>
      <c r="BG390" s="68"/>
      <c r="BH390" s="68"/>
      <c r="BI390" s="68"/>
      <c r="BJ390" s="70"/>
      <c r="BM390" s="68"/>
      <c r="BN390" s="70"/>
      <c r="BT390" s="68"/>
      <c r="BU390" s="70"/>
      <c r="BZ390" s="10"/>
      <c r="CF390" s="10"/>
      <c r="CI390" s="389"/>
      <c r="CJ390" s="389"/>
      <c r="CK390" s="68"/>
      <c r="CL390" s="70"/>
      <c r="CO390" s="10"/>
      <c r="CU390" s="10"/>
      <c r="DA390" s="10"/>
      <c r="DB390" s="70"/>
      <c r="DC390" s="70"/>
      <c r="DF390" s="68"/>
      <c r="DG390" s="70"/>
      <c r="DH390" s="68"/>
      <c r="DI390" s="386"/>
      <c r="DJ390" s="425"/>
      <c r="DL390" s="68"/>
      <c r="DM390" s="70"/>
      <c r="DQ390" s="68"/>
      <c r="DR390" s="70"/>
      <c r="DS390" s="338"/>
      <c r="DT390" s="338"/>
      <c r="DU390" s="338"/>
      <c r="DW390" s="338"/>
      <c r="DX390" s="338"/>
      <c r="DY390" s="338"/>
      <c r="EA390" s="338"/>
      <c r="EB390" s="338"/>
      <c r="EC390" s="338"/>
      <c r="EE390" s="338"/>
      <c r="EF390" s="338"/>
      <c r="EG390" s="338"/>
      <c r="EI390" s="336"/>
      <c r="EJ390" s="336"/>
      <c r="EK390" s="336"/>
      <c r="EL390" s="336"/>
      <c r="EM390" s="336"/>
      <c r="EN390" s="336"/>
      <c r="EO390" s="337"/>
      <c r="EP390" s="342"/>
      <c r="EQ390" s="336"/>
      <c r="ER390" s="342"/>
      <c r="ES390" s="336"/>
      <c r="ET390" s="342"/>
      <c r="EU390" s="336"/>
      <c r="EV390" s="342"/>
      <c r="EW390" s="336"/>
      <c r="EX390" s="342"/>
      <c r="EY390" s="342"/>
      <c r="EZ390" s="342"/>
      <c r="FA390" s="337"/>
      <c r="FE390" s="338"/>
      <c r="FH390" s="338"/>
      <c r="FI390" s="338"/>
      <c r="FJ390" s="338"/>
      <c r="FK390" s="338"/>
      <c r="FL390" s="338"/>
      <c r="FM390" s="337"/>
      <c r="FN390" s="336"/>
      <c r="FO390" s="336"/>
      <c r="FP390" s="336"/>
      <c r="FQ390" s="336"/>
      <c r="FR390" s="336"/>
      <c r="FS390" s="336"/>
      <c r="FT390" s="336"/>
      <c r="FU390" s="336"/>
      <c r="FV390" s="336"/>
      <c r="FW390" s="337"/>
      <c r="FX390" s="532"/>
      <c r="FY390" s="341"/>
      <c r="FZ390" s="341"/>
      <c r="GA390" s="336"/>
      <c r="GB390" s="341"/>
      <c r="GC390" s="341"/>
      <c r="GD390" s="341"/>
      <c r="GE390" s="336"/>
      <c r="GF390" s="336"/>
      <c r="GG390" s="336"/>
      <c r="GH390" s="336"/>
      <c r="GI390" s="336"/>
      <c r="GJ390" s="337"/>
      <c r="GM390" s="338"/>
      <c r="GN390" s="338"/>
      <c r="GO390" s="338"/>
      <c r="GS390" s="338"/>
      <c r="GT390" s="338"/>
      <c r="GU390" s="338"/>
      <c r="GY390" s="338"/>
      <c r="GZ390" s="338"/>
      <c r="HA390" s="338"/>
      <c r="HE390" s="338"/>
      <c r="HF390" s="338"/>
      <c r="HG390" s="338"/>
      <c r="HN390" s="68"/>
      <c r="HO390" s="68"/>
      <c r="HP390" s="68"/>
      <c r="HQ390" s="336"/>
      <c r="HR390" s="68"/>
      <c r="HS390" s="68"/>
      <c r="HT390" s="10"/>
      <c r="HW390" s="338"/>
      <c r="HX390" s="338"/>
      <c r="HY390" s="338"/>
      <c r="IC390" s="338"/>
      <c r="ID390" s="338"/>
      <c r="IE390" s="338"/>
      <c r="II390" s="338"/>
      <c r="IJ390" s="338"/>
      <c r="IK390" s="338"/>
      <c r="IO390" s="338"/>
      <c r="IP390" s="338"/>
      <c r="IQ390" s="338"/>
      <c r="IX390" s="68"/>
      <c r="IY390" s="68"/>
      <c r="IZ390" s="68"/>
      <c r="JA390" s="68"/>
      <c r="JB390" s="68"/>
      <c r="JC390" s="68"/>
      <c r="JD390" s="10"/>
      <c r="JG390" s="338"/>
      <c r="JH390" s="338"/>
      <c r="JI390" s="338"/>
      <c r="JM390" s="338"/>
      <c r="JN390" s="338"/>
      <c r="JQ390" s="338"/>
      <c r="JR390" s="338"/>
      <c r="JS390" s="338"/>
      <c r="JW390" s="358"/>
      <c r="JX390" s="336"/>
      <c r="JY390" s="336"/>
      <c r="JZ390" s="336"/>
      <c r="KA390" s="336"/>
      <c r="KB390" s="336"/>
      <c r="KC390" s="336"/>
      <c r="KD390" s="336"/>
      <c r="KE390" s="336"/>
      <c r="KF390" s="336"/>
      <c r="KG390" s="337"/>
      <c r="KH390" s="338"/>
      <c r="KI390" s="338"/>
      <c r="KJ390" s="338"/>
      <c r="KK390" s="338"/>
      <c r="KL390" s="338"/>
      <c r="KM390" s="338"/>
      <c r="KN390" s="338"/>
      <c r="KO390" s="338"/>
      <c r="KP390" s="338"/>
      <c r="KQ390" s="338"/>
      <c r="KR390" s="338"/>
      <c r="KS390" s="338"/>
      <c r="KT390" s="338"/>
      <c r="KU390" s="338"/>
      <c r="KV390" s="338"/>
      <c r="KW390" s="337"/>
      <c r="KX390" s="336"/>
      <c r="KY390" s="336"/>
      <c r="KZ390" s="336"/>
      <c r="LA390" s="336"/>
      <c r="LB390" s="336"/>
      <c r="LC390" s="336"/>
      <c r="LD390" s="336"/>
      <c r="LE390" s="336"/>
      <c r="LF390" s="336"/>
      <c r="LG390" s="336"/>
      <c r="LH390" s="336"/>
      <c r="LI390" s="336"/>
      <c r="LJ390" s="336"/>
      <c r="LK390" s="336"/>
      <c r="LL390" s="336"/>
      <c r="LM390" s="336"/>
      <c r="LN390" s="336"/>
      <c r="LO390" s="336"/>
      <c r="LP390" s="336"/>
      <c r="LQ390" s="337"/>
      <c r="MN390" s="10"/>
      <c r="OA390" s="10"/>
    </row>
    <row r="391" spans="1:391" s="370" customFormat="1" x14ac:dyDescent="0.25">
      <c r="A391" s="68"/>
      <c r="B391" s="10"/>
      <c r="C391" s="68"/>
      <c r="D391" s="68"/>
      <c r="E391" s="68"/>
      <c r="F391" s="68"/>
      <c r="G391" s="68"/>
      <c r="H391" s="68"/>
      <c r="I391" s="68"/>
      <c r="J391" s="68"/>
      <c r="K391" s="68"/>
      <c r="L391" s="68"/>
      <c r="M391" s="68"/>
      <c r="N391" s="68"/>
      <c r="O391" s="68"/>
      <c r="P391" s="68"/>
      <c r="Q391" s="68"/>
      <c r="R391" s="68"/>
      <c r="S391" s="68"/>
      <c r="T391" s="70"/>
      <c r="AC391" s="68"/>
      <c r="AD391" s="70"/>
      <c r="AM391" s="68"/>
      <c r="AN391" s="70"/>
      <c r="AU391" s="68"/>
      <c r="AV391" s="70"/>
      <c r="BB391" s="68"/>
      <c r="BC391" s="70"/>
      <c r="BD391" s="68"/>
      <c r="BE391" s="68"/>
      <c r="BF391" s="68"/>
      <c r="BG391" s="68"/>
      <c r="BH391" s="68"/>
      <c r="BI391" s="68"/>
      <c r="BJ391" s="70"/>
      <c r="BM391" s="68"/>
      <c r="BN391" s="70"/>
      <c r="BT391" s="68"/>
      <c r="BU391" s="70"/>
      <c r="BZ391" s="10"/>
      <c r="CF391" s="10"/>
      <c r="CI391" s="389"/>
      <c r="CJ391" s="389"/>
      <c r="CK391" s="68"/>
      <c r="CL391" s="70"/>
      <c r="CO391" s="10"/>
      <c r="CU391" s="10"/>
      <c r="DA391" s="10"/>
      <c r="DB391" s="70"/>
      <c r="DC391" s="70"/>
      <c r="DF391" s="68"/>
      <c r="DG391" s="70"/>
      <c r="DH391" s="68"/>
      <c r="DI391" s="386"/>
      <c r="DJ391" s="425"/>
      <c r="DL391" s="68"/>
      <c r="DM391" s="70"/>
      <c r="DQ391" s="68"/>
      <c r="DR391" s="70"/>
      <c r="DS391" s="338"/>
      <c r="DT391" s="338"/>
      <c r="DU391" s="338"/>
      <c r="DW391" s="338"/>
      <c r="DX391" s="338"/>
      <c r="DY391" s="338"/>
      <c r="EA391" s="338"/>
      <c r="EB391" s="338"/>
      <c r="EC391" s="338"/>
      <c r="EE391" s="338"/>
      <c r="EF391" s="338"/>
      <c r="EG391" s="338"/>
      <c r="EI391" s="336"/>
      <c r="EJ391" s="336"/>
      <c r="EK391" s="336"/>
      <c r="EL391" s="336"/>
      <c r="EM391" s="336"/>
      <c r="EN391" s="336"/>
      <c r="EO391" s="337"/>
      <c r="EP391" s="342"/>
      <c r="EQ391" s="336"/>
      <c r="ER391" s="342"/>
      <c r="ES391" s="336"/>
      <c r="ET391" s="342"/>
      <c r="EU391" s="336"/>
      <c r="EV391" s="342"/>
      <c r="EW391" s="336"/>
      <c r="EX391" s="342"/>
      <c r="EY391" s="342"/>
      <c r="EZ391" s="342"/>
      <c r="FA391" s="337"/>
      <c r="FE391" s="338"/>
      <c r="FH391" s="338"/>
      <c r="FI391" s="338"/>
      <c r="FJ391" s="338"/>
      <c r="FK391" s="338"/>
      <c r="FL391" s="338"/>
      <c r="FM391" s="337"/>
      <c r="FN391" s="336"/>
      <c r="FO391" s="336"/>
      <c r="FP391" s="336"/>
      <c r="FQ391" s="336"/>
      <c r="FR391" s="336"/>
      <c r="FS391" s="336"/>
      <c r="FT391" s="336"/>
      <c r="FU391" s="336"/>
      <c r="FV391" s="336"/>
      <c r="FW391" s="337"/>
      <c r="FX391" s="532"/>
      <c r="FY391" s="341"/>
      <c r="FZ391" s="341"/>
      <c r="GA391" s="336"/>
      <c r="GB391" s="341"/>
      <c r="GC391" s="341"/>
      <c r="GD391" s="341"/>
      <c r="GE391" s="336"/>
      <c r="GF391" s="336"/>
      <c r="GG391" s="336"/>
      <c r="GH391" s="336"/>
      <c r="GI391" s="336"/>
      <c r="GJ391" s="337"/>
      <c r="GM391" s="338"/>
      <c r="GN391" s="338"/>
      <c r="GO391" s="338"/>
      <c r="GS391" s="338"/>
      <c r="GT391" s="338"/>
      <c r="GU391" s="338"/>
      <c r="GY391" s="338"/>
      <c r="GZ391" s="338"/>
      <c r="HA391" s="338"/>
      <c r="HE391" s="338"/>
      <c r="HF391" s="338"/>
      <c r="HG391" s="338"/>
      <c r="HN391" s="68"/>
      <c r="HO391" s="68"/>
      <c r="HP391" s="68"/>
      <c r="HQ391" s="336"/>
      <c r="HR391" s="68"/>
      <c r="HS391" s="68"/>
      <c r="HT391" s="10"/>
      <c r="HW391" s="338"/>
      <c r="HX391" s="338"/>
      <c r="HY391" s="338"/>
      <c r="IC391" s="338"/>
      <c r="ID391" s="338"/>
      <c r="IE391" s="338"/>
      <c r="II391" s="338"/>
      <c r="IJ391" s="338"/>
      <c r="IK391" s="338"/>
      <c r="IO391" s="338"/>
      <c r="IP391" s="338"/>
      <c r="IQ391" s="338"/>
      <c r="IX391" s="68"/>
      <c r="IY391" s="68"/>
      <c r="IZ391" s="68"/>
      <c r="JA391" s="68"/>
      <c r="JB391" s="68"/>
      <c r="JC391" s="68"/>
      <c r="JD391" s="10"/>
      <c r="JG391" s="338"/>
      <c r="JH391" s="338"/>
      <c r="JI391" s="338"/>
      <c r="JM391" s="338"/>
      <c r="JN391" s="338"/>
      <c r="JQ391" s="338"/>
      <c r="JR391" s="338"/>
      <c r="JS391" s="338"/>
      <c r="JW391" s="358"/>
      <c r="JX391" s="336"/>
      <c r="JY391" s="336"/>
      <c r="JZ391" s="336"/>
      <c r="KA391" s="336"/>
      <c r="KB391" s="336"/>
      <c r="KC391" s="336"/>
      <c r="KD391" s="336"/>
      <c r="KE391" s="336"/>
      <c r="KF391" s="336"/>
      <c r="KG391" s="337"/>
      <c r="KH391" s="338"/>
      <c r="KI391" s="338"/>
      <c r="KJ391" s="338"/>
      <c r="KK391" s="338"/>
      <c r="KL391" s="338"/>
      <c r="KM391" s="338"/>
      <c r="KN391" s="338"/>
      <c r="KO391" s="338"/>
      <c r="KP391" s="338"/>
      <c r="KQ391" s="338"/>
      <c r="KR391" s="338"/>
      <c r="KS391" s="338"/>
      <c r="KT391" s="338"/>
      <c r="KU391" s="338"/>
      <c r="KV391" s="338"/>
      <c r="KW391" s="337"/>
      <c r="KX391" s="336"/>
      <c r="KY391" s="336"/>
      <c r="KZ391" s="336"/>
      <c r="LA391" s="336"/>
      <c r="LB391" s="336"/>
      <c r="LC391" s="336"/>
      <c r="LD391" s="336"/>
      <c r="LE391" s="336"/>
      <c r="LF391" s="336"/>
      <c r="LG391" s="336"/>
      <c r="LH391" s="336"/>
      <c r="LI391" s="336"/>
      <c r="LJ391" s="336"/>
      <c r="LK391" s="336"/>
      <c r="LL391" s="336"/>
      <c r="LM391" s="336"/>
      <c r="LN391" s="336"/>
      <c r="LO391" s="336"/>
      <c r="LP391" s="336"/>
      <c r="LQ391" s="337"/>
      <c r="MN391" s="10"/>
      <c r="OA391" s="10"/>
    </row>
    <row r="392" spans="1:391" s="370" customFormat="1" x14ac:dyDescent="0.25">
      <c r="A392" s="68"/>
      <c r="B392" s="10"/>
      <c r="C392" s="68"/>
      <c r="D392" s="68"/>
      <c r="E392" s="68"/>
      <c r="F392" s="68"/>
      <c r="G392" s="68"/>
      <c r="H392" s="68"/>
      <c r="I392" s="68"/>
      <c r="J392" s="68"/>
      <c r="K392" s="68"/>
      <c r="L392" s="68"/>
      <c r="M392" s="68"/>
      <c r="N392" s="68"/>
      <c r="O392" s="68"/>
      <c r="P392" s="68"/>
      <c r="Q392" s="68"/>
      <c r="R392" s="68"/>
      <c r="S392" s="68"/>
      <c r="T392" s="70"/>
      <c r="AC392" s="68"/>
      <c r="AD392" s="70"/>
      <c r="AM392" s="68"/>
      <c r="AN392" s="70"/>
      <c r="AU392" s="68"/>
      <c r="AV392" s="70"/>
      <c r="BB392" s="68"/>
      <c r="BC392" s="70"/>
      <c r="BD392" s="68"/>
      <c r="BE392" s="68"/>
      <c r="BF392" s="68"/>
      <c r="BG392" s="68"/>
      <c r="BH392" s="68"/>
      <c r="BI392" s="68"/>
      <c r="BJ392" s="70"/>
      <c r="BM392" s="68"/>
      <c r="BN392" s="70"/>
      <c r="BT392" s="68"/>
      <c r="BU392" s="70"/>
      <c r="BZ392" s="10"/>
      <c r="CF392" s="10"/>
      <c r="CI392" s="389"/>
      <c r="CJ392" s="389"/>
      <c r="CK392" s="68"/>
      <c r="CL392" s="70"/>
      <c r="CO392" s="10"/>
      <c r="CU392" s="10"/>
      <c r="DA392" s="10"/>
      <c r="DB392" s="70"/>
      <c r="DC392" s="70"/>
      <c r="DF392" s="68"/>
      <c r="DG392" s="70"/>
      <c r="DH392" s="68"/>
      <c r="DI392" s="386"/>
      <c r="DJ392" s="425"/>
      <c r="DL392" s="68"/>
      <c r="DM392" s="70"/>
      <c r="DQ392" s="68"/>
      <c r="DR392" s="70"/>
      <c r="DS392" s="338"/>
      <c r="DT392" s="338"/>
      <c r="DU392" s="338"/>
      <c r="DW392" s="338"/>
      <c r="DX392" s="338"/>
      <c r="DY392" s="338"/>
      <c r="EA392" s="338"/>
      <c r="EB392" s="338"/>
      <c r="EC392" s="338"/>
      <c r="EE392" s="338"/>
      <c r="EF392" s="338"/>
      <c r="EG392" s="338"/>
      <c r="EI392" s="336"/>
      <c r="EJ392" s="336"/>
      <c r="EK392" s="336"/>
      <c r="EL392" s="336"/>
      <c r="EM392" s="336"/>
      <c r="EN392" s="336"/>
      <c r="EO392" s="337"/>
      <c r="EP392" s="342"/>
      <c r="EQ392" s="336"/>
      <c r="ER392" s="342"/>
      <c r="ES392" s="336"/>
      <c r="ET392" s="342"/>
      <c r="EU392" s="336"/>
      <c r="EV392" s="342"/>
      <c r="EW392" s="336"/>
      <c r="EX392" s="342"/>
      <c r="EY392" s="342"/>
      <c r="EZ392" s="342"/>
      <c r="FA392" s="337"/>
      <c r="FE392" s="338"/>
      <c r="FH392" s="338"/>
      <c r="FI392" s="338"/>
      <c r="FJ392" s="338"/>
      <c r="FK392" s="338"/>
      <c r="FL392" s="338"/>
      <c r="FM392" s="337"/>
      <c r="FN392" s="336"/>
      <c r="FO392" s="336"/>
      <c r="FP392" s="336"/>
      <c r="FQ392" s="336"/>
      <c r="FR392" s="336"/>
      <c r="FS392" s="336"/>
      <c r="FT392" s="336"/>
      <c r="FU392" s="336"/>
      <c r="FV392" s="336"/>
      <c r="FW392" s="337"/>
      <c r="FX392" s="532"/>
      <c r="FY392" s="341"/>
      <c r="FZ392" s="341"/>
      <c r="GA392" s="336"/>
      <c r="GB392" s="341"/>
      <c r="GC392" s="341"/>
      <c r="GD392" s="341"/>
      <c r="GE392" s="336"/>
      <c r="GF392" s="336"/>
      <c r="GG392" s="336"/>
      <c r="GH392" s="336"/>
      <c r="GI392" s="336"/>
      <c r="GJ392" s="337"/>
      <c r="GM392" s="338"/>
      <c r="GN392" s="338"/>
      <c r="GO392" s="338"/>
      <c r="GS392" s="338"/>
      <c r="GT392" s="338"/>
      <c r="GU392" s="338"/>
      <c r="GY392" s="338"/>
      <c r="GZ392" s="338"/>
      <c r="HA392" s="338"/>
      <c r="HE392" s="338"/>
      <c r="HF392" s="338"/>
      <c r="HG392" s="338"/>
      <c r="HN392" s="68"/>
      <c r="HO392" s="68"/>
      <c r="HP392" s="68"/>
      <c r="HQ392" s="336"/>
      <c r="HR392" s="68"/>
      <c r="HS392" s="68"/>
      <c r="HT392" s="10"/>
      <c r="HW392" s="338"/>
      <c r="HX392" s="338"/>
      <c r="HY392" s="338"/>
      <c r="IC392" s="338"/>
      <c r="ID392" s="338"/>
      <c r="IE392" s="338"/>
      <c r="II392" s="338"/>
      <c r="IJ392" s="338"/>
      <c r="IK392" s="338"/>
      <c r="IO392" s="338"/>
      <c r="IP392" s="338"/>
      <c r="IQ392" s="338"/>
      <c r="IX392" s="68"/>
      <c r="IY392" s="68"/>
      <c r="IZ392" s="68"/>
      <c r="JA392" s="68"/>
      <c r="JB392" s="68"/>
      <c r="JC392" s="68"/>
      <c r="JD392" s="10"/>
      <c r="JG392" s="338"/>
      <c r="JH392" s="338"/>
      <c r="JI392" s="338"/>
      <c r="JM392" s="338"/>
      <c r="JN392" s="338"/>
      <c r="JQ392" s="338"/>
      <c r="JR392" s="338"/>
      <c r="JS392" s="338"/>
      <c r="JW392" s="358"/>
      <c r="JX392" s="336"/>
      <c r="JY392" s="336"/>
      <c r="JZ392" s="336"/>
      <c r="KA392" s="336"/>
      <c r="KB392" s="336"/>
      <c r="KC392" s="336"/>
      <c r="KD392" s="336"/>
      <c r="KE392" s="336"/>
      <c r="KF392" s="336"/>
      <c r="KG392" s="337"/>
      <c r="KH392" s="338"/>
      <c r="KI392" s="338"/>
      <c r="KJ392" s="338"/>
      <c r="KK392" s="338"/>
      <c r="KL392" s="338"/>
      <c r="KM392" s="338"/>
      <c r="KN392" s="338"/>
      <c r="KO392" s="338"/>
      <c r="KP392" s="338"/>
      <c r="KQ392" s="338"/>
      <c r="KR392" s="338"/>
      <c r="KS392" s="338"/>
      <c r="KT392" s="338"/>
      <c r="KU392" s="338"/>
      <c r="KV392" s="338"/>
      <c r="KW392" s="337"/>
      <c r="KX392" s="336"/>
      <c r="KY392" s="336"/>
      <c r="KZ392" s="336"/>
      <c r="LA392" s="336"/>
      <c r="LB392" s="336"/>
      <c r="LC392" s="336"/>
      <c r="LD392" s="336"/>
      <c r="LE392" s="336"/>
      <c r="LF392" s="336"/>
      <c r="LG392" s="336"/>
      <c r="LH392" s="336"/>
      <c r="LI392" s="336"/>
      <c r="LJ392" s="336"/>
      <c r="LK392" s="336"/>
      <c r="LL392" s="336"/>
      <c r="LM392" s="336"/>
      <c r="LN392" s="336"/>
      <c r="LO392" s="336"/>
      <c r="LP392" s="336"/>
      <c r="LQ392" s="337"/>
      <c r="MN392" s="10"/>
      <c r="OA392" s="10"/>
    </row>
    <row r="393" spans="1:391" s="370" customFormat="1" x14ac:dyDescent="0.25">
      <c r="A393" s="68"/>
      <c r="B393" s="10"/>
      <c r="C393" s="68"/>
      <c r="D393" s="68"/>
      <c r="E393" s="68"/>
      <c r="F393" s="68"/>
      <c r="G393" s="68"/>
      <c r="H393" s="68"/>
      <c r="I393" s="68"/>
      <c r="J393" s="68"/>
      <c r="K393" s="68"/>
      <c r="L393" s="68"/>
      <c r="M393" s="68"/>
      <c r="N393" s="68"/>
      <c r="O393" s="68"/>
      <c r="P393" s="68"/>
      <c r="Q393" s="68"/>
      <c r="R393" s="68"/>
      <c r="S393" s="68"/>
      <c r="T393" s="70"/>
      <c r="AC393" s="68"/>
      <c r="AD393" s="70"/>
      <c r="AM393" s="68"/>
      <c r="AN393" s="70"/>
      <c r="AU393" s="68"/>
      <c r="AV393" s="70"/>
      <c r="BB393" s="68"/>
      <c r="BC393" s="70"/>
      <c r="BD393" s="68"/>
      <c r="BE393" s="68"/>
      <c r="BF393" s="68"/>
      <c r="BG393" s="68"/>
      <c r="BH393" s="68"/>
      <c r="BI393" s="68"/>
      <c r="BJ393" s="70"/>
      <c r="BM393" s="68"/>
      <c r="BN393" s="70"/>
      <c r="BT393" s="68"/>
      <c r="BU393" s="70"/>
      <c r="BZ393" s="10"/>
      <c r="CF393" s="10"/>
      <c r="CI393" s="389"/>
      <c r="CJ393" s="389"/>
      <c r="CK393" s="68"/>
      <c r="CL393" s="70"/>
      <c r="CO393" s="10"/>
      <c r="CU393" s="10"/>
      <c r="DA393" s="10"/>
      <c r="DB393" s="70"/>
      <c r="DC393" s="70"/>
      <c r="DF393" s="68"/>
      <c r="DG393" s="70"/>
      <c r="DH393" s="68"/>
      <c r="DI393" s="386"/>
      <c r="DJ393" s="425"/>
      <c r="DL393" s="68"/>
      <c r="DM393" s="70"/>
      <c r="DQ393" s="68"/>
      <c r="DR393" s="70"/>
      <c r="DS393" s="338"/>
      <c r="DT393" s="338"/>
      <c r="DU393" s="338"/>
      <c r="DW393" s="338"/>
      <c r="DX393" s="338"/>
      <c r="DY393" s="338"/>
      <c r="EA393" s="338"/>
      <c r="EB393" s="338"/>
      <c r="EC393" s="338"/>
      <c r="EE393" s="338"/>
      <c r="EF393" s="338"/>
      <c r="EG393" s="338"/>
      <c r="EI393" s="336"/>
      <c r="EJ393" s="336"/>
      <c r="EK393" s="336"/>
      <c r="EL393" s="336"/>
      <c r="EM393" s="336"/>
      <c r="EN393" s="336"/>
      <c r="EO393" s="337"/>
      <c r="EP393" s="342"/>
      <c r="EQ393" s="336"/>
      <c r="ER393" s="342"/>
      <c r="ES393" s="336"/>
      <c r="ET393" s="342"/>
      <c r="EU393" s="336"/>
      <c r="EV393" s="342"/>
      <c r="EW393" s="336"/>
      <c r="EX393" s="342"/>
      <c r="EY393" s="342"/>
      <c r="EZ393" s="342"/>
      <c r="FA393" s="337"/>
      <c r="FE393" s="338"/>
      <c r="FH393" s="338"/>
      <c r="FI393" s="338"/>
      <c r="FJ393" s="338"/>
      <c r="FK393" s="338"/>
      <c r="FL393" s="338"/>
      <c r="FM393" s="337"/>
      <c r="FN393" s="336"/>
      <c r="FO393" s="336"/>
      <c r="FP393" s="336"/>
      <c r="FQ393" s="336"/>
      <c r="FR393" s="336"/>
      <c r="FS393" s="336"/>
      <c r="FT393" s="336"/>
      <c r="FU393" s="336"/>
      <c r="FV393" s="336"/>
      <c r="FW393" s="337"/>
      <c r="FX393" s="532"/>
      <c r="FY393" s="341"/>
      <c r="FZ393" s="341"/>
      <c r="GA393" s="336"/>
      <c r="GB393" s="341"/>
      <c r="GC393" s="341"/>
      <c r="GD393" s="341"/>
      <c r="GE393" s="336"/>
      <c r="GF393" s="336"/>
      <c r="GG393" s="336"/>
      <c r="GH393" s="336"/>
      <c r="GI393" s="336"/>
      <c r="GJ393" s="337"/>
      <c r="GM393" s="338"/>
      <c r="GN393" s="338"/>
      <c r="GO393" s="338"/>
      <c r="GS393" s="338"/>
      <c r="GT393" s="338"/>
      <c r="GU393" s="338"/>
      <c r="GY393" s="338"/>
      <c r="GZ393" s="338"/>
      <c r="HA393" s="338"/>
      <c r="HE393" s="338"/>
      <c r="HF393" s="338"/>
      <c r="HG393" s="338"/>
      <c r="HN393" s="68"/>
      <c r="HO393" s="68"/>
      <c r="HP393" s="68"/>
      <c r="HQ393" s="336"/>
      <c r="HR393" s="68"/>
      <c r="HS393" s="68"/>
      <c r="HT393" s="10"/>
      <c r="HW393" s="338"/>
      <c r="HX393" s="338"/>
      <c r="HY393" s="338"/>
      <c r="IC393" s="338"/>
      <c r="ID393" s="338"/>
      <c r="IE393" s="338"/>
      <c r="II393" s="338"/>
      <c r="IJ393" s="338"/>
      <c r="IK393" s="338"/>
      <c r="IO393" s="338"/>
      <c r="IP393" s="338"/>
      <c r="IQ393" s="338"/>
      <c r="IX393" s="68"/>
      <c r="IY393" s="68"/>
      <c r="IZ393" s="68"/>
      <c r="JA393" s="68"/>
      <c r="JB393" s="68"/>
      <c r="JC393" s="68"/>
      <c r="JD393" s="10"/>
      <c r="JG393" s="338"/>
      <c r="JH393" s="338"/>
      <c r="JI393" s="338"/>
      <c r="JM393" s="338"/>
      <c r="JN393" s="338"/>
      <c r="JQ393" s="338"/>
      <c r="JR393" s="338"/>
      <c r="JS393" s="338"/>
      <c r="JW393" s="358"/>
      <c r="JX393" s="336"/>
      <c r="JY393" s="336"/>
      <c r="JZ393" s="336"/>
      <c r="KA393" s="336"/>
      <c r="KB393" s="336"/>
      <c r="KC393" s="336"/>
      <c r="KD393" s="336"/>
      <c r="KE393" s="336"/>
      <c r="KF393" s="336"/>
      <c r="KG393" s="337"/>
      <c r="KH393" s="338"/>
      <c r="KI393" s="338"/>
      <c r="KJ393" s="338"/>
      <c r="KK393" s="338"/>
      <c r="KL393" s="338"/>
      <c r="KM393" s="338"/>
      <c r="KN393" s="338"/>
      <c r="KO393" s="338"/>
      <c r="KP393" s="338"/>
      <c r="KQ393" s="338"/>
      <c r="KR393" s="338"/>
      <c r="KS393" s="338"/>
      <c r="KT393" s="338"/>
      <c r="KU393" s="338"/>
      <c r="KV393" s="338"/>
      <c r="KW393" s="337"/>
      <c r="KX393" s="336"/>
      <c r="KY393" s="336"/>
      <c r="KZ393" s="336"/>
      <c r="LA393" s="336"/>
      <c r="LB393" s="336"/>
      <c r="LC393" s="336"/>
      <c r="LD393" s="336"/>
      <c r="LE393" s="336"/>
      <c r="LF393" s="336"/>
      <c r="LG393" s="336"/>
      <c r="LH393" s="336"/>
      <c r="LI393" s="336"/>
      <c r="LJ393" s="336"/>
      <c r="LK393" s="336"/>
      <c r="LL393" s="336"/>
      <c r="LM393" s="336"/>
      <c r="LN393" s="336"/>
      <c r="LO393" s="336"/>
      <c r="LP393" s="336"/>
      <c r="LQ393" s="337"/>
      <c r="MN393" s="10"/>
      <c r="OA393" s="10"/>
    </row>
    <row r="394" spans="1:391" s="370" customFormat="1" x14ac:dyDescent="0.25">
      <c r="A394" s="68"/>
      <c r="B394" s="10"/>
      <c r="C394" s="68"/>
      <c r="D394" s="68"/>
      <c r="E394" s="68"/>
      <c r="F394" s="68"/>
      <c r="G394" s="68"/>
      <c r="H394" s="68"/>
      <c r="I394" s="68"/>
      <c r="J394" s="68"/>
      <c r="K394" s="68"/>
      <c r="L394" s="68"/>
      <c r="M394" s="68"/>
      <c r="N394" s="68"/>
      <c r="O394" s="68"/>
      <c r="P394" s="68"/>
      <c r="Q394" s="68"/>
      <c r="R394" s="68"/>
      <c r="S394" s="68"/>
      <c r="T394" s="70"/>
      <c r="AC394" s="68"/>
      <c r="AD394" s="70"/>
      <c r="AM394" s="68"/>
      <c r="AN394" s="70"/>
      <c r="AU394" s="68"/>
      <c r="AV394" s="70"/>
      <c r="BB394" s="68"/>
      <c r="BC394" s="70"/>
      <c r="BD394" s="68"/>
      <c r="BE394" s="68"/>
      <c r="BF394" s="68"/>
      <c r="BG394" s="68"/>
      <c r="BH394" s="68"/>
      <c r="BI394" s="68"/>
      <c r="BJ394" s="70"/>
      <c r="BM394" s="68"/>
      <c r="BN394" s="70"/>
      <c r="BT394" s="68"/>
      <c r="BU394" s="70"/>
      <c r="BZ394" s="10"/>
      <c r="CF394" s="10"/>
      <c r="CI394" s="389"/>
      <c r="CJ394" s="389"/>
      <c r="CK394" s="68"/>
      <c r="CL394" s="70"/>
      <c r="CO394" s="10"/>
      <c r="CU394" s="10"/>
      <c r="DA394" s="10"/>
      <c r="DB394" s="70"/>
      <c r="DC394" s="70"/>
      <c r="DF394" s="68"/>
      <c r="DG394" s="70"/>
      <c r="DH394" s="68"/>
      <c r="DI394" s="386"/>
      <c r="DJ394" s="425"/>
      <c r="DL394" s="68"/>
      <c r="DM394" s="70"/>
      <c r="DQ394" s="68"/>
      <c r="DR394" s="70"/>
      <c r="DS394" s="338"/>
      <c r="DT394" s="338"/>
      <c r="DU394" s="338"/>
      <c r="DW394" s="338"/>
      <c r="DX394" s="338"/>
      <c r="DY394" s="338"/>
      <c r="EA394" s="338"/>
      <c r="EB394" s="338"/>
      <c r="EC394" s="338"/>
      <c r="EE394" s="338"/>
      <c r="EF394" s="338"/>
      <c r="EG394" s="338"/>
      <c r="EI394" s="336"/>
      <c r="EJ394" s="336"/>
      <c r="EK394" s="336"/>
      <c r="EL394" s="336"/>
      <c r="EM394" s="336"/>
      <c r="EN394" s="336"/>
      <c r="EO394" s="337"/>
      <c r="EP394" s="342"/>
      <c r="EQ394" s="336"/>
      <c r="ER394" s="342"/>
      <c r="ES394" s="336"/>
      <c r="ET394" s="342"/>
      <c r="EU394" s="336"/>
      <c r="EV394" s="342"/>
      <c r="EW394" s="336"/>
      <c r="EX394" s="342"/>
      <c r="EY394" s="342"/>
      <c r="EZ394" s="342"/>
      <c r="FA394" s="337"/>
      <c r="FE394" s="338"/>
      <c r="FH394" s="338"/>
      <c r="FI394" s="338"/>
      <c r="FJ394" s="338"/>
      <c r="FK394" s="338"/>
      <c r="FL394" s="338"/>
      <c r="FM394" s="337"/>
      <c r="FN394" s="336"/>
      <c r="FO394" s="336"/>
      <c r="FP394" s="336"/>
      <c r="FQ394" s="336"/>
      <c r="FR394" s="336"/>
      <c r="FS394" s="336"/>
      <c r="FT394" s="336"/>
      <c r="FU394" s="336"/>
      <c r="FV394" s="336"/>
      <c r="FW394" s="337"/>
      <c r="FX394" s="532"/>
      <c r="FY394" s="341"/>
      <c r="FZ394" s="341"/>
      <c r="GA394" s="336"/>
      <c r="GB394" s="341"/>
      <c r="GC394" s="341"/>
      <c r="GD394" s="341"/>
      <c r="GE394" s="336"/>
      <c r="GF394" s="336"/>
      <c r="GG394" s="336"/>
      <c r="GH394" s="336"/>
      <c r="GI394" s="336"/>
      <c r="GJ394" s="337"/>
      <c r="GM394" s="338"/>
      <c r="GN394" s="338"/>
      <c r="GO394" s="338"/>
      <c r="GS394" s="338"/>
      <c r="GT394" s="338"/>
      <c r="GU394" s="338"/>
      <c r="GY394" s="338"/>
      <c r="GZ394" s="338"/>
      <c r="HA394" s="338"/>
      <c r="HE394" s="338"/>
      <c r="HF394" s="338"/>
      <c r="HG394" s="338"/>
      <c r="HN394" s="68"/>
      <c r="HO394" s="68"/>
      <c r="HP394" s="68"/>
      <c r="HQ394" s="336"/>
      <c r="HR394" s="68"/>
      <c r="HS394" s="68"/>
      <c r="HT394" s="10"/>
      <c r="HW394" s="338"/>
      <c r="HX394" s="338"/>
      <c r="HY394" s="338"/>
      <c r="IC394" s="338"/>
      <c r="ID394" s="338"/>
      <c r="IE394" s="338"/>
      <c r="II394" s="338"/>
      <c r="IJ394" s="338"/>
      <c r="IK394" s="338"/>
      <c r="IO394" s="338"/>
      <c r="IP394" s="338"/>
      <c r="IQ394" s="338"/>
      <c r="IX394" s="68"/>
      <c r="IY394" s="68"/>
      <c r="IZ394" s="68"/>
      <c r="JA394" s="68"/>
      <c r="JB394" s="68"/>
      <c r="JC394" s="68"/>
      <c r="JD394" s="10"/>
      <c r="JG394" s="338"/>
      <c r="JH394" s="338"/>
      <c r="JI394" s="338"/>
      <c r="JM394" s="338"/>
      <c r="JN394" s="338"/>
      <c r="JQ394" s="338"/>
      <c r="JR394" s="338"/>
      <c r="JS394" s="338"/>
      <c r="JW394" s="358"/>
      <c r="JX394" s="336"/>
      <c r="JY394" s="336"/>
      <c r="JZ394" s="336"/>
      <c r="KA394" s="336"/>
      <c r="KB394" s="336"/>
      <c r="KC394" s="336"/>
      <c r="KD394" s="336"/>
      <c r="KE394" s="336"/>
      <c r="KF394" s="336"/>
      <c r="KG394" s="337"/>
      <c r="KH394" s="338"/>
      <c r="KI394" s="338"/>
      <c r="KJ394" s="338"/>
      <c r="KK394" s="338"/>
      <c r="KL394" s="338"/>
      <c r="KM394" s="338"/>
      <c r="KN394" s="338"/>
      <c r="KO394" s="338"/>
      <c r="KP394" s="338"/>
      <c r="KQ394" s="338"/>
      <c r="KR394" s="338"/>
      <c r="KS394" s="338"/>
      <c r="KT394" s="338"/>
      <c r="KU394" s="338"/>
      <c r="KV394" s="338"/>
      <c r="KW394" s="337"/>
      <c r="KX394" s="336"/>
      <c r="KY394" s="336"/>
      <c r="KZ394" s="336"/>
      <c r="LA394" s="336"/>
      <c r="LB394" s="336"/>
      <c r="LC394" s="336"/>
      <c r="LD394" s="336"/>
      <c r="LE394" s="336"/>
      <c r="LF394" s="336"/>
      <c r="LG394" s="336"/>
      <c r="LH394" s="336"/>
      <c r="LI394" s="336"/>
      <c r="LJ394" s="336"/>
      <c r="LK394" s="336"/>
      <c r="LL394" s="336"/>
      <c r="LM394" s="336"/>
      <c r="LN394" s="336"/>
      <c r="LO394" s="336"/>
      <c r="LP394" s="336"/>
      <c r="LQ394" s="337"/>
      <c r="MN394" s="10"/>
      <c r="OA394" s="10"/>
    </row>
    <row r="395" spans="1:391" s="370" customFormat="1" x14ac:dyDescent="0.25">
      <c r="A395" s="68"/>
      <c r="B395" s="10"/>
      <c r="C395" s="68"/>
      <c r="D395" s="68"/>
      <c r="E395" s="68"/>
      <c r="F395" s="68"/>
      <c r="G395" s="68"/>
      <c r="H395" s="68"/>
      <c r="I395" s="68"/>
      <c r="J395" s="68"/>
      <c r="K395" s="68"/>
      <c r="L395" s="68"/>
      <c r="M395" s="68"/>
      <c r="N395" s="68"/>
      <c r="O395" s="68"/>
      <c r="P395" s="68"/>
      <c r="Q395" s="68"/>
      <c r="R395" s="68"/>
      <c r="S395" s="68"/>
      <c r="T395" s="70"/>
      <c r="AC395" s="68"/>
      <c r="AD395" s="70"/>
      <c r="AM395" s="68"/>
      <c r="AN395" s="70"/>
      <c r="AU395" s="68"/>
      <c r="AV395" s="70"/>
      <c r="BB395" s="68"/>
      <c r="BC395" s="70"/>
      <c r="BD395" s="68"/>
      <c r="BE395" s="68"/>
      <c r="BF395" s="68"/>
      <c r="BG395" s="68"/>
      <c r="BH395" s="68"/>
      <c r="BI395" s="68"/>
      <c r="BJ395" s="70"/>
      <c r="BM395" s="68"/>
      <c r="BN395" s="70"/>
      <c r="BT395" s="68"/>
      <c r="BU395" s="70"/>
      <c r="BZ395" s="10"/>
      <c r="CF395" s="10"/>
      <c r="CI395" s="389"/>
      <c r="CJ395" s="389"/>
      <c r="CK395" s="68"/>
      <c r="CL395" s="70"/>
      <c r="CO395" s="10"/>
      <c r="CU395" s="10"/>
      <c r="DA395" s="10"/>
      <c r="DB395" s="70"/>
      <c r="DC395" s="70"/>
      <c r="DF395" s="68"/>
      <c r="DG395" s="70"/>
      <c r="DH395" s="68"/>
      <c r="DI395" s="386"/>
      <c r="DJ395" s="425"/>
      <c r="DL395" s="68"/>
      <c r="DM395" s="70"/>
      <c r="DQ395" s="68"/>
      <c r="DR395" s="70"/>
      <c r="DS395" s="338"/>
      <c r="DT395" s="338"/>
      <c r="DU395" s="338"/>
      <c r="DW395" s="338"/>
      <c r="DX395" s="338"/>
      <c r="DY395" s="338"/>
      <c r="EA395" s="338"/>
      <c r="EB395" s="338"/>
      <c r="EC395" s="338"/>
      <c r="EE395" s="338"/>
      <c r="EF395" s="338"/>
      <c r="EG395" s="338"/>
      <c r="EI395" s="336"/>
      <c r="EJ395" s="336"/>
      <c r="EK395" s="336"/>
      <c r="EL395" s="336"/>
      <c r="EM395" s="336"/>
      <c r="EN395" s="336"/>
      <c r="EO395" s="337"/>
      <c r="EP395" s="342"/>
      <c r="EQ395" s="336"/>
      <c r="ER395" s="342"/>
      <c r="ES395" s="336"/>
      <c r="ET395" s="342"/>
      <c r="EU395" s="336"/>
      <c r="EV395" s="342"/>
      <c r="EW395" s="336"/>
      <c r="EX395" s="342"/>
      <c r="EY395" s="342"/>
      <c r="EZ395" s="342"/>
      <c r="FA395" s="337"/>
      <c r="FE395" s="338"/>
      <c r="FH395" s="338"/>
      <c r="FI395" s="338"/>
      <c r="FJ395" s="338"/>
      <c r="FK395" s="338"/>
      <c r="FL395" s="338"/>
      <c r="FM395" s="337"/>
      <c r="FN395" s="336"/>
      <c r="FO395" s="336"/>
      <c r="FP395" s="336"/>
      <c r="FQ395" s="336"/>
      <c r="FR395" s="336"/>
      <c r="FS395" s="336"/>
      <c r="FT395" s="336"/>
      <c r="FU395" s="336"/>
      <c r="FV395" s="336"/>
      <c r="FW395" s="337"/>
      <c r="FX395" s="532"/>
      <c r="FY395" s="341"/>
      <c r="FZ395" s="341"/>
      <c r="GA395" s="336"/>
      <c r="GB395" s="341"/>
      <c r="GC395" s="341"/>
      <c r="GD395" s="341"/>
      <c r="GE395" s="336"/>
      <c r="GF395" s="336"/>
      <c r="GG395" s="336"/>
      <c r="GH395" s="336"/>
      <c r="GI395" s="336"/>
      <c r="GJ395" s="337"/>
      <c r="GM395" s="338"/>
      <c r="GN395" s="338"/>
      <c r="GO395" s="338"/>
      <c r="GS395" s="338"/>
      <c r="GT395" s="338"/>
      <c r="GU395" s="338"/>
      <c r="GY395" s="338"/>
      <c r="GZ395" s="338"/>
      <c r="HA395" s="338"/>
      <c r="HE395" s="338"/>
      <c r="HF395" s="338"/>
      <c r="HG395" s="338"/>
      <c r="HN395" s="68"/>
      <c r="HO395" s="68"/>
      <c r="HP395" s="68"/>
      <c r="HQ395" s="336"/>
      <c r="HR395" s="68"/>
      <c r="HS395" s="68"/>
      <c r="HT395" s="10"/>
      <c r="HW395" s="338"/>
      <c r="HX395" s="338"/>
      <c r="HY395" s="338"/>
      <c r="IC395" s="338"/>
      <c r="ID395" s="338"/>
      <c r="IE395" s="338"/>
      <c r="II395" s="338"/>
      <c r="IJ395" s="338"/>
      <c r="IK395" s="338"/>
      <c r="IO395" s="338"/>
      <c r="IP395" s="338"/>
      <c r="IQ395" s="338"/>
      <c r="IX395" s="68"/>
      <c r="IY395" s="68"/>
      <c r="IZ395" s="68"/>
      <c r="JA395" s="68"/>
      <c r="JB395" s="68"/>
      <c r="JC395" s="68"/>
      <c r="JD395" s="10"/>
      <c r="JG395" s="338"/>
      <c r="JH395" s="338"/>
      <c r="JI395" s="338"/>
      <c r="JM395" s="338"/>
      <c r="JN395" s="338"/>
      <c r="JQ395" s="338"/>
      <c r="JR395" s="338"/>
      <c r="JS395" s="338"/>
      <c r="JW395" s="358"/>
      <c r="JX395" s="336"/>
      <c r="JY395" s="336"/>
      <c r="JZ395" s="336"/>
      <c r="KA395" s="336"/>
      <c r="KB395" s="336"/>
      <c r="KC395" s="336"/>
      <c r="KD395" s="336"/>
      <c r="KE395" s="336"/>
      <c r="KF395" s="336"/>
      <c r="KG395" s="337"/>
      <c r="KH395" s="338"/>
      <c r="KI395" s="338"/>
      <c r="KJ395" s="338"/>
      <c r="KK395" s="338"/>
      <c r="KL395" s="338"/>
      <c r="KM395" s="338"/>
      <c r="KN395" s="338"/>
      <c r="KO395" s="338"/>
      <c r="KP395" s="338"/>
      <c r="KQ395" s="338"/>
      <c r="KR395" s="338"/>
      <c r="KS395" s="338"/>
      <c r="KT395" s="338"/>
      <c r="KU395" s="338"/>
      <c r="KV395" s="338"/>
      <c r="KW395" s="337"/>
      <c r="KX395" s="336"/>
      <c r="KY395" s="336"/>
      <c r="KZ395" s="336"/>
      <c r="LA395" s="336"/>
      <c r="LB395" s="336"/>
      <c r="LC395" s="336"/>
      <c r="LD395" s="336"/>
      <c r="LE395" s="336"/>
      <c r="LF395" s="336"/>
      <c r="LG395" s="336"/>
      <c r="LH395" s="336"/>
      <c r="LI395" s="336"/>
      <c r="LJ395" s="336"/>
      <c r="LK395" s="336"/>
      <c r="LL395" s="336"/>
      <c r="LM395" s="336"/>
      <c r="LN395" s="336"/>
      <c r="LO395" s="336"/>
      <c r="LP395" s="336"/>
      <c r="LQ395" s="337"/>
      <c r="MN395" s="10"/>
      <c r="OA395" s="10"/>
    </row>
    <row r="396" spans="1:391" s="370" customFormat="1" x14ac:dyDescent="0.25">
      <c r="A396" s="68"/>
      <c r="B396" s="10"/>
      <c r="C396" s="68"/>
      <c r="D396" s="68"/>
      <c r="E396" s="68"/>
      <c r="F396" s="68"/>
      <c r="G396" s="68"/>
      <c r="H396" s="68"/>
      <c r="I396" s="68"/>
      <c r="J396" s="68"/>
      <c r="K396" s="68"/>
      <c r="L396" s="68"/>
      <c r="M396" s="68"/>
      <c r="N396" s="68"/>
      <c r="O396" s="68"/>
      <c r="P396" s="68"/>
      <c r="Q396" s="68"/>
      <c r="R396" s="68"/>
      <c r="S396" s="68"/>
      <c r="T396" s="70"/>
      <c r="AC396" s="68"/>
      <c r="AD396" s="70"/>
      <c r="AM396" s="68"/>
      <c r="AN396" s="70"/>
      <c r="AU396" s="68"/>
      <c r="AV396" s="70"/>
      <c r="BB396" s="68"/>
      <c r="BC396" s="70"/>
      <c r="BD396" s="68"/>
      <c r="BE396" s="68"/>
      <c r="BF396" s="68"/>
      <c r="BG396" s="68"/>
      <c r="BH396" s="68"/>
      <c r="BI396" s="68"/>
      <c r="BJ396" s="70"/>
      <c r="BM396" s="68"/>
      <c r="BN396" s="70"/>
      <c r="BT396" s="68"/>
      <c r="BU396" s="70"/>
      <c r="BZ396" s="10"/>
      <c r="CF396" s="10"/>
      <c r="CI396" s="389"/>
      <c r="CJ396" s="389"/>
      <c r="CK396" s="68"/>
      <c r="CL396" s="70"/>
      <c r="CO396" s="10"/>
      <c r="CU396" s="10"/>
      <c r="DA396" s="10"/>
      <c r="DB396" s="70"/>
      <c r="DC396" s="70"/>
      <c r="DF396" s="68"/>
      <c r="DG396" s="70"/>
      <c r="DH396" s="68"/>
      <c r="DI396" s="386"/>
      <c r="DJ396" s="425"/>
      <c r="DL396" s="68"/>
      <c r="DM396" s="70"/>
      <c r="DQ396" s="68"/>
      <c r="DR396" s="70"/>
      <c r="DS396" s="338"/>
      <c r="DT396" s="338"/>
      <c r="DU396" s="338"/>
      <c r="DW396" s="338"/>
      <c r="DX396" s="338"/>
      <c r="DY396" s="338"/>
      <c r="EA396" s="338"/>
      <c r="EB396" s="338"/>
      <c r="EC396" s="338"/>
      <c r="EE396" s="338"/>
      <c r="EF396" s="338"/>
      <c r="EG396" s="338"/>
      <c r="EI396" s="336"/>
      <c r="EJ396" s="336"/>
      <c r="EK396" s="336"/>
      <c r="EL396" s="336"/>
      <c r="EM396" s="336"/>
      <c r="EN396" s="336"/>
      <c r="EO396" s="337"/>
      <c r="EP396" s="342"/>
      <c r="EQ396" s="336"/>
      <c r="ER396" s="342"/>
      <c r="ES396" s="336"/>
      <c r="ET396" s="342"/>
      <c r="EU396" s="336"/>
      <c r="EV396" s="342"/>
      <c r="EW396" s="336"/>
      <c r="EX396" s="342"/>
      <c r="EY396" s="342"/>
      <c r="EZ396" s="342"/>
      <c r="FA396" s="337"/>
      <c r="FE396" s="338"/>
      <c r="FH396" s="338"/>
      <c r="FI396" s="338"/>
      <c r="FJ396" s="338"/>
      <c r="FK396" s="338"/>
      <c r="FL396" s="338"/>
      <c r="FM396" s="337"/>
      <c r="FN396" s="336"/>
      <c r="FO396" s="336"/>
      <c r="FP396" s="336"/>
      <c r="FQ396" s="336"/>
      <c r="FR396" s="336"/>
      <c r="FS396" s="336"/>
      <c r="FT396" s="336"/>
      <c r="FU396" s="336"/>
      <c r="FV396" s="336"/>
      <c r="FW396" s="337"/>
      <c r="FX396" s="532"/>
      <c r="FY396" s="341"/>
      <c r="FZ396" s="341"/>
      <c r="GA396" s="336"/>
      <c r="GB396" s="341"/>
      <c r="GC396" s="341"/>
      <c r="GD396" s="341"/>
      <c r="GE396" s="336"/>
      <c r="GF396" s="336"/>
      <c r="GG396" s="336"/>
      <c r="GH396" s="336"/>
      <c r="GI396" s="336"/>
      <c r="GJ396" s="337"/>
      <c r="GM396" s="338"/>
      <c r="GN396" s="338"/>
      <c r="GO396" s="338"/>
      <c r="GS396" s="338"/>
      <c r="GT396" s="338"/>
      <c r="GU396" s="338"/>
      <c r="GY396" s="338"/>
      <c r="GZ396" s="338"/>
      <c r="HA396" s="338"/>
      <c r="HE396" s="338"/>
      <c r="HF396" s="338"/>
      <c r="HG396" s="338"/>
      <c r="HN396" s="68"/>
      <c r="HO396" s="68"/>
      <c r="HP396" s="68"/>
      <c r="HQ396" s="336"/>
      <c r="HR396" s="68"/>
      <c r="HS396" s="68"/>
      <c r="HT396" s="10"/>
      <c r="HW396" s="338"/>
      <c r="HX396" s="338"/>
      <c r="HY396" s="338"/>
      <c r="IC396" s="338"/>
      <c r="ID396" s="338"/>
      <c r="IE396" s="338"/>
      <c r="II396" s="338"/>
      <c r="IJ396" s="338"/>
      <c r="IK396" s="338"/>
      <c r="IO396" s="338"/>
      <c r="IP396" s="338"/>
      <c r="IQ396" s="338"/>
      <c r="IX396" s="68"/>
      <c r="IY396" s="68"/>
      <c r="IZ396" s="68"/>
      <c r="JA396" s="68"/>
      <c r="JB396" s="68"/>
      <c r="JC396" s="68"/>
      <c r="JD396" s="10"/>
      <c r="JG396" s="338"/>
      <c r="JH396" s="338"/>
      <c r="JI396" s="338"/>
      <c r="JM396" s="338"/>
      <c r="JN396" s="338"/>
      <c r="JQ396" s="338"/>
      <c r="JR396" s="338"/>
      <c r="JS396" s="338"/>
      <c r="JW396" s="358"/>
      <c r="JX396" s="336"/>
      <c r="JY396" s="336"/>
      <c r="JZ396" s="336"/>
      <c r="KA396" s="336"/>
      <c r="KB396" s="336"/>
      <c r="KC396" s="336"/>
      <c r="KD396" s="336"/>
      <c r="KE396" s="336"/>
      <c r="KF396" s="336"/>
      <c r="KG396" s="337"/>
      <c r="KH396" s="338"/>
      <c r="KI396" s="338"/>
      <c r="KJ396" s="338"/>
      <c r="KK396" s="338"/>
      <c r="KL396" s="338"/>
      <c r="KM396" s="338"/>
      <c r="KN396" s="338"/>
      <c r="KO396" s="338"/>
      <c r="KP396" s="338"/>
      <c r="KQ396" s="338"/>
      <c r="KR396" s="338"/>
      <c r="KS396" s="338"/>
      <c r="KT396" s="338"/>
      <c r="KU396" s="338"/>
      <c r="KV396" s="338"/>
      <c r="KW396" s="337"/>
      <c r="KX396" s="336"/>
      <c r="KY396" s="336"/>
      <c r="KZ396" s="336"/>
      <c r="LA396" s="336"/>
      <c r="LB396" s="336"/>
      <c r="LC396" s="336"/>
      <c r="LD396" s="336"/>
      <c r="LE396" s="336"/>
      <c r="LF396" s="336"/>
      <c r="LG396" s="336"/>
      <c r="LH396" s="336"/>
      <c r="LI396" s="336"/>
      <c r="LJ396" s="336"/>
      <c r="LK396" s="336"/>
      <c r="LL396" s="336"/>
      <c r="LM396" s="336"/>
      <c r="LN396" s="336"/>
      <c r="LO396" s="336"/>
      <c r="LP396" s="336"/>
      <c r="LQ396" s="337"/>
      <c r="MN396" s="10"/>
      <c r="OA396" s="10"/>
    </row>
    <row r="397" spans="1:391" s="370" customFormat="1" x14ac:dyDescent="0.25">
      <c r="A397" s="68"/>
      <c r="B397" s="10"/>
      <c r="C397" s="68"/>
      <c r="D397" s="68"/>
      <c r="E397" s="68"/>
      <c r="F397" s="68"/>
      <c r="G397" s="68"/>
      <c r="H397" s="68"/>
      <c r="I397" s="68"/>
      <c r="J397" s="68"/>
      <c r="K397" s="68"/>
      <c r="L397" s="68"/>
      <c r="M397" s="68"/>
      <c r="N397" s="68"/>
      <c r="O397" s="68"/>
      <c r="P397" s="68"/>
      <c r="Q397" s="68"/>
      <c r="R397" s="68"/>
      <c r="S397" s="68"/>
      <c r="T397" s="70"/>
      <c r="AC397" s="68"/>
      <c r="AD397" s="70"/>
      <c r="AM397" s="68"/>
      <c r="AN397" s="70"/>
      <c r="AU397" s="68"/>
      <c r="AV397" s="70"/>
      <c r="BB397" s="68"/>
      <c r="BC397" s="70"/>
      <c r="BD397" s="68"/>
      <c r="BE397" s="68"/>
      <c r="BF397" s="68"/>
      <c r="BG397" s="68"/>
      <c r="BH397" s="68"/>
      <c r="BI397" s="68"/>
      <c r="BJ397" s="70"/>
      <c r="BM397" s="68"/>
      <c r="BN397" s="70"/>
      <c r="BT397" s="68"/>
      <c r="BU397" s="70"/>
      <c r="BZ397" s="10"/>
      <c r="CF397" s="10"/>
      <c r="CI397" s="389"/>
      <c r="CJ397" s="389"/>
      <c r="CK397" s="68"/>
      <c r="CL397" s="70"/>
      <c r="CO397" s="10"/>
      <c r="CU397" s="10"/>
      <c r="DA397" s="10"/>
      <c r="DB397" s="70"/>
      <c r="DC397" s="70"/>
      <c r="DF397" s="68"/>
      <c r="DG397" s="70"/>
      <c r="DH397" s="68"/>
      <c r="DI397" s="386"/>
      <c r="DJ397" s="425"/>
      <c r="DL397" s="68"/>
      <c r="DM397" s="70"/>
      <c r="DQ397" s="68"/>
      <c r="DR397" s="70"/>
      <c r="DS397" s="338"/>
      <c r="DT397" s="338"/>
      <c r="DU397" s="338"/>
      <c r="DW397" s="338"/>
      <c r="DX397" s="338"/>
      <c r="DY397" s="338"/>
      <c r="EA397" s="338"/>
      <c r="EB397" s="338"/>
      <c r="EC397" s="338"/>
      <c r="EE397" s="338"/>
      <c r="EF397" s="338"/>
      <c r="EG397" s="338"/>
      <c r="EI397" s="336"/>
      <c r="EJ397" s="336"/>
      <c r="EK397" s="336"/>
      <c r="EL397" s="336"/>
      <c r="EM397" s="336"/>
      <c r="EN397" s="336"/>
      <c r="EO397" s="337"/>
      <c r="EP397" s="342"/>
      <c r="EQ397" s="336"/>
      <c r="ER397" s="342"/>
      <c r="ES397" s="336"/>
      <c r="ET397" s="342"/>
      <c r="EU397" s="336"/>
      <c r="EV397" s="342"/>
      <c r="EW397" s="336"/>
      <c r="EX397" s="342"/>
      <c r="EY397" s="342"/>
      <c r="EZ397" s="342"/>
      <c r="FA397" s="337"/>
      <c r="FE397" s="338"/>
      <c r="FH397" s="338"/>
      <c r="FI397" s="338"/>
      <c r="FJ397" s="338"/>
      <c r="FK397" s="338"/>
      <c r="FL397" s="338"/>
      <c r="FM397" s="337"/>
      <c r="FN397" s="336"/>
      <c r="FO397" s="336"/>
      <c r="FP397" s="336"/>
      <c r="FQ397" s="336"/>
      <c r="FR397" s="336"/>
      <c r="FS397" s="336"/>
      <c r="FT397" s="336"/>
      <c r="FU397" s="336"/>
      <c r="FV397" s="336"/>
      <c r="FW397" s="337"/>
      <c r="FX397" s="532"/>
      <c r="FY397" s="341"/>
      <c r="FZ397" s="341"/>
      <c r="GA397" s="336"/>
      <c r="GB397" s="341"/>
      <c r="GC397" s="341"/>
      <c r="GD397" s="341"/>
      <c r="GE397" s="336"/>
      <c r="GF397" s="336"/>
      <c r="GG397" s="336"/>
      <c r="GH397" s="336"/>
      <c r="GI397" s="336"/>
      <c r="GJ397" s="337"/>
      <c r="GM397" s="338"/>
      <c r="GN397" s="338"/>
      <c r="GO397" s="338"/>
      <c r="GS397" s="338"/>
      <c r="GT397" s="338"/>
      <c r="GU397" s="338"/>
      <c r="GY397" s="338"/>
      <c r="GZ397" s="338"/>
      <c r="HA397" s="338"/>
      <c r="HE397" s="338"/>
      <c r="HF397" s="338"/>
      <c r="HG397" s="338"/>
      <c r="HN397" s="68"/>
      <c r="HO397" s="68"/>
      <c r="HP397" s="68"/>
      <c r="HQ397" s="336"/>
      <c r="HR397" s="68"/>
      <c r="HS397" s="68"/>
      <c r="HT397" s="10"/>
      <c r="HW397" s="338"/>
      <c r="HX397" s="338"/>
      <c r="HY397" s="338"/>
      <c r="IC397" s="338"/>
      <c r="ID397" s="338"/>
      <c r="IE397" s="338"/>
      <c r="II397" s="338"/>
      <c r="IJ397" s="338"/>
      <c r="IK397" s="338"/>
      <c r="IO397" s="338"/>
      <c r="IP397" s="338"/>
      <c r="IQ397" s="338"/>
      <c r="IX397" s="68"/>
      <c r="IY397" s="68"/>
      <c r="IZ397" s="68"/>
      <c r="JA397" s="68"/>
      <c r="JB397" s="68"/>
      <c r="JC397" s="68"/>
      <c r="JD397" s="10"/>
      <c r="JG397" s="338"/>
      <c r="JH397" s="338"/>
      <c r="JI397" s="338"/>
      <c r="JM397" s="338"/>
      <c r="JN397" s="338"/>
      <c r="JQ397" s="338"/>
      <c r="JR397" s="338"/>
      <c r="JS397" s="338"/>
      <c r="JW397" s="358"/>
      <c r="JX397" s="336"/>
      <c r="JY397" s="336"/>
      <c r="JZ397" s="336"/>
      <c r="KA397" s="336"/>
      <c r="KB397" s="336"/>
      <c r="KC397" s="336"/>
      <c r="KD397" s="336"/>
      <c r="KE397" s="336"/>
      <c r="KF397" s="336"/>
      <c r="KG397" s="337"/>
      <c r="KH397" s="338"/>
      <c r="KI397" s="338"/>
      <c r="KJ397" s="338"/>
      <c r="KK397" s="338"/>
      <c r="KL397" s="338"/>
      <c r="KM397" s="338"/>
      <c r="KN397" s="338"/>
      <c r="KO397" s="338"/>
      <c r="KP397" s="338"/>
      <c r="KQ397" s="338"/>
      <c r="KR397" s="338"/>
      <c r="KS397" s="338"/>
      <c r="KT397" s="338"/>
      <c r="KU397" s="338"/>
      <c r="KV397" s="338"/>
      <c r="KW397" s="337"/>
      <c r="KX397" s="336"/>
      <c r="KY397" s="336"/>
      <c r="KZ397" s="336"/>
      <c r="LA397" s="336"/>
      <c r="LB397" s="336"/>
      <c r="LC397" s="336"/>
      <c r="LD397" s="336"/>
      <c r="LE397" s="336"/>
      <c r="LF397" s="336"/>
      <c r="LG397" s="336"/>
      <c r="LH397" s="336"/>
      <c r="LI397" s="336"/>
      <c r="LJ397" s="336"/>
      <c r="LK397" s="336"/>
      <c r="LL397" s="336"/>
      <c r="LM397" s="336"/>
      <c r="LN397" s="336"/>
      <c r="LO397" s="336"/>
      <c r="LP397" s="336"/>
      <c r="LQ397" s="337"/>
      <c r="MN397" s="10"/>
      <c r="OA397" s="10"/>
    </row>
    <row r="398" spans="1:391" s="370" customFormat="1" x14ac:dyDescent="0.25">
      <c r="A398" s="68"/>
      <c r="B398" s="10"/>
      <c r="C398" s="68"/>
      <c r="D398" s="68"/>
      <c r="E398" s="68"/>
      <c r="F398" s="68"/>
      <c r="G398" s="68"/>
      <c r="H398" s="68"/>
      <c r="I398" s="68"/>
      <c r="J398" s="68"/>
      <c r="K398" s="68"/>
      <c r="L398" s="68"/>
      <c r="M398" s="68"/>
      <c r="N398" s="68"/>
      <c r="O398" s="68"/>
      <c r="P398" s="68"/>
      <c r="Q398" s="68"/>
      <c r="R398" s="68"/>
      <c r="S398" s="68"/>
      <c r="T398" s="70"/>
      <c r="AC398" s="68"/>
      <c r="AD398" s="70"/>
      <c r="AM398" s="68"/>
      <c r="AN398" s="70"/>
      <c r="AU398" s="68"/>
      <c r="AV398" s="70"/>
      <c r="BB398" s="68"/>
      <c r="BC398" s="70"/>
      <c r="BD398" s="68"/>
      <c r="BE398" s="68"/>
      <c r="BF398" s="68"/>
      <c r="BG398" s="68"/>
      <c r="BH398" s="68"/>
      <c r="BI398" s="68"/>
      <c r="BJ398" s="70"/>
      <c r="BM398" s="68"/>
      <c r="BN398" s="70"/>
      <c r="BT398" s="68"/>
      <c r="BU398" s="70"/>
      <c r="BZ398" s="10"/>
      <c r="CF398" s="10"/>
      <c r="CI398" s="389"/>
      <c r="CJ398" s="389"/>
      <c r="CK398" s="68"/>
      <c r="CL398" s="70"/>
      <c r="CO398" s="10"/>
      <c r="CU398" s="10"/>
      <c r="DA398" s="10"/>
      <c r="DB398" s="70"/>
      <c r="DC398" s="70"/>
      <c r="DF398" s="68"/>
      <c r="DG398" s="70"/>
      <c r="DH398" s="68"/>
      <c r="DI398" s="386"/>
      <c r="DJ398" s="425"/>
      <c r="DL398" s="68"/>
      <c r="DM398" s="70"/>
      <c r="DQ398" s="68"/>
      <c r="DR398" s="70"/>
      <c r="DS398" s="338"/>
      <c r="DT398" s="338"/>
      <c r="DU398" s="338"/>
      <c r="DW398" s="338"/>
      <c r="DX398" s="338"/>
      <c r="DY398" s="338"/>
      <c r="EA398" s="338"/>
      <c r="EB398" s="338"/>
      <c r="EC398" s="338"/>
      <c r="EE398" s="338"/>
      <c r="EF398" s="338"/>
      <c r="EG398" s="338"/>
      <c r="EI398" s="336"/>
      <c r="EJ398" s="336"/>
      <c r="EK398" s="336"/>
      <c r="EL398" s="336"/>
      <c r="EM398" s="336"/>
      <c r="EN398" s="336"/>
      <c r="EO398" s="337"/>
      <c r="EP398" s="342"/>
      <c r="EQ398" s="336"/>
      <c r="ER398" s="342"/>
      <c r="ES398" s="336"/>
      <c r="ET398" s="342"/>
      <c r="EU398" s="336"/>
      <c r="EV398" s="342"/>
      <c r="EW398" s="336"/>
      <c r="EX398" s="342"/>
      <c r="EY398" s="342"/>
      <c r="EZ398" s="342"/>
      <c r="FA398" s="337"/>
      <c r="FE398" s="338"/>
      <c r="FH398" s="338"/>
      <c r="FI398" s="338"/>
      <c r="FJ398" s="338"/>
      <c r="FK398" s="338"/>
      <c r="FL398" s="338"/>
      <c r="FM398" s="337"/>
      <c r="FN398" s="336"/>
      <c r="FO398" s="336"/>
      <c r="FP398" s="336"/>
      <c r="FQ398" s="336"/>
      <c r="FR398" s="336"/>
      <c r="FS398" s="336"/>
      <c r="FT398" s="336"/>
      <c r="FU398" s="336"/>
      <c r="FV398" s="336"/>
      <c r="FW398" s="337"/>
      <c r="FX398" s="532"/>
      <c r="FY398" s="341"/>
      <c r="FZ398" s="341"/>
      <c r="GA398" s="336"/>
      <c r="GB398" s="341"/>
      <c r="GC398" s="341"/>
      <c r="GD398" s="341"/>
      <c r="GE398" s="336"/>
      <c r="GF398" s="336"/>
      <c r="GG398" s="336"/>
      <c r="GH398" s="336"/>
      <c r="GI398" s="336"/>
      <c r="GJ398" s="337"/>
      <c r="GM398" s="338"/>
      <c r="GN398" s="338"/>
      <c r="GO398" s="338"/>
      <c r="GS398" s="338"/>
      <c r="GT398" s="338"/>
      <c r="GU398" s="338"/>
      <c r="GY398" s="338"/>
      <c r="GZ398" s="338"/>
      <c r="HA398" s="338"/>
      <c r="HE398" s="338"/>
      <c r="HF398" s="338"/>
      <c r="HG398" s="338"/>
      <c r="HN398" s="68"/>
      <c r="HO398" s="68"/>
      <c r="HP398" s="68"/>
      <c r="HQ398" s="336"/>
      <c r="HR398" s="68"/>
      <c r="HS398" s="68"/>
      <c r="HT398" s="10"/>
      <c r="HW398" s="338"/>
      <c r="HX398" s="338"/>
      <c r="HY398" s="338"/>
      <c r="IC398" s="338"/>
      <c r="ID398" s="338"/>
      <c r="IE398" s="338"/>
      <c r="II398" s="338"/>
      <c r="IJ398" s="338"/>
      <c r="IK398" s="338"/>
      <c r="IO398" s="338"/>
      <c r="IP398" s="338"/>
      <c r="IQ398" s="338"/>
      <c r="IX398" s="68"/>
      <c r="IY398" s="68"/>
      <c r="IZ398" s="68"/>
      <c r="JA398" s="68"/>
      <c r="JB398" s="68"/>
      <c r="JC398" s="68"/>
      <c r="JD398" s="10"/>
      <c r="JG398" s="338"/>
      <c r="JH398" s="338"/>
      <c r="JI398" s="338"/>
      <c r="JM398" s="338"/>
      <c r="JN398" s="338"/>
      <c r="JQ398" s="338"/>
      <c r="JR398" s="338"/>
      <c r="JS398" s="338"/>
      <c r="JW398" s="358"/>
      <c r="JX398" s="336"/>
      <c r="JY398" s="336"/>
      <c r="JZ398" s="336"/>
      <c r="KA398" s="336"/>
      <c r="KB398" s="336"/>
      <c r="KC398" s="336"/>
      <c r="KD398" s="336"/>
      <c r="KE398" s="336"/>
      <c r="KF398" s="336"/>
      <c r="KG398" s="337"/>
      <c r="KH398" s="338"/>
      <c r="KI398" s="338"/>
      <c r="KJ398" s="338"/>
      <c r="KK398" s="338"/>
      <c r="KL398" s="338"/>
      <c r="KM398" s="338"/>
      <c r="KN398" s="338"/>
      <c r="KO398" s="338"/>
      <c r="KP398" s="338"/>
      <c r="KQ398" s="338"/>
      <c r="KR398" s="338"/>
      <c r="KS398" s="338"/>
      <c r="KT398" s="338"/>
      <c r="KU398" s="338"/>
      <c r="KV398" s="338"/>
      <c r="KW398" s="337"/>
      <c r="KX398" s="336"/>
      <c r="KY398" s="336"/>
      <c r="KZ398" s="336"/>
      <c r="LA398" s="336"/>
      <c r="LB398" s="336"/>
      <c r="LC398" s="336"/>
      <c r="LD398" s="336"/>
      <c r="LE398" s="336"/>
      <c r="LF398" s="336"/>
      <c r="LG398" s="336"/>
      <c r="LH398" s="336"/>
      <c r="LI398" s="336"/>
      <c r="LJ398" s="336"/>
      <c r="LK398" s="336"/>
      <c r="LL398" s="336"/>
      <c r="LM398" s="336"/>
      <c r="LN398" s="336"/>
      <c r="LO398" s="336"/>
      <c r="LP398" s="336"/>
      <c r="LQ398" s="337"/>
      <c r="MN398" s="10"/>
      <c r="OA398" s="10"/>
    </row>
    <row r="399" spans="1:391" s="370" customFormat="1" x14ac:dyDescent="0.25">
      <c r="A399" s="68"/>
      <c r="B399" s="10"/>
      <c r="C399" s="68"/>
      <c r="D399" s="68"/>
      <c r="E399" s="68"/>
      <c r="F399" s="68"/>
      <c r="G399" s="68"/>
      <c r="H399" s="68"/>
      <c r="I399" s="68"/>
      <c r="J399" s="68"/>
      <c r="K399" s="68"/>
      <c r="L399" s="68"/>
      <c r="M399" s="68"/>
      <c r="N399" s="68"/>
      <c r="O399" s="68"/>
      <c r="P399" s="68"/>
      <c r="Q399" s="68"/>
      <c r="R399" s="68"/>
      <c r="S399" s="68"/>
      <c r="T399" s="70"/>
      <c r="AC399" s="68"/>
      <c r="AD399" s="70"/>
      <c r="AM399" s="68"/>
      <c r="AN399" s="70"/>
      <c r="AU399" s="68"/>
      <c r="AV399" s="70"/>
      <c r="BB399" s="68"/>
      <c r="BC399" s="70"/>
      <c r="BD399" s="68"/>
      <c r="BE399" s="68"/>
      <c r="BF399" s="68"/>
      <c r="BG399" s="68"/>
      <c r="BH399" s="68"/>
      <c r="BI399" s="68"/>
      <c r="BJ399" s="70"/>
      <c r="BM399" s="68"/>
      <c r="BN399" s="70"/>
      <c r="BT399" s="68"/>
      <c r="BU399" s="70"/>
      <c r="BZ399" s="10"/>
      <c r="CF399" s="10"/>
      <c r="CI399" s="389"/>
      <c r="CJ399" s="389"/>
      <c r="CK399" s="68"/>
      <c r="CL399" s="70"/>
      <c r="CO399" s="10"/>
      <c r="CU399" s="10"/>
      <c r="DA399" s="10"/>
      <c r="DB399" s="70"/>
      <c r="DC399" s="70"/>
      <c r="DF399" s="68"/>
      <c r="DG399" s="70"/>
      <c r="DH399" s="68"/>
      <c r="DI399" s="386"/>
      <c r="DJ399" s="425"/>
      <c r="DL399" s="68"/>
      <c r="DM399" s="70"/>
      <c r="DQ399" s="68"/>
      <c r="DR399" s="70"/>
      <c r="DS399" s="338"/>
      <c r="DT399" s="338"/>
      <c r="DU399" s="338"/>
      <c r="DW399" s="338"/>
      <c r="DX399" s="338"/>
      <c r="DY399" s="338"/>
      <c r="EA399" s="338"/>
      <c r="EB399" s="338"/>
      <c r="EC399" s="338"/>
      <c r="EE399" s="338"/>
      <c r="EF399" s="338"/>
      <c r="EG399" s="338"/>
      <c r="EI399" s="336"/>
      <c r="EJ399" s="336"/>
      <c r="EK399" s="336"/>
      <c r="EL399" s="336"/>
      <c r="EM399" s="336"/>
      <c r="EN399" s="336"/>
      <c r="EO399" s="337"/>
      <c r="EP399" s="342"/>
      <c r="EQ399" s="336"/>
      <c r="ER399" s="342"/>
      <c r="ES399" s="336"/>
      <c r="ET399" s="342"/>
      <c r="EU399" s="336"/>
      <c r="EV399" s="342"/>
      <c r="EW399" s="336"/>
      <c r="EX399" s="342"/>
      <c r="EY399" s="342"/>
      <c r="EZ399" s="342"/>
      <c r="FA399" s="337"/>
      <c r="FE399" s="338"/>
      <c r="FH399" s="338"/>
      <c r="FI399" s="338"/>
      <c r="FJ399" s="338"/>
      <c r="FK399" s="338"/>
      <c r="FL399" s="338"/>
      <c r="FM399" s="337"/>
      <c r="FN399" s="336"/>
      <c r="FO399" s="336"/>
      <c r="FP399" s="336"/>
      <c r="FQ399" s="336"/>
      <c r="FR399" s="336"/>
      <c r="FS399" s="336"/>
      <c r="FT399" s="336"/>
      <c r="FU399" s="336"/>
      <c r="FV399" s="336"/>
      <c r="FW399" s="337"/>
      <c r="FX399" s="532"/>
      <c r="FY399" s="341"/>
      <c r="FZ399" s="341"/>
      <c r="GA399" s="336"/>
      <c r="GB399" s="341"/>
      <c r="GC399" s="341"/>
      <c r="GD399" s="341"/>
      <c r="GE399" s="336"/>
      <c r="GF399" s="336"/>
      <c r="GG399" s="336"/>
      <c r="GH399" s="336"/>
      <c r="GI399" s="336"/>
      <c r="GJ399" s="337"/>
      <c r="GM399" s="338"/>
      <c r="GN399" s="338"/>
      <c r="GO399" s="338"/>
      <c r="GS399" s="338"/>
      <c r="GT399" s="338"/>
      <c r="GU399" s="338"/>
      <c r="GY399" s="338"/>
      <c r="GZ399" s="338"/>
      <c r="HA399" s="338"/>
      <c r="HE399" s="338"/>
      <c r="HF399" s="338"/>
      <c r="HG399" s="338"/>
      <c r="HN399" s="68"/>
      <c r="HO399" s="68"/>
      <c r="HP399" s="68"/>
      <c r="HQ399" s="336"/>
      <c r="HR399" s="68"/>
      <c r="HS399" s="68"/>
      <c r="HT399" s="10"/>
      <c r="HW399" s="338"/>
      <c r="HX399" s="338"/>
      <c r="HY399" s="338"/>
      <c r="IC399" s="338"/>
      <c r="ID399" s="338"/>
      <c r="IE399" s="338"/>
      <c r="II399" s="338"/>
      <c r="IJ399" s="338"/>
      <c r="IK399" s="338"/>
      <c r="IO399" s="338"/>
      <c r="IP399" s="338"/>
      <c r="IQ399" s="338"/>
      <c r="IX399" s="68"/>
      <c r="IY399" s="68"/>
      <c r="IZ399" s="68"/>
      <c r="JA399" s="68"/>
      <c r="JB399" s="68"/>
      <c r="JC399" s="68"/>
      <c r="JD399" s="10"/>
      <c r="JG399" s="338"/>
      <c r="JH399" s="338"/>
      <c r="JI399" s="338"/>
      <c r="JM399" s="338"/>
      <c r="JN399" s="338"/>
      <c r="JQ399" s="338"/>
      <c r="JR399" s="338"/>
      <c r="JS399" s="338"/>
      <c r="JW399" s="358"/>
      <c r="JX399" s="336"/>
      <c r="JY399" s="336"/>
      <c r="JZ399" s="336"/>
      <c r="KA399" s="336"/>
      <c r="KB399" s="336"/>
      <c r="KC399" s="336"/>
      <c r="KD399" s="336"/>
      <c r="KE399" s="336"/>
      <c r="KF399" s="336"/>
      <c r="KG399" s="337"/>
      <c r="KH399" s="338"/>
      <c r="KI399" s="338"/>
      <c r="KJ399" s="338"/>
      <c r="KK399" s="338"/>
      <c r="KL399" s="338"/>
      <c r="KM399" s="338"/>
      <c r="KN399" s="338"/>
      <c r="KO399" s="338"/>
      <c r="KP399" s="338"/>
      <c r="KQ399" s="338"/>
      <c r="KR399" s="338"/>
      <c r="KS399" s="338"/>
      <c r="KT399" s="338"/>
      <c r="KU399" s="338"/>
      <c r="KV399" s="338"/>
      <c r="KW399" s="337"/>
      <c r="KX399" s="336"/>
      <c r="KY399" s="336"/>
      <c r="KZ399" s="336"/>
      <c r="LA399" s="336"/>
      <c r="LB399" s="336"/>
      <c r="LC399" s="336"/>
      <c r="LD399" s="336"/>
      <c r="LE399" s="336"/>
      <c r="LF399" s="336"/>
      <c r="LG399" s="336"/>
      <c r="LH399" s="336"/>
      <c r="LI399" s="336"/>
      <c r="LJ399" s="336"/>
      <c r="LK399" s="336"/>
      <c r="LL399" s="336"/>
      <c r="LM399" s="336"/>
      <c r="LN399" s="336"/>
      <c r="LO399" s="336"/>
      <c r="LP399" s="336"/>
      <c r="LQ399" s="337"/>
      <c r="MN399" s="10"/>
      <c r="OA399" s="10"/>
    </row>
    <row r="400" spans="1:391" s="370" customFormat="1" x14ac:dyDescent="0.25">
      <c r="A400" s="68"/>
      <c r="B400" s="10"/>
      <c r="C400" s="68"/>
      <c r="D400" s="68"/>
      <c r="E400" s="68"/>
      <c r="F400" s="68"/>
      <c r="G400" s="68"/>
      <c r="H400" s="68"/>
      <c r="I400" s="68"/>
      <c r="J400" s="68"/>
      <c r="K400" s="68"/>
      <c r="L400" s="68"/>
      <c r="M400" s="68"/>
      <c r="N400" s="68"/>
      <c r="O400" s="68"/>
      <c r="P400" s="68"/>
      <c r="Q400" s="68"/>
      <c r="R400" s="68"/>
      <c r="S400" s="68"/>
      <c r="T400" s="70"/>
      <c r="AC400" s="68"/>
      <c r="AD400" s="70"/>
      <c r="AM400" s="68"/>
      <c r="AN400" s="70"/>
      <c r="AU400" s="68"/>
      <c r="AV400" s="70"/>
      <c r="BB400" s="68"/>
      <c r="BC400" s="70"/>
      <c r="BD400" s="68"/>
      <c r="BE400" s="68"/>
      <c r="BF400" s="68"/>
      <c r="BG400" s="68"/>
      <c r="BH400" s="68"/>
      <c r="BI400" s="68"/>
      <c r="BJ400" s="70"/>
      <c r="BM400" s="68"/>
      <c r="BN400" s="70"/>
      <c r="BT400" s="68"/>
      <c r="BU400" s="70"/>
      <c r="BZ400" s="10"/>
      <c r="CF400" s="10"/>
      <c r="CI400" s="389"/>
      <c r="CJ400" s="389"/>
      <c r="CK400" s="68"/>
      <c r="CL400" s="70"/>
      <c r="CO400" s="10"/>
      <c r="CU400" s="10"/>
      <c r="DA400" s="10"/>
      <c r="DB400" s="70"/>
      <c r="DC400" s="70"/>
      <c r="DF400" s="68"/>
      <c r="DG400" s="70"/>
      <c r="DH400" s="68"/>
      <c r="DI400" s="386"/>
      <c r="DJ400" s="425"/>
      <c r="DL400" s="68"/>
      <c r="DM400" s="70"/>
      <c r="DQ400" s="68"/>
      <c r="DR400" s="70"/>
      <c r="DS400" s="338"/>
      <c r="DT400" s="338"/>
      <c r="DU400" s="338"/>
      <c r="DW400" s="338"/>
      <c r="DX400" s="338"/>
      <c r="DY400" s="338"/>
      <c r="EA400" s="338"/>
      <c r="EB400" s="338"/>
      <c r="EC400" s="338"/>
      <c r="EE400" s="338"/>
      <c r="EF400" s="338"/>
      <c r="EG400" s="338"/>
      <c r="EI400" s="336"/>
      <c r="EJ400" s="336"/>
      <c r="EK400" s="336"/>
      <c r="EL400" s="336"/>
      <c r="EM400" s="336"/>
      <c r="EN400" s="336"/>
      <c r="EO400" s="337"/>
      <c r="EP400" s="342"/>
      <c r="EQ400" s="336"/>
      <c r="ER400" s="342"/>
      <c r="ES400" s="336"/>
      <c r="ET400" s="342"/>
      <c r="EU400" s="336"/>
      <c r="EV400" s="342"/>
      <c r="EW400" s="336"/>
      <c r="EX400" s="342"/>
      <c r="EY400" s="342"/>
      <c r="EZ400" s="342"/>
      <c r="FA400" s="337"/>
      <c r="FE400" s="338"/>
      <c r="FH400" s="338"/>
      <c r="FI400" s="338"/>
      <c r="FJ400" s="338"/>
      <c r="FK400" s="338"/>
      <c r="FL400" s="338"/>
      <c r="FM400" s="337"/>
      <c r="FN400" s="336"/>
      <c r="FO400" s="336"/>
      <c r="FP400" s="336"/>
      <c r="FQ400" s="336"/>
      <c r="FR400" s="336"/>
      <c r="FS400" s="336"/>
      <c r="FT400" s="336"/>
      <c r="FU400" s="336"/>
      <c r="FV400" s="336"/>
      <c r="FW400" s="337"/>
      <c r="FX400" s="532"/>
      <c r="FY400" s="341"/>
      <c r="FZ400" s="341"/>
      <c r="GA400" s="336"/>
      <c r="GB400" s="341"/>
      <c r="GC400" s="341"/>
      <c r="GD400" s="341"/>
      <c r="GE400" s="336"/>
      <c r="GF400" s="336"/>
      <c r="GG400" s="336"/>
      <c r="GH400" s="336"/>
      <c r="GI400" s="336"/>
      <c r="GJ400" s="337"/>
      <c r="GM400" s="338"/>
      <c r="GN400" s="338"/>
      <c r="GO400" s="338"/>
      <c r="GS400" s="338"/>
      <c r="GT400" s="338"/>
      <c r="GU400" s="338"/>
      <c r="GY400" s="338"/>
      <c r="GZ400" s="338"/>
      <c r="HA400" s="338"/>
      <c r="HE400" s="338"/>
      <c r="HF400" s="338"/>
      <c r="HG400" s="338"/>
      <c r="HN400" s="68"/>
      <c r="HO400" s="68"/>
      <c r="HP400" s="68"/>
      <c r="HQ400" s="336"/>
      <c r="HR400" s="68"/>
      <c r="HS400" s="68"/>
      <c r="HT400" s="10"/>
      <c r="HW400" s="338"/>
      <c r="HX400" s="338"/>
      <c r="HY400" s="338"/>
      <c r="IC400" s="338"/>
      <c r="ID400" s="338"/>
      <c r="IE400" s="338"/>
      <c r="II400" s="338"/>
      <c r="IJ400" s="338"/>
      <c r="IK400" s="338"/>
      <c r="IO400" s="338"/>
      <c r="IP400" s="338"/>
      <c r="IQ400" s="338"/>
      <c r="IX400" s="68"/>
      <c r="IY400" s="68"/>
      <c r="IZ400" s="68"/>
      <c r="JA400" s="68"/>
      <c r="JB400" s="68"/>
      <c r="JC400" s="68"/>
      <c r="JD400" s="10"/>
      <c r="JG400" s="338"/>
      <c r="JH400" s="338"/>
      <c r="JI400" s="338"/>
      <c r="JM400" s="338"/>
      <c r="JN400" s="338"/>
      <c r="JQ400" s="338"/>
      <c r="JR400" s="338"/>
      <c r="JS400" s="338"/>
      <c r="JW400" s="358"/>
      <c r="JX400" s="336"/>
      <c r="JY400" s="336"/>
      <c r="JZ400" s="336"/>
      <c r="KA400" s="336"/>
      <c r="KB400" s="336"/>
      <c r="KC400" s="336"/>
      <c r="KD400" s="336"/>
      <c r="KE400" s="336"/>
      <c r="KF400" s="336"/>
      <c r="KG400" s="337"/>
      <c r="KH400" s="338"/>
      <c r="KI400" s="338"/>
      <c r="KJ400" s="338"/>
      <c r="KK400" s="338"/>
      <c r="KL400" s="338"/>
      <c r="KM400" s="338"/>
      <c r="KN400" s="338"/>
      <c r="KO400" s="338"/>
      <c r="KP400" s="338"/>
      <c r="KQ400" s="338"/>
      <c r="KR400" s="338"/>
      <c r="KS400" s="338"/>
      <c r="KT400" s="338"/>
      <c r="KU400" s="338"/>
      <c r="KV400" s="338"/>
      <c r="KW400" s="337"/>
      <c r="KX400" s="336"/>
      <c r="KY400" s="336"/>
      <c r="KZ400" s="336"/>
      <c r="LA400" s="336"/>
      <c r="LB400" s="336"/>
      <c r="LC400" s="336"/>
      <c r="LD400" s="336"/>
      <c r="LE400" s="336"/>
      <c r="LF400" s="336"/>
      <c r="LG400" s="336"/>
      <c r="LH400" s="336"/>
      <c r="LI400" s="336"/>
      <c r="LJ400" s="336"/>
      <c r="LK400" s="336"/>
      <c r="LL400" s="336"/>
      <c r="LM400" s="336"/>
      <c r="LN400" s="336"/>
      <c r="LO400" s="336"/>
      <c r="LP400" s="336"/>
      <c r="LQ400" s="337"/>
      <c r="MN400" s="10"/>
      <c r="OA400" s="10"/>
    </row>
    <row r="401" spans="1:391" s="370" customFormat="1" x14ac:dyDescent="0.25">
      <c r="A401" s="68"/>
      <c r="B401" s="10"/>
      <c r="C401" s="68"/>
      <c r="D401" s="68"/>
      <c r="E401" s="68"/>
      <c r="F401" s="68"/>
      <c r="G401" s="68"/>
      <c r="H401" s="68"/>
      <c r="I401" s="68"/>
      <c r="J401" s="68"/>
      <c r="K401" s="68"/>
      <c r="L401" s="68"/>
      <c r="M401" s="68"/>
      <c r="N401" s="68"/>
      <c r="O401" s="68"/>
      <c r="P401" s="68"/>
      <c r="Q401" s="68"/>
      <c r="R401" s="68"/>
      <c r="S401" s="68"/>
      <c r="T401" s="70"/>
      <c r="AC401" s="68"/>
      <c r="AD401" s="70"/>
      <c r="AM401" s="68"/>
      <c r="AN401" s="70"/>
      <c r="AU401" s="68"/>
      <c r="AV401" s="70"/>
      <c r="BB401" s="68"/>
      <c r="BC401" s="70"/>
      <c r="BD401" s="68"/>
      <c r="BE401" s="68"/>
      <c r="BF401" s="68"/>
      <c r="BG401" s="68"/>
      <c r="BH401" s="68"/>
      <c r="BI401" s="68"/>
      <c r="BJ401" s="70"/>
      <c r="BM401" s="68"/>
      <c r="BN401" s="70"/>
      <c r="BT401" s="68"/>
      <c r="BU401" s="70"/>
      <c r="BZ401" s="10"/>
      <c r="CF401" s="10"/>
      <c r="CI401" s="389"/>
      <c r="CJ401" s="389"/>
      <c r="CK401" s="68"/>
      <c r="CL401" s="70"/>
      <c r="CO401" s="10"/>
      <c r="CU401" s="10"/>
      <c r="DA401" s="10"/>
      <c r="DB401" s="70"/>
      <c r="DC401" s="70"/>
      <c r="DF401" s="68"/>
      <c r="DG401" s="70"/>
      <c r="DH401" s="68"/>
      <c r="DI401" s="386"/>
      <c r="DJ401" s="425"/>
      <c r="DL401" s="68"/>
      <c r="DM401" s="70"/>
      <c r="DQ401" s="68"/>
      <c r="DR401" s="70"/>
      <c r="DS401" s="338"/>
      <c r="DT401" s="338"/>
      <c r="DU401" s="338"/>
      <c r="DW401" s="338"/>
      <c r="DX401" s="338"/>
      <c r="DY401" s="338"/>
      <c r="EA401" s="338"/>
      <c r="EB401" s="338"/>
      <c r="EC401" s="338"/>
      <c r="EE401" s="338"/>
      <c r="EF401" s="338"/>
      <c r="EG401" s="338"/>
      <c r="EI401" s="336"/>
      <c r="EJ401" s="336"/>
      <c r="EK401" s="336"/>
      <c r="EL401" s="336"/>
      <c r="EM401" s="336"/>
      <c r="EN401" s="336"/>
      <c r="EO401" s="337"/>
      <c r="EP401" s="342"/>
      <c r="EQ401" s="336"/>
      <c r="ER401" s="342"/>
      <c r="ES401" s="336"/>
      <c r="ET401" s="342"/>
      <c r="EU401" s="336"/>
      <c r="EV401" s="342"/>
      <c r="EW401" s="336"/>
      <c r="EX401" s="342"/>
      <c r="EY401" s="342"/>
      <c r="EZ401" s="342"/>
      <c r="FA401" s="337"/>
      <c r="FE401" s="338"/>
      <c r="FH401" s="338"/>
      <c r="FI401" s="338"/>
      <c r="FJ401" s="338"/>
      <c r="FK401" s="338"/>
      <c r="FL401" s="338"/>
      <c r="FM401" s="337"/>
      <c r="FN401" s="336"/>
      <c r="FO401" s="336"/>
      <c r="FP401" s="336"/>
      <c r="FQ401" s="336"/>
      <c r="FR401" s="336"/>
      <c r="FS401" s="336"/>
      <c r="FT401" s="336"/>
      <c r="FU401" s="336"/>
      <c r="FV401" s="336"/>
      <c r="FW401" s="337"/>
      <c r="FX401" s="532"/>
      <c r="FY401" s="341"/>
      <c r="FZ401" s="341"/>
      <c r="GA401" s="336"/>
      <c r="GB401" s="341"/>
      <c r="GC401" s="341"/>
      <c r="GD401" s="341"/>
      <c r="GE401" s="336"/>
      <c r="GF401" s="336"/>
      <c r="GG401" s="336"/>
      <c r="GH401" s="336"/>
      <c r="GI401" s="336"/>
      <c r="GJ401" s="337"/>
      <c r="GM401" s="338"/>
      <c r="GN401" s="338"/>
      <c r="GO401" s="338"/>
      <c r="GS401" s="338"/>
      <c r="GT401" s="338"/>
      <c r="GU401" s="338"/>
      <c r="GY401" s="338"/>
      <c r="GZ401" s="338"/>
      <c r="HA401" s="338"/>
      <c r="HE401" s="338"/>
      <c r="HF401" s="338"/>
      <c r="HG401" s="338"/>
      <c r="HN401" s="68"/>
      <c r="HO401" s="68"/>
      <c r="HP401" s="68"/>
      <c r="HQ401" s="336"/>
      <c r="HR401" s="68"/>
      <c r="HS401" s="68"/>
      <c r="HT401" s="10"/>
      <c r="HW401" s="338"/>
      <c r="HX401" s="338"/>
      <c r="HY401" s="338"/>
      <c r="IC401" s="338"/>
      <c r="ID401" s="338"/>
      <c r="IE401" s="338"/>
      <c r="II401" s="338"/>
      <c r="IJ401" s="338"/>
      <c r="IK401" s="338"/>
      <c r="IO401" s="338"/>
      <c r="IP401" s="338"/>
      <c r="IQ401" s="338"/>
      <c r="IX401" s="68"/>
      <c r="IY401" s="68"/>
      <c r="IZ401" s="68"/>
      <c r="JA401" s="68"/>
      <c r="JB401" s="68"/>
      <c r="JC401" s="68"/>
      <c r="JD401" s="10"/>
      <c r="JG401" s="338"/>
      <c r="JH401" s="338"/>
      <c r="JI401" s="338"/>
      <c r="JM401" s="338"/>
      <c r="JN401" s="338"/>
      <c r="JQ401" s="338"/>
      <c r="JR401" s="338"/>
      <c r="JS401" s="338"/>
      <c r="JW401" s="358"/>
      <c r="JX401" s="336"/>
      <c r="JY401" s="336"/>
      <c r="JZ401" s="336"/>
      <c r="KA401" s="336"/>
      <c r="KB401" s="336"/>
      <c r="KC401" s="336"/>
      <c r="KD401" s="336"/>
      <c r="KE401" s="336"/>
      <c r="KF401" s="336"/>
      <c r="KG401" s="337"/>
      <c r="KH401" s="338"/>
      <c r="KI401" s="338"/>
      <c r="KJ401" s="338"/>
      <c r="KK401" s="338"/>
      <c r="KL401" s="338"/>
      <c r="KM401" s="338"/>
      <c r="KN401" s="338"/>
      <c r="KO401" s="338"/>
      <c r="KP401" s="338"/>
      <c r="KQ401" s="338"/>
      <c r="KR401" s="338"/>
      <c r="KS401" s="338"/>
      <c r="KT401" s="338"/>
      <c r="KU401" s="338"/>
      <c r="KV401" s="338"/>
      <c r="KW401" s="337"/>
      <c r="KX401" s="336"/>
      <c r="KY401" s="336"/>
      <c r="KZ401" s="336"/>
      <c r="LA401" s="336"/>
      <c r="LB401" s="336"/>
      <c r="LC401" s="336"/>
      <c r="LD401" s="336"/>
      <c r="LE401" s="336"/>
      <c r="LF401" s="336"/>
      <c r="LG401" s="336"/>
      <c r="LH401" s="336"/>
      <c r="LI401" s="336"/>
      <c r="LJ401" s="336"/>
      <c r="LK401" s="336"/>
      <c r="LL401" s="336"/>
      <c r="LM401" s="336"/>
      <c r="LN401" s="336"/>
      <c r="LO401" s="336"/>
      <c r="LP401" s="336"/>
      <c r="LQ401" s="337"/>
      <c r="MN401" s="10"/>
      <c r="OA401" s="10"/>
    </row>
    <row r="402" spans="1:391" s="370" customFormat="1" x14ac:dyDescent="0.25">
      <c r="A402" s="68"/>
      <c r="B402" s="10"/>
      <c r="C402" s="68"/>
      <c r="D402" s="68"/>
      <c r="E402" s="68"/>
      <c r="F402" s="68"/>
      <c r="G402" s="68"/>
      <c r="H402" s="68"/>
      <c r="I402" s="68"/>
      <c r="J402" s="68"/>
      <c r="K402" s="68"/>
      <c r="L402" s="68"/>
      <c r="M402" s="68"/>
      <c r="N402" s="68"/>
      <c r="O402" s="68"/>
      <c r="P402" s="68"/>
      <c r="Q402" s="68"/>
      <c r="R402" s="68"/>
      <c r="S402" s="68"/>
      <c r="T402" s="70"/>
      <c r="AC402" s="68"/>
      <c r="AD402" s="70"/>
      <c r="AM402" s="68"/>
      <c r="AN402" s="70"/>
      <c r="AU402" s="68"/>
      <c r="AV402" s="70"/>
      <c r="BB402" s="68"/>
      <c r="BC402" s="70"/>
      <c r="BD402" s="68"/>
      <c r="BE402" s="68"/>
      <c r="BF402" s="68"/>
      <c r="BG402" s="68"/>
      <c r="BH402" s="68"/>
      <c r="BI402" s="68"/>
      <c r="BJ402" s="70"/>
      <c r="BM402" s="68"/>
      <c r="BN402" s="70"/>
      <c r="BT402" s="68"/>
      <c r="BU402" s="70"/>
      <c r="BZ402" s="10"/>
      <c r="CF402" s="10"/>
      <c r="CI402" s="389"/>
      <c r="CJ402" s="389"/>
      <c r="CK402" s="68"/>
      <c r="CL402" s="70"/>
      <c r="CO402" s="10"/>
      <c r="CU402" s="10"/>
      <c r="DA402" s="10"/>
      <c r="DB402" s="70"/>
      <c r="DC402" s="70"/>
      <c r="DF402" s="68"/>
      <c r="DG402" s="70"/>
      <c r="DH402" s="68"/>
      <c r="DI402" s="386"/>
      <c r="DJ402" s="425"/>
      <c r="DL402" s="68"/>
      <c r="DM402" s="70"/>
      <c r="DQ402" s="68"/>
      <c r="DR402" s="70"/>
      <c r="DS402" s="338"/>
      <c r="DT402" s="338"/>
      <c r="DU402" s="338"/>
      <c r="DW402" s="338"/>
      <c r="DX402" s="338"/>
      <c r="DY402" s="338"/>
      <c r="EA402" s="338"/>
      <c r="EB402" s="338"/>
      <c r="EC402" s="338"/>
      <c r="EE402" s="338"/>
      <c r="EF402" s="338"/>
      <c r="EG402" s="338"/>
      <c r="EI402" s="336"/>
      <c r="EJ402" s="336"/>
      <c r="EK402" s="336"/>
      <c r="EL402" s="336"/>
      <c r="EM402" s="336"/>
      <c r="EN402" s="336"/>
      <c r="EO402" s="337"/>
      <c r="EP402" s="342"/>
      <c r="EQ402" s="336"/>
      <c r="ER402" s="342"/>
      <c r="ES402" s="336"/>
      <c r="ET402" s="342"/>
      <c r="EU402" s="336"/>
      <c r="EV402" s="342"/>
      <c r="EW402" s="336"/>
      <c r="EX402" s="342"/>
      <c r="EY402" s="342"/>
      <c r="EZ402" s="342"/>
      <c r="FA402" s="337"/>
      <c r="FE402" s="338"/>
      <c r="FH402" s="338"/>
      <c r="FI402" s="338"/>
      <c r="FJ402" s="338"/>
      <c r="FK402" s="338"/>
      <c r="FL402" s="338"/>
      <c r="FM402" s="337"/>
      <c r="FN402" s="336"/>
      <c r="FO402" s="336"/>
      <c r="FP402" s="336"/>
      <c r="FQ402" s="336"/>
      <c r="FR402" s="336"/>
      <c r="FS402" s="336"/>
      <c r="FT402" s="336"/>
      <c r="FU402" s="336"/>
      <c r="FV402" s="336"/>
      <c r="FW402" s="337"/>
      <c r="FX402" s="532"/>
      <c r="FY402" s="341"/>
      <c r="FZ402" s="341"/>
      <c r="GA402" s="336"/>
      <c r="GB402" s="341"/>
      <c r="GC402" s="341"/>
      <c r="GD402" s="341"/>
      <c r="GE402" s="336"/>
      <c r="GF402" s="336"/>
      <c r="GG402" s="336"/>
      <c r="GH402" s="336"/>
      <c r="GI402" s="336"/>
      <c r="GJ402" s="337"/>
      <c r="GM402" s="338"/>
      <c r="GN402" s="338"/>
      <c r="GO402" s="338"/>
      <c r="GS402" s="338"/>
      <c r="GT402" s="338"/>
      <c r="GU402" s="338"/>
      <c r="GY402" s="338"/>
      <c r="GZ402" s="338"/>
      <c r="HA402" s="338"/>
      <c r="HE402" s="338"/>
      <c r="HF402" s="338"/>
      <c r="HG402" s="338"/>
      <c r="HN402" s="68"/>
      <c r="HO402" s="68"/>
      <c r="HP402" s="68"/>
      <c r="HQ402" s="336"/>
      <c r="HR402" s="68"/>
      <c r="HS402" s="68"/>
      <c r="HT402" s="10"/>
      <c r="HW402" s="338"/>
      <c r="HX402" s="338"/>
      <c r="HY402" s="338"/>
      <c r="IC402" s="338"/>
      <c r="ID402" s="338"/>
      <c r="IE402" s="338"/>
      <c r="II402" s="338"/>
      <c r="IJ402" s="338"/>
      <c r="IK402" s="338"/>
      <c r="IO402" s="338"/>
      <c r="IP402" s="338"/>
      <c r="IQ402" s="338"/>
      <c r="IX402" s="68"/>
      <c r="IY402" s="68"/>
      <c r="IZ402" s="68"/>
      <c r="JA402" s="68"/>
      <c r="JB402" s="68"/>
      <c r="JC402" s="68"/>
      <c r="JD402" s="10"/>
      <c r="JG402" s="338"/>
      <c r="JH402" s="338"/>
      <c r="JI402" s="338"/>
      <c r="JM402" s="338"/>
      <c r="JN402" s="338"/>
      <c r="JQ402" s="338"/>
      <c r="JR402" s="338"/>
      <c r="JS402" s="338"/>
      <c r="JW402" s="358"/>
      <c r="JX402" s="336"/>
      <c r="JY402" s="336"/>
      <c r="JZ402" s="336"/>
      <c r="KA402" s="336"/>
      <c r="KB402" s="336"/>
      <c r="KC402" s="336"/>
      <c r="KD402" s="336"/>
      <c r="KE402" s="336"/>
      <c r="KF402" s="336"/>
      <c r="KG402" s="337"/>
      <c r="KH402" s="338"/>
      <c r="KI402" s="338"/>
      <c r="KJ402" s="338"/>
      <c r="KK402" s="338"/>
      <c r="KL402" s="338"/>
      <c r="KM402" s="338"/>
      <c r="KN402" s="338"/>
      <c r="KO402" s="338"/>
      <c r="KP402" s="338"/>
      <c r="KQ402" s="338"/>
      <c r="KR402" s="338"/>
      <c r="KS402" s="338"/>
      <c r="KT402" s="338"/>
      <c r="KU402" s="338"/>
      <c r="KV402" s="338"/>
      <c r="KW402" s="337"/>
      <c r="KX402" s="336"/>
      <c r="KY402" s="336"/>
      <c r="KZ402" s="336"/>
      <c r="LA402" s="336"/>
      <c r="LB402" s="336"/>
      <c r="LC402" s="336"/>
      <c r="LD402" s="336"/>
      <c r="LE402" s="336"/>
      <c r="LF402" s="336"/>
      <c r="LG402" s="336"/>
      <c r="LH402" s="336"/>
      <c r="LI402" s="336"/>
      <c r="LJ402" s="336"/>
      <c r="LK402" s="336"/>
      <c r="LL402" s="336"/>
      <c r="LM402" s="336"/>
      <c r="LN402" s="336"/>
      <c r="LO402" s="336"/>
      <c r="LP402" s="336"/>
      <c r="LQ402" s="337"/>
      <c r="MN402" s="10"/>
      <c r="OA402" s="10"/>
    </row>
    <row r="403" spans="1:391" s="370" customFormat="1" x14ac:dyDescent="0.25">
      <c r="A403" s="68"/>
      <c r="B403" s="10"/>
      <c r="C403" s="68"/>
      <c r="D403" s="68"/>
      <c r="E403" s="68"/>
      <c r="F403" s="68"/>
      <c r="G403" s="68"/>
      <c r="H403" s="68"/>
      <c r="I403" s="68"/>
      <c r="J403" s="68"/>
      <c r="K403" s="68"/>
      <c r="L403" s="68"/>
      <c r="M403" s="68"/>
      <c r="N403" s="68"/>
      <c r="O403" s="68"/>
      <c r="P403" s="68"/>
      <c r="Q403" s="68"/>
      <c r="R403" s="68"/>
      <c r="S403" s="68"/>
      <c r="T403" s="70"/>
      <c r="AC403" s="68"/>
      <c r="AD403" s="70"/>
      <c r="AM403" s="68"/>
      <c r="AN403" s="70"/>
      <c r="AU403" s="68"/>
      <c r="AV403" s="70"/>
      <c r="BB403" s="68"/>
      <c r="BC403" s="70"/>
      <c r="BD403" s="68"/>
      <c r="BE403" s="68"/>
      <c r="BF403" s="68"/>
      <c r="BG403" s="68"/>
      <c r="BH403" s="68"/>
      <c r="BI403" s="68"/>
      <c r="BJ403" s="70"/>
      <c r="BM403" s="68"/>
      <c r="BN403" s="70"/>
      <c r="BT403" s="68"/>
      <c r="BU403" s="70"/>
      <c r="BZ403" s="10"/>
      <c r="CF403" s="10"/>
      <c r="CI403" s="389"/>
      <c r="CJ403" s="389"/>
      <c r="CK403" s="68"/>
      <c r="CL403" s="70"/>
      <c r="CO403" s="10"/>
      <c r="CU403" s="10"/>
      <c r="DA403" s="10"/>
      <c r="DB403" s="70"/>
      <c r="DC403" s="70"/>
      <c r="DF403" s="68"/>
      <c r="DG403" s="70"/>
      <c r="DH403" s="68"/>
      <c r="DI403" s="386"/>
      <c r="DJ403" s="425"/>
      <c r="DL403" s="68"/>
      <c r="DM403" s="70"/>
      <c r="DQ403" s="68"/>
      <c r="DR403" s="70"/>
      <c r="DS403" s="338"/>
      <c r="DT403" s="338"/>
      <c r="DU403" s="338"/>
      <c r="DW403" s="338"/>
      <c r="DX403" s="338"/>
      <c r="DY403" s="338"/>
      <c r="EA403" s="338"/>
      <c r="EB403" s="338"/>
      <c r="EC403" s="338"/>
      <c r="EE403" s="338"/>
      <c r="EF403" s="338"/>
      <c r="EG403" s="338"/>
      <c r="EI403" s="336"/>
      <c r="EJ403" s="336"/>
      <c r="EK403" s="336"/>
      <c r="EL403" s="336"/>
      <c r="EM403" s="336"/>
      <c r="EN403" s="336"/>
      <c r="EO403" s="337"/>
      <c r="EP403" s="342"/>
      <c r="EQ403" s="336"/>
      <c r="ER403" s="342"/>
      <c r="ES403" s="336"/>
      <c r="ET403" s="342"/>
      <c r="EU403" s="336"/>
      <c r="EV403" s="342"/>
      <c r="EW403" s="336"/>
      <c r="EX403" s="342"/>
      <c r="EY403" s="342"/>
      <c r="EZ403" s="342"/>
      <c r="FA403" s="337"/>
      <c r="FE403" s="338"/>
      <c r="FH403" s="338"/>
      <c r="FI403" s="338"/>
      <c r="FJ403" s="338"/>
      <c r="FK403" s="338"/>
      <c r="FL403" s="338"/>
      <c r="FM403" s="337"/>
      <c r="FN403" s="336"/>
      <c r="FO403" s="336"/>
      <c r="FP403" s="336"/>
      <c r="FQ403" s="336"/>
      <c r="FR403" s="336"/>
      <c r="FS403" s="336"/>
      <c r="FT403" s="336"/>
      <c r="FU403" s="336"/>
      <c r="FV403" s="336"/>
      <c r="FW403" s="337"/>
      <c r="FX403" s="532"/>
      <c r="FY403" s="341"/>
      <c r="FZ403" s="341"/>
      <c r="GA403" s="336"/>
      <c r="GB403" s="341"/>
      <c r="GC403" s="341"/>
      <c r="GD403" s="341"/>
      <c r="GE403" s="336"/>
      <c r="GF403" s="336"/>
      <c r="GG403" s="336"/>
      <c r="GH403" s="336"/>
      <c r="GI403" s="336"/>
      <c r="GJ403" s="337"/>
      <c r="GM403" s="338"/>
      <c r="GN403" s="338"/>
      <c r="GO403" s="338"/>
      <c r="GS403" s="338"/>
      <c r="GT403" s="338"/>
      <c r="GU403" s="338"/>
      <c r="GY403" s="338"/>
      <c r="GZ403" s="338"/>
      <c r="HA403" s="338"/>
      <c r="HE403" s="338"/>
      <c r="HF403" s="338"/>
      <c r="HG403" s="338"/>
      <c r="HN403" s="68"/>
      <c r="HO403" s="68"/>
      <c r="HP403" s="68"/>
      <c r="HQ403" s="336"/>
      <c r="HR403" s="68"/>
      <c r="HS403" s="68"/>
      <c r="HT403" s="10"/>
      <c r="HW403" s="338"/>
      <c r="HX403" s="338"/>
      <c r="HY403" s="338"/>
      <c r="IC403" s="338"/>
      <c r="ID403" s="338"/>
      <c r="IE403" s="338"/>
      <c r="II403" s="338"/>
      <c r="IJ403" s="338"/>
      <c r="IK403" s="338"/>
      <c r="IO403" s="338"/>
      <c r="IP403" s="338"/>
      <c r="IQ403" s="338"/>
      <c r="IX403" s="68"/>
      <c r="IY403" s="68"/>
      <c r="IZ403" s="68"/>
      <c r="JA403" s="68"/>
      <c r="JB403" s="68"/>
      <c r="JC403" s="68"/>
      <c r="JD403" s="10"/>
      <c r="JG403" s="338"/>
      <c r="JH403" s="338"/>
      <c r="JI403" s="338"/>
      <c r="JM403" s="338"/>
      <c r="JN403" s="338"/>
      <c r="JQ403" s="338"/>
      <c r="JR403" s="338"/>
      <c r="JS403" s="338"/>
      <c r="JW403" s="358"/>
      <c r="JX403" s="336"/>
      <c r="JY403" s="336"/>
      <c r="JZ403" s="336"/>
      <c r="KA403" s="336"/>
      <c r="KB403" s="336"/>
      <c r="KC403" s="336"/>
      <c r="KD403" s="336"/>
      <c r="KE403" s="336"/>
      <c r="KF403" s="336"/>
      <c r="KG403" s="337"/>
      <c r="KH403" s="338"/>
      <c r="KI403" s="338"/>
      <c r="KJ403" s="338"/>
      <c r="KK403" s="338"/>
      <c r="KL403" s="338"/>
      <c r="KM403" s="338"/>
      <c r="KN403" s="338"/>
      <c r="KO403" s="338"/>
      <c r="KP403" s="338"/>
      <c r="KQ403" s="338"/>
      <c r="KR403" s="338"/>
      <c r="KS403" s="338"/>
      <c r="KT403" s="338"/>
      <c r="KU403" s="338"/>
      <c r="KV403" s="338"/>
      <c r="KW403" s="337"/>
      <c r="KX403" s="336"/>
      <c r="KY403" s="336"/>
      <c r="KZ403" s="336"/>
      <c r="LA403" s="336"/>
      <c r="LB403" s="336"/>
      <c r="LC403" s="336"/>
      <c r="LD403" s="336"/>
      <c r="LE403" s="336"/>
      <c r="LF403" s="336"/>
      <c r="LG403" s="336"/>
      <c r="LH403" s="336"/>
      <c r="LI403" s="336"/>
      <c r="LJ403" s="336"/>
      <c r="LK403" s="336"/>
      <c r="LL403" s="336"/>
      <c r="LM403" s="336"/>
      <c r="LN403" s="336"/>
      <c r="LO403" s="336"/>
      <c r="LP403" s="336"/>
      <c r="LQ403" s="337"/>
      <c r="MN403" s="10"/>
      <c r="OA403" s="10"/>
    </row>
    <row r="404" spans="1:391" s="370" customFormat="1" x14ac:dyDescent="0.25">
      <c r="A404" s="68"/>
      <c r="B404" s="10"/>
      <c r="C404" s="68"/>
      <c r="D404" s="68"/>
      <c r="E404" s="68"/>
      <c r="F404" s="68"/>
      <c r="G404" s="68"/>
      <c r="H404" s="68"/>
      <c r="I404" s="68"/>
      <c r="J404" s="68"/>
      <c r="K404" s="68"/>
      <c r="L404" s="68"/>
      <c r="M404" s="68"/>
      <c r="N404" s="68"/>
      <c r="O404" s="68"/>
      <c r="P404" s="68"/>
      <c r="Q404" s="68"/>
      <c r="R404" s="68"/>
      <c r="S404" s="68"/>
      <c r="T404" s="70"/>
      <c r="AC404" s="68"/>
      <c r="AD404" s="70"/>
      <c r="AM404" s="68"/>
      <c r="AN404" s="70"/>
      <c r="AU404" s="68"/>
      <c r="AV404" s="70"/>
      <c r="BB404" s="68"/>
      <c r="BC404" s="70"/>
      <c r="BD404" s="68"/>
      <c r="BE404" s="68"/>
      <c r="BF404" s="68"/>
      <c r="BG404" s="68"/>
      <c r="BH404" s="68"/>
      <c r="BI404" s="68"/>
      <c r="BJ404" s="70"/>
      <c r="BM404" s="68"/>
      <c r="BN404" s="70"/>
      <c r="BT404" s="68"/>
      <c r="BU404" s="70"/>
      <c r="BZ404" s="10"/>
      <c r="CF404" s="10"/>
      <c r="CI404" s="389"/>
      <c r="CJ404" s="389"/>
      <c r="CK404" s="68"/>
      <c r="CL404" s="70"/>
      <c r="CO404" s="10"/>
      <c r="CU404" s="10"/>
      <c r="DA404" s="10"/>
      <c r="DB404" s="70"/>
      <c r="DC404" s="70"/>
      <c r="DF404" s="68"/>
      <c r="DG404" s="70"/>
      <c r="DH404" s="68"/>
      <c r="DI404" s="386"/>
      <c r="DJ404" s="425"/>
      <c r="DL404" s="68"/>
      <c r="DM404" s="70"/>
      <c r="DQ404" s="68"/>
      <c r="DR404" s="70"/>
      <c r="DS404" s="338"/>
      <c r="DT404" s="338"/>
      <c r="DU404" s="338"/>
      <c r="DW404" s="338"/>
      <c r="DX404" s="338"/>
      <c r="DY404" s="338"/>
      <c r="EA404" s="338"/>
      <c r="EB404" s="338"/>
      <c r="EC404" s="338"/>
      <c r="EE404" s="338"/>
      <c r="EF404" s="338"/>
      <c r="EG404" s="338"/>
      <c r="EI404" s="336"/>
      <c r="EJ404" s="336"/>
      <c r="EK404" s="336"/>
      <c r="EL404" s="336"/>
      <c r="EM404" s="336"/>
      <c r="EN404" s="336"/>
      <c r="EO404" s="337"/>
      <c r="EP404" s="342"/>
      <c r="EQ404" s="336"/>
      <c r="ER404" s="342"/>
      <c r="ES404" s="336"/>
      <c r="ET404" s="342"/>
      <c r="EU404" s="336"/>
      <c r="EV404" s="342"/>
      <c r="EW404" s="336"/>
      <c r="EX404" s="342"/>
      <c r="EY404" s="342"/>
      <c r="EZ404" s="342"/>
      <c r="FA404" s="337"/>
      <c r="FE404" s="338"/>
      <c r="FH404" s="338"/>
      <c r="FI404" s="338"/>
      <c r="FJ404" s="338"/>
      <c r="FK404" s="338"/>
      <c r="FL404" s="338"/>
      <c r="FM404" s="337"/>
      <c r="FN404" s="336"/>
      <c r="FO404" s="336"/>
      <c r="FP404" s="336"/>
      <c r="FQ404" s="336"/>
      <c r="FR404" s="336"/>
      <c r="FS404" s="336"/>
      <c r="FT404" s="336"/>
      <c r="FU404" s="336"/>
      <c r="FV404" s="336"/>
      <c r="FW404" s="337"/>
      <c r="FX404" s="532"/>
      <c r="FY404" s="341"/>
      <c r="FZ404" s="341"/>
      <c r="GA404" s="336"/>
      <c r="GB404" s="341"/>
      <c r="GC404" s="341"/>
      <c r="GD404" s="341"/>
      <c r="GE404" s="336"/>
      <c r="GF404" s="336"/>
      <c r="GG404" s="336"/>
      <c r="GH404" s="336"/>
      <c r="GI404" s="336"/>
      <c r="GJ404" s="337"/>
      <c r="GM404" s="338"/>
      <c r="GN404" s="338"/>
      <c r="GO404" s="338"/>
      <c r="GS404" s="338"/>
      <c r="GT404" s="338"/>
      <c r="GU404" s="338"/>
      <c r="GY404" s="338"/>
      <c r="GZ404" s="338"/>
      <c r="HA404" s="338"/>
      <c r="HE404" s="338"/>
      <c r="HF404" s="338"/>
      <c r="HG404" s="338"/>
      <c r="HN404" s="68"/>
      <c r="HO404" s="68"/>
      <c r="HP404" s="68"/>
      <c r="HQ404" s="336"/>
      <c r="HR404" s="68"/>
      <c r="HS404" s="68"/>
      <c r="HT404" s="10"/>
      <c r="HW404" s="338"/>
      <c r="HX404" s="338"/>
      <c r="HY404" s="338"/>
      <c r="IC404" s="338"/>
      <c r="ID404" s="338"/>
      <c r="IE404" s="338"/>
      <c r="II404" s="338"/>
      <c r="IJ404" s="338"/>
      <c r="IK404" s="338"/>
      <c r="IO404" s="338"/>
      <c r="IP404" s="338"/>
      <c r="IQ404" s="338"/>
      <c r="IX404" s="68"/>
      <c r="IY404" s="68"/>
      <c r="IZ404" s="68"/>
      <c r="JA404" s="68"/>
      <c r="JB404" s="68"/>
      <c r="JC404" s="68"/>
      <c r="JD404" s="10"/>
      <c r="JG404" s="338"/>
      <c r="JH404" s="338"/>
      <c r="JI404" s="338"/>
      <c r="JM404" s="338"/>
      <c r="JN404" s="338"/>
      <c r="JQ404" s="338"/>
      <c r="JR404" s="338"/>
      <c r="JS404" s="338"/>
      <c r="JW404" s="358"/>
      <c r="JX404" s="336"/>
      <c r="JY404" s="336"/>
      <c r="JZ404" s="336"/>
      <c r="KA404" s="336"/>
      <c r="KB404" s="336"/>
      <c r="KC404" s="336"/>
      <c r="KD404" s="336"/>
      <c r="KE404" s="336"/>
      <c r="KF404" s="336"/>
      <c r="KG404" s="337"/>
      <c r="KH404" s="338"/>
      <c r="KI404" s="338"/>
      <c r="KJ404" s="338"/>
      <c r="KK404" s="338"/>
      <c r="KL404" s="338"/>
      <c r="KM404" s="338"/>
      <c r="KN404" s="338"/>
      <c r="KO404" s="338"/>
      <c r="KP404" s="338"/>
      <c r="KQ404" s="338"/>
      <c r="KR404" s="338"/>
      <c r="KS404" s="338"/>
      <c r="KT404" s="338"/>
      <c r="KU404" s="338"/>
      <c r="KV404" s="338"/>
      <c r="KW404" s="337"/>
      <c r="KX404" s="336"/>
      <c r="KY404" s="336"/>
      <c r="KZ404" s="336"/>
      <c r="LA404" s="336"/>
      <c r="LB404" s="336"/>
      <c r="LC404" s="336"/>
      <c r="LD404" s="336"/>
      <c r="LE404" s="336"/>
      <c r="LF404" s="336"/>
      <c r="LG404" s="336"/>
      <c r="LH404" s="336"/>
      <c r="LI404" s="336"/>
      <c r="LJ404" s="336"/>
      <c r="LK404" s="336"/>
      <c r="LL404" s="336"/>
      <c r="LM404" s="336"/>
      <c r="LN404" s="336"/>
      <c r="LO404" s="336"/>
      <c r="LP404" s="336"/>
      <c r="LQ404" s="337"/>
      <c r="MN404" s="10"/>
      <c r="OA404" s="10"/>
    </row>
    <row r="405" spans="1:391" s="370" customFormat="1" x14ac:dyDescent="0.25">
      <c r="A405" s="68"/>
      <c r="B405" s="10"/>
      <c r="C405" s="68"/>
      <c r="D405" s="68"/>
      <c r="E405" s="68"/>
      <c r="F405" s="68"/>
      <c r="G405" s="68"/>
      <c r="H405" s="68"/>
      <c r="I405" s="68"/>
      <c r="J405" s="68"/>
      <c r="K405" s="68"/>
      <c r="L405" s="68"/>
      <c r="M405" s="68"/>
      <c r="N405" s="68"/>
      <c r="O405" s="68"/>
      <c r="P405" s="68"/>
      <c r="Q405" s="68"/>
      <c r="R405" s="68"/>
      <c r="S405" s="68"/>
      <c r="T405" s="70"/>
      <c r="AC405" s="68"/>
      <c r="AD405" s="70"/>
      <c r="AM405" s="68"/>
      <c r="AN405" s="70"/>
      <c r="AU405" s="68"/>
      <c r="AV405" s="70"/>
      <c r="BB405" s="68"/>
      <c r="BC405" s="70"/>
      <c r="BD405" s="68"/>
      <c r="BE405" s="68"/>
      <c r="BF405" s="68"/>
      <c r="BG405" s="68"/>
      <c r="BH405" s="68"/>
      <c r="BI405" s="68"/>
      <c r="BJ405" s="70"/>
      <c r="BM405" s="68"/>
      <c r="BN405" s="70"/>
      <c r="BT405" s="68"/>
      <c r="BU405" s="70"/>
      <c r="BZ405" s="10"/>
      <c r="CF405" s="10"/>
      <c r="CI405" s="389"/>
      <c r="CJ405" s="389"/>
      <c r="CK405" s="68"/>
      <c r="CL405" s="70"/>
      <c r="CO405" s="10"/>
      <c r="CU405" s="10"/>
      <c r="DA405" s="10"/>
      <c r="DB405" s="70"/>
      <c r="DC405" s="70"/>
      <c r="DF405" s="68"/>
      <c r="DG405" s="70"/>
      <c r="DH405" s="68"/>
      <c r="DI405" s="386"/>
      <c r="DJ405" s="425"/>
      <c r="DL405" s="68"/>
      <c r="DM405" s="70"/>
      <c r="DQ405" s="68"/>
      <c r="DR405" s="70"/>
      <c r="DS405" s="338"/>
      <c r="DT405" s="338"/>
      <c r="DU405" s="338"/>
      <c r="DW405" s="338"/>
      <c r="DX405" s="338"/>
      <c r="DY405" s="338"/>
      <c r="EA405" s="338"/>
      <c r="EB405" s="338"/>
      <c r="EC405" s="338"/>
      <c r="EE405" s="338"/>
      <c r="EF405" s="338"/>
      <c r="EG405" s="338"/>
      <c r="EI405" s="336"/>
      <c r="EJ405" s="336"/>
      <c r="EK405" s="336"/>
      <c r="EL405" s="336"/>
      <c r="EM405" s="336"/>
      <c r="EN405" s="336"/>
      <c r="EO405" s="337"/>
      <c r="EP405" s="342"/>
      <c r="EQ405" s="336"/>
      <c r="ER405" s="342"/>
      <c r="ES405" s="336"/>
      <c r="ET405" s="342"/>
      <c r="EU405" s="336"/>
      <c r="EV405" s="342"/>
      <c r="EW405" s="336"/>
      <c r="EX405" s="342"/>
      <c r="EY405" s="342"/>
      <c r="EZ405" s="342"/>
      <c r="FA405" s="337"/>
      <c r="FE405" s="338"/>
      <c r="FH405" s="338"/>
      <c r="FI405" s="338"/>
      <c r="FJ405" s="338"/>
      <c r="FK405" s="338"/>
      <c r="FL405" s="338"/>
      <c r="FM405" s="337"/>
      <c r="FN405" s="336"/>
      <c r="FO405" s="336"/>
      <c r="FP405" s="336"/>
      <c r="FQ405" s="336"/>
      <c r="FR405" s="336"/>
      <c r="FS405" s="336"/>
      <c r="FT405" s="336"/>
      <c r="FU405" s="336"/>
      <c r="FV405" s="336"/>
      <c r="FW405" s="337"/>
      <c r="FX405" s="532"/>
      <c r="FY405" s="341"/>
      <c r="FZ405" s="341"/>
      <c r="GA405" s="336"/>
      <c r="GB405" s="341"/>
      <c r="GC405" s="341"/>
      <c r="GD405" s="341"/>
      <c r="GE405" s="336"/>
      <c r="GF405" s="336"/>
      <c r="GG405" s="336"/>
      <c r="GH405" s="336"/>
      <c r="GI405" s="336"/>
      <c r="GJ405" s="337"/>
      <c r="GM405" s="338"/>
      <c r="GN405" s="338"/>
      <c r="GO405" s="338"/>
      <c r="GS405" s="338"/>
      <c r="GT405" s="338"/>
      <c r="GU405" s="338"/>
      <c r="GY405" s="338"/>
      <c r="GZ405" s="338"/>
      <c r="HA405" s="338"/>
      <c r="HE405" s="338"/>
      <c r="HF405" s="338"/>
      <c r="HG405" s="338"/>
      <c r="HN405" s="68"/>
      <c r="HO405" s="68"/>
      <c r="HP405" s="68"/>
      <c r="HQ405" s="336"/>
      <c r="HR405" s="68"/>
      <c r="HS405" s="68"/>
      <c r="HT405" s="10"/>
      <c r="HW405" s="338"/>
      <c r="HX405" s="338"/>
      <c r="HY405" s="338"/>
      <c r="IC405" s="338"/>
      <c r="ID405" s="338"/>
      <c r="IE405" s="338"/>
      <c r="II405" s="338"/>
      <c r="IJ405" s="338"/>
      <c r="IK405" s="338"/>
      <c r="IO405" s="338"/>
      <c r="IP405" s="338"/>
      <c r="IQ405" s="338"/>
      <c r="IX405" s="68"/>
      <c r="IY405" s="68"/>
      <c r="IZ405" s="68"/>
      <c r="JA405" s="68"/>
      <c r="JB405" s="68"/>
      <c r="JC405" s="68"/>
      <c r="JD405" s="10"/>
      <c r="JG405" s="338"/>
      <c r="JH405" s="338"/>
      <c r="JI405" s="338"/>
      <c r="JM405" s="338"/>
      <c r="JN405" s="338"/>
      <c r="JQ405" s="338"/>
      <c r="JR405" s="338"/>
      <c r="JS405" s="338"/>
      <c r="JW405" s="358"/>
      <c r="JX405" s="336"/>
      <c r="JY405" s="336"/>
      <c r="JZ405" s="336"/>
      <c r="KA405" s="336"/>
      <c r="KB405" s="336"/>
      <c r="KC405" s="336"/>
      <c r="KD405" s="336"/>
      <c r="KE405" s="336"/>
      <c r="KF405" s="336"/>
      <c r="KG405" s="337"/>
      <c r="KH405" s="338"/>
      <c r="KI405" s="338"/>
      <c r="KJ405" s="338"/>
      <c r="KK405" s="338"/>
      <c r="KL405" s="338"/>
      <c r="KM405" s="338"/>
      <c r="KN405" s="338"/>
      <c r="KO405" s="338"/>
      <c r="KP405" s="338"/>
      <c r="KQ405" s="338"/>
      <c r="KR405" s="338"/>
      <c r="KS405" s="338"/>
      <c r="KT405" s="338"/>
      <c r="KU405" s="338"/>
      <c r="KV405" s="338"/>
      <c r="KW405" s="337"/>
      <c r="KX405" s="336"/>
      <c r="KY405" s="336"/>
      <c r="KZ405" s="336"/>
      <c r="LA405" s="336"/>
      <c r="LB405" s="336"/>
      <c r="LC405" s="336"/>
      <c r="LD405" s="336"/>
      <c r="LE405" s="336"/>
      <c r="LF405" s="336"/>
      <c r="LG405" s="336"/>
      <c r="LH405" s="336"/>
      <c r="LI405" s="336"/>
      <c r="LJ405" s="336"/>
      <c r="LK405" s="336"/>
      <c r="LL405" s="336"/>
      <c r="LM405" s="336"/>
      <c r="LN405" s="336"/>
      <c r="LO405" s="336"/>
      <c r="LP405" s="336"/>
      <c r="LQ405" s="337"/>
      <c r="MN405" s="10"/>
      <c r="OA405" s="10"/>
    </row>
    <row r="406" spans="1:391" s="370" customFormat="1" x14ac:dyDescent="0.25">
      <c r="A406" s="68"/>
      <c r="B406" s="10"/>
      <c r="C406" s="68"/>
      <c r="D406" s="68"/>
      <c r="E406" s="68"/>
      <c r="F406" s="68"/>
      <c r="G406" s="68"/>
      <c r="H406" s="68"/>
      <c r="I406" s="68"/>
      <c r="J406" s="68"/>
      <c r="K406" s="68"/>
      <c r="L406" s="68"/>
      <c r="M406" s="68"/>
      <c r="N406" s="68"/>
      <c r="O406" s="68"/>
      <c r="P406" s="68"/>
      <c r="Q406" s="68"/>
      <c r="R406" s="68"/>
      <c r="S406" s="68"/>
      <c r="T406" s="70"/>
      <c r="AC406" s="68"/>
      <c r="AD406" s="70"/>
      <c r="AM406" s="68"/>
      <c r="AN406" s="70"/>
      <c r="AU406" s="68"/>
      <c r="AV406" s="70"/>
      <c r="BB406" s="68"/>
      <c r="BC406" s="70"/>
      <c r="BD406" s="68"/>
      <c r="BE406" s="68"/>
      <c r="BF406" s="68"/>
      <c r="BG406" s="68"/>
      <c r="BH406" s="68"/>
      <c r="BI406" s="68"/>
      <c r="BJ406" s="70"/>
      <c r="BM406" s="68"/>
      <c r="BN406" s="70"/>
      <c r="BT406" s="68"/>
      <c r="BU406" s="70"/>
      <c r="BZ406" s="10"/>
      <c r="CF406" s="10"/>
      <c r="CI406" s="389"/>
      <c r="CJ406" s="389"/>
      <c r="CK406" s="68"/>
      <c r="CL406" s="70"/>
      <c r="CO406" s="10"/>
      <c r="CU406" s="10"/>
      <c r="DA406" s="10"/>
      <c r="DB406" s="70"/>
      <c r="DC406" s="70"/>
      <c r="DF406" s="68"/>
      <c r="DG406" s="70"/>
      <c r="DH406" s="68"/>
      <c r="DI406" s="386"/>
      <c r="DJ406" s="425"/>
      <c r="DL406" s="68"/>
      <c r="DM406" s="70"/>
      <c r="DQ406" s="68"/>
      <c r="DR406" s="70"/>
      <c r="DS406" s="338"/>
      <c r="DT406" s="338"/>
      <c r="DU406" s="338"/>
      <c r="DW406" s="338"/>
      <c r="DX406" s="338"/>
      <c r="DY406" s="338"/>
      <c r="EA406" s="338"/>
      <c r="EB406" s="338"/>
      <c r="EC406" s="338"/>
      <c r="EE406" s="338"/>
      <c r="EF406" s="338"/>
      <c r="EG406" s="338"/>
      <c r="EI406" s="336"/>
      <c r="EJ406" s="336"/>
      <c r="EK406" s="336"/>
      <c r="EL406" s="336"/>
      <c r="EM406" s="336"/>
      <c r="EN406" s="336"/>
      <c r="EO406" s="337"/>
      <c r="EP406" s="342"/>
      <c r="EQ406" s="336"/>
      <c r="ER406" s="342"/>
      <c r="ES406" s="336"/>
      <c r="ET406" s="342"/>
      <c r="EU406" s="336"/>
      <c r="EV406" s="342"/>
      <c r="EW406" s="336"/>
      <c r="EX406" s="342"/>
      <c r="EY406" s="342"/>
      <c r="EZ406" s="342"/>
      <c r="FA406" s="337"/>
      <c r="FE406" s="338"/>
      <c r="FH406" s="338"/>
      <c r="FI406" s="338"/>
      <c r="FJ406" s="338"/>
      <c r="FK406" s="338"/>
      <c r="FL406" s="338"/>
      <c r="FM406" s="337"/>
      <c r="FN406" s="336"/>
      <c r="FO406" s="336"/>
      <c r="FP406" s="336"/>
      <c r="FQ406" s="336"/>
      <c r="FR406" s="336"/>
      <c r="FS406" s="336"/>
      <c r="FT406" s="336"/>
      <c r="FU406" s="336"/>
      <c r="FV406" s="336"/>
      <c r="FW406" s="337"/>
      <c r="FX406" s="532"/>
      <c r="FY406" s="341"/>
      <c r="FZ406" s="341"/>
      <c r="GA406" s="336"/>
      <c r="GB406" s="341"/>
      <c r="GC406" s="341"/>
      <c r="GD406" s="341"/>
      <c r="GE406" s="336"/>
      <c r="GF406" s="336"/>
      <c r="GG406" s="336"/>
      <c r="GH406" s="336"/>
      <c r="GI406" s="336"/>
      <c r="GJ406" s="337"/>
      <c r="GM406" s="338"/>
      <c r="GN406" s="338"/>
      <c r="GO406" s="338"/>
      <c r="GS406" s="338"/>
      <c r="GT406" s="338"/>
      <c r="GU406" s="338"/>
      <c r="GY406" s="338"/>
      <c r="GZ406" s="338"/>
      <c r="HA406" s="338"/>
      <c r="HE406" s="338"/>
      <c r="HF406" s="338"/>
      <c r="HG406" s="338"/>
      <c r="HN406" s="68"/>
      <c r="HO406" s="68"/>
      <c r="HP406" s="68"/>
      <c r="HQ406" s="336"/>
      <c r="HR406" s="68"/>
      <c r="HS406" s="68"/>
      <c r="HT406" s="10"/>
      <c r="HW406" s="338"/>
      <c r="HX406" s="338"/>
      <c r="HY406" s="338"/>
      <c r="IC406" s="338"/>
      <c r="ID406" s="338"/>
      <c r="IE406" s="338"/>
      <c r="II406" s="338"/>
      <c r="IJ406" s="338"/>
      <c r="IK406" s="338"/>
      <c r="IO406" s="338"/>
      <c r="IP406" s="338"/>
      <c r="IQ406" s="338"/>
      <c r="IX406" s="68"/>
      <c r="IY406" s="68"/>
      <c r="IZ406" s="68"/>
      <c r="JA406" s="68"/>
      <c r="JB406" s="68"/>
      <c r="JC406" s="68"/>
      <c r="JD406" s="10"/>
      <c r="JG406" s="338"/>
      <c r="JH406" s="338"/>
      <c r="JI406" s="338"/>
      <c r="JM406" s="338"/>
      <c r="JN406" s="338"/>
      <c r="JQ406" s="338"/>
      <c r="JR406" s="338"/>
      <c r="JS406" s="338"/>
      <c r="JW406" s="358"/>
      <c r="JX406" s="336"/>
      <c r="JY406" s="336"/>
      <c r="JZ406" s="336"/>
      <c r="KA406" s="336"/>
      <c r="KB406" s="336"/>
      <c r="KC406" s="336"/>
      <c r="KD406" s="336"/>
      <c r="KE406" s="336"/>
      <c r="KF406" s="336"/>
      <c r="KG406" s="337"/>
      <c r="KH406" s="338"/>
      <c r="KI406" s="338"/>
      <c r="KJ406" s="338"/>
      <c r="KK406" s="338"/>
      <c r="KL406" s="338"/>
      <c r="KM406" s="338"/>
      <c r="KN406" s="338"/>
      <c r="KO406" s="338"/>
      <c r="KP406" s="338"/>
      <c r="KQ406" s="338"/>
      <c r="KR406" s="338"/>
      <c r="KS406" s="338"/>
      <c r="KT406" s="338"/>
      <c r="KU406" s="338"/>
      <c r="KV406" s="338"/>
      <c r="KW406" s="337"/>
      <c r="KX406" s="336"/>
      <c r="KY406" s="336"/>
      <c r="KZ406" s="336"/>
      <c r="LA406" s="336"/>
      <c r="LB406" s="336"/>
      <c r="LC406" s="336"/>
      <c r="LD406" s="336"/>
      <c r="LE406" s="336"/>
      <c r="LF406" s="336"/>
      <c r="LG406" s="336"/>
      <c r="LH406" s="336"/>
      <c r="LI406" s="336"/>
      <c r="LJ406" s="336"/>
      <c r="LK406" s="336"/>
      <c r="LL406" s="336"/>
      <c r="LM406" s="336"/>
      <c r="LN406" s="336"/>
      <c r="LO406" s="336"/>
      <c r="LP406" s="336"/>
      <c r="LQ406" s="337"/>
      <c r="MN406" s="10"/>
      <c r="OA406" s="10"/>
    </row>
    <row r="407" spans="1:391" s="370" customFormat="1" x14ac:dyDescent="0.25">
      <c r="A407" s="68"/>
      <c r="B407" s="10"/>
      <c r="C407" s="68"/>
      <c r="D407" s="68"/>
      <c r="E407" s="68"/>
      <c r="F407" s="68"/>
      <c r="G407" s="68"/>
      <c r="H407" s="68"/>
      <c r="I407" s="68"/>
      <c r="J407" s="68"/>
      <c r="K407" s="68"/>
      <c r="L407" s="68"/>
      <c r="M407" s="68"/>
      <c r="N407" s="68"/>
      <c r="O407" s="68"/>
      <c r="P407" s="68"/>
      <c r="Q407" s="68"/>
      <c r="R407" s="68"/>
      <c r="S407" s="68"/>
      <c r="T407" s="70"/>
      <c r="AC407" s="68"/>
      <c r="AD407" s="70"/>
      <c r="AM407" s="68"/>
      <c r="AN407" s="70"/>
      <c r="AU407" s="68"/>
      <c r="AV407" s="70"/>
      <c r="BB407" s="68"/>
      <c r="BC407" s="70"/>
      <c r="BD407" s="68"/>
      <c r="BE407" s="68"/>
      <c r="BF407" s="68"/>
      <c r="BG407" s="68"/>
      <c r="BH407" s="68"/>
      <c r="BI407" s="68"/>
      <c r="BJ407" s="70"/>
      <c r="BM407" s="68"/>
      <c r="BN407" s="70"/>
      <c r="BT407" s="68"/>
      <c r="BU407" s="70"/>
      <c r="BZ407" s="10"/>
      <c r="CF407" s="10"/>
      <c r="CI407" s="389"/>
      <c r="CJ407" s="389"/>
      <c r="CK407" s="68"/>
      <c r="CL407" s="70"/>
      <c r="CO407" s="10"/>
      <c r="CU407" s="10"/>
      <c r="DA407" s="10"/>
      <c r="DB407" s="70"/>
      <c r="DC407" s="70"/>
      <c r="DF407" s="68"/>
      <c r="DG407" s="70"/>
      <c r="DH407" s="68"/>
      <c r="DI407" s="386"/>
      <c r="DJ407" s="425"/>
      <c r="DL407" s="68"/>
      <c r="DM407" s="70"/>
      <c r="DQ407" s="68"/>
      <c r="DR407" s="70"/>
      <c r="DS407" s="338"/>
      <c r="DT407" s="338"/>
      <c r="DU407" s="338"/>
      <c r="DW407" s="338"/>
      <c r="DX407" s="338"/>
      <c r="DY407" s="338"/>
      <c r="EA407" s="338"/>
      <c r="EB407" s="338"/>
      <c r="EC407" s="338"/>
      <c r="EE407" s="338"/>
      <c r="EF407" s="338"/>
      <c r="EG407" s="338"/>
      <c r="EI407" s="336"/>
      <c r="EJ407" s="336"/>
      <c r="EK407" s="336"/>
      <c r="EL407" s="336"/>
      <c r="EM407" s="336"/>
      <c r="EN407" s="336"/>
      <c r="EO407" s="337"/>
      <c r="EP407" s="342"/>
      <c r="EQ407" s="336"/>
      <c r="ER407" s="342"/>
      <c r="ES407" s="336"/>
      <c r="ET407" s="342"/>
      <c r="EU407" s="336"/>
      <c r="EV407" s="342"/>
      <c r="EW407" s="336"/>
      <c r="EX407" s="342"/>
      <c r="EY407" s="342"/>
      <c r="EZ407" s="342"/>
      <c r="FA407" s="337"/>
      <c r="FE407" s="338"/>
      <c r="FH407" s="338"/>
      <c r="FI407" s="338"/>
      <c r="FJ407" s="338"/>
      <c r="FK407" s="338"/>
      <c r="FL407" s="338"/>
      <c r="FM407" s="337"/>
      <c r="FN407" s="336"/>
      <c r="FO407" s="336"/>
      <c r="FP407" s="336"/>
      <c r="FQ407" s="336"/>
      <c r="FR407" s="336"/>
      <c r="FS407" s="336"/>
      <c r="FT407" s="336"/>
      <c r="FU407" s="336"/>
      <c r="FV407" s="336"/>
      <c r="FW407" s="337"/>
      <c r="FX407" s="532"/>
      <c r="FY407" s="341"/>
      <c r="FZ407" s="341"/>
      <c r="GA407" s="336"/>
      <c r="GB407" s="341"/>
      <c r="GC407" s="341"/>
      <c r="GD407" s="341"/>
      <c r="GE407" s="336"/>
      <c r="GF407" s="336"/>
      <c r="GG407" s="336"/>
      <c r="GH407" s="336"/>
      <c r="GI407" s="336"/>
      <c r="GJ407" s="337"/>
      <c r="GM407" s="338"/>
      <c r="GN407" s="338"/>
      <c r="GO407" s="338"/>
      <c r="GS407" s="338"/>
      <c r="GT407" s="338"/>
      <c r="GU407" s="338"/>
      <c r="GY407" s="338"/>
      <c r="GZ407" s="338"/>
      <c r="HA407" s="338"/>
      <c r="HE407" s="338"/>
      <c r="HF407" s="338"/>
      <c r="HG407" s="338"/>
      <c r="HN407" s="68"/>
      <c r="HO407" s="68"/>
      <c r="HP407" s="68"/>
      <c r="HQ407" s="336"/>
      <c r="HR407" s="68"/>
      <c r="HS407" s="68"/>
      <c r="HT407" s="10"/>
      <c r="HW407" s="338"/>
      <c r="HX407" s="338"/>
      <c r="HY407" s="338"/>
      <c r="IC407" s="338"/>
      <c r="ID407" s="338"/>
      <c r="IE407" s="338"/>
      <c r="II407" s="338"/>
      <c r="IJ407" s="338"/>
      <c r="IK407" s="338"/>
      <c r="IO407" s="338"/>
      <c r="IP407" s="338"/>
      <c r="IQ407" s="338"/>
      <c r="IX407" s="68"/>
      <c r="IY407" s="68"/>
      <c r="IZ407" s="68"/>
      <c r="JA407" s="68"/>
      <c r="JB407" s="68"/>
      <c r="JC407" s="68"/>
      <c r="JD407" s="10"/>
      <c r="JG407" s="338"/>
      <c r="JH407" s="338"/>
      <c r="JI407" s="338"/>
      <c r="JM407" s="338"/>
      <c r="JN407" s="338"/>
      <c r="JQ407" s="338"/>
      <c r="JR407" s="338"/>
      <c r="JS407" s="338"/>
      <c r="JW407" s="358"/>
      <c r="JX407" s="336"/>
      <c r="JY407" s="336"/>
      <c r="JZ407" s="336"/>
      <c r="KA407" s="336"/>
      <c r="KB407" s="336"/>
      <c r="KC407" s="336"/>
      <c r="KD407" s="336"/>
      <c r="KE407" s="336"/>
      <c r="KF407" s="336"/>
      <c r="KG407" s="337"/>
      <c r="KH407" s="338"/>
      <c r="KI407" s="338"/>
      <c r="KJ407" s="338"/>
      <c r="KK407" s="338"/>
      <c r="KL407" s="338"/>
      <c r="KM407" s="338"/>
      <c r="KN407" s="338"/>
      <c r="KO407" s="338"/>
      <c r="KP407" s="338"/>
      <c r="KQ407" s="338"/>
      <c r="KR407" s="338"/>
      <c r="KS407" s="338"/>
      <c r="KT407" s="338"/>
      <c r="KU407" s="338"/>
      <c r="KV407" s="338"/>
      <c r="KW407" s="337"/>
      <c r="KX407" s="336"/>
      <c r="KY407" s="336"/>
      <c r="KZ407" s="336"/>
      <c r="LA407" s="336"/>
      <c r="LB407" s="336"/>
      <c r="LC407" s="336"/>
      <c r="LD407" s="336"/>
      <c r="LE407" s="336"/>
      <c r="LF407" s="336"/>
      <c r="LG407" s="336"/>
      <c r="LH407" s="336"/>
      <c r="LI407" s="336"/>
      <c r="LJ407" s="336"/>
      <c r="LK407" s="336"/>
      <c r="LL407" s="336"/>
      <c r="LM407" s="336"/>
      <c r="LN407" s="336"/>
      <c r="LO407" s="336"/>
      <c r="LP407" s="336"/>
      <c r="LQ407" s="337"/>
      <c r="MN407" s="10"/>
      <c r="OA407" s="10"/>
    </row>
    <row r="408" spans="1:391" s="370" customFormat="1" x14ac:dyDescent="0.25">
      <c r="A408" s="68"/>
      <c r="B408" s="10"/>
      <c r="C408" s="68"/>
      <c r="D408" s="68"/>
      <c r="E408" s="68"/>
      <c r="F408" s="68"/>
      <c r="G408" s="68"/>
      <c r="H408" s="68"/>
      <c r="I408" s="68"/>
      <c r="J408" s="68"/>
      <c r="K408" s="68"/>
      <c r="L408" s="68"/>
      <c r="M408" s="68"/>
      <c r="N408" s="68"/>
      <c r="O408" s="68"/>
      <c r="P408" s="68"/>
      <c r="Q408" s="68"/>
      <c r="R408" s="68"/>
      <c r="S408" s="68"/>
      <c r="T408" s="70"/>
      <c r="AC408" s="68"/>
      <c r="AD408" s="70"/>
      <c r="AM408" s="68"/>
      <c r="AN408" s="70"/>
      <c r="AU408" s="68"/>
      <c r="AV408" s="70"/>
      <c r="BB408" s="68"/>
      <c r="BC408" s="70"/>
      <c r="BD408" s="68"/>
      <c r="BE408" s="68"/>
      <c r="BF408" s="68"/>
      <c r="BG408" s="68"/>
      <c r="BH408" s="68"/>
      <c r="BI408" s="68"/>
      <c r="BJ408" s="70"/>
      <c r="BM408" s="68"/>
      <c r="BN408" s="70"/>
      <c r="BT408" s="68"/>
      <c r="BU408" s="70"/>
      <c r="BZ408" s="10"/>
      <c r="CF408" s="10"/>
      <c r="CI408" s="389"/>
      <c r="CJ408" s="389"/>
      <c r="CK408" s="68"/>
      <c r="CL408" s="70"/>
      <c r="CO408" s="10"/>
      <c r="CU408" s="10"/>
      <c r="DA408" s="10"/>
      <c r="DB408" s="70"/>
      <c r="DC408" s="70"/>
      <c r="DF408" s="68"/>
      <c r="DG408" s="70"/>
      <c r="DH408" s="68"/>
      <c r="DI408" s="386"/>
      <c r="DJ408" s="425"/>
      <c r="DL408" s="68"/>
      <c r="DM408" s="70"/>
      <c r="DQ408" s="68"/>
      <c r="DR408" s="70"/>
      <c r="DS408" s="338"/>
      <c r="DT408" s="338"/>
      <c r="DU408" s="338"/>
      <c r="DW408" s="338"/>
      <c r="DX408" s="338"/>
      <c r="DY408" s="338"/>
      <c r="EA408" s="338"/>
      <c r="EB408" s="338"/>
      <c r="EC408" s="338"/>
      <c r="EE408" s="338"/>
      <c r="EF408" s="338"/>
      <c r="EG408" s="338"/>
      <c r="EI408" s="336"/>
      <c r="EJ408" s="336"/>
      <c r="EK408" s="336"/>
      <c r="EL408" s="336"/>
      <c r="EM408" s="336"/>
      <c r="EN408" s="336"/>
      <c r="EO408" s="337"/>
      <c r="EP408" s="342"/>
      <c r="EQ408" s="336"/>
      <c r="ER408" s="342"/>
      <c r="ES408" s="336"/>
      <c r="ET408" s="342"/>
      <c r="EU408" s="336"/>
      <c r="EV408" s="342"/>
      <c r="EW408" s="336"/>
      <c r="EX408" s="342"/>
      <c r="EY408" s="342"/>
      <c r="EZ408" s="342"/>
      <c r="FA408" s="337"/>
      <c r="FE408" s="338"/>
      <c r="FH408" s="338"/>
      <c r="FI408" s="338"/>
      <c r="FJ408" s="338"/>
      <c r="FK408" s="338"/>
      <c r="FL408" s="338"/>
      <c r="FM408" s="337"/>
      <c r="FN408" s="336"/>
      <c r="FO408" s="336"/>
      <c r="FP408" s="336"/>
      <c r="FQ408" s="336"/>
      <c r="FR408" s="336"/>
      <c r="FS408" s="336"/>
      <c r="FT408" s="336"/>
      <c r="FU408" s="336"/>
      <c r="FV408" s="336"/>
      <c r="FW408" s="337"/>
      <c r="FX408" s="532"/>
      <c r="FY408" s="341"/>
      <c r="FZ408" s="341"/>
      <c r="GA408" s="336"/>
      <c r="GB408" s="341"/>
      <c r="GC408" s="341"/>
      <c r="GD408" s="341"/>
      <c r="GE408" s="336"/>
      <c r="GF408" s="336"/>
      <c r="GG408" s="336"/>
      <c r="GH408" s="336"/>
      <c r="GI408" s="336"/>
      <c r="GJ408" s="337"/>
      <c r="GM408" s="338"/>
      <c r="GN408" s="338"/>
      <c r="GO408" s="338"/>
      <c r="GS408" s="338"/>
      <c r="GT408" s="338"/>
      <c r="GU408" s="338"/>
      <c r="GY408" s="338"/>
      <c r="GZ408" s="338"/>
      <c r="HA408" s="338"/>
      <c r="HE408" s="338"/>
      <c r="HF408" s="338"/>
      <c r="HG408" s="338"/>
      <c r="HN408" s="68"/>
      <c r="HO408" s="68"/>
      <c r="HP408" s="68"/>
      <c r="HQ408" s="336"/>
      <c r="HR408" s="68"/>
      <c r="HS408" s="68"/>
      <c r="HT408" s="10"/>
      <c r="HW408" s="338"/>
      <c r="HX408" s="338"/>
      <c r="HY408" s="338"/>
      <c r="IC408" s="338"/>
      <c r="ID408" s="338"/>
      <c r="IE408" s="338"/>
      <c r="II408" s="338"/>
      <c r="IJ408" s="338"/>
      <c r="IK408" s="338"/>
      <c r="IO408" s="338"/>
      <c r="IP408" s="338"/>
      <c r="IQ408" s="338"/>
      <c r="IX408" s="68"/>
      <c r="IY408" s="68"/>
      <c r="IZ408" s="68"/>
      <c r="JA408" s="68"/>
      <c r="JB408" s="68"/>
      <c r="JC408" s="68"/>
      <c r="JD408" s="10"/>
      <c r="JG408" s="338"/>
      <c r="JH408" s="338"/>
      <c r="JI408" s="338"/>
      <c r="JM408" s="338"/>
      <c r="JN408" s="338"/>
      <c r="JQ408" s="338"/>
      <c r="JR408" s="338"/>
      <c r="JS408" s="338"/>
      <c r="JW408" s="358"/>
      <c r="JX408" s="336"/>
      <c r="JY408" s="336"/>
      <c r="JZ408" s="336"/>
      <c r="KA408" s="336"/>
      <c r="KB408" s="336"/>
      <c r="KC408" s="336"/>
      <c r="KD408" s="336"/>
      <c r="KE408" s="336"/>
      <c r="KF408" s="336"/>
      <c r="KG408" s="337"/>
      <c r="KH408" s="338"/>
      <c r="KI408" s="338"/>
      <c r="KJ408" s="338"/>
      <c r="KK408" s="338"/>
      <c r="KL408" s="338"/>
      <c r="KM408" s="338"/>
      <c r="KN408" s="338"/>
      <c r="KO408" s="338"/>
      <c r="KP408" s="338"/>
      <c r="KQ408" s="338"/>
      <c r="KR408" s="338"/>
      <c r="KS408" s="338"/>
      <c r="KT408" s="338"/>
      <c r="KU408" s="338"/>
      <c r="KV408" s="338"/>
      <c r="KW408" s="337"/>
      <c r="KX408" s="336"/>
      <c r="KY408" s="336"/>
      <c r="KZ408" s="336"/>
      <c r="LA408" s="336"/>
      <c r="LB408" s="336"/>
      <c r="LC408" s="336"/>
      <c r="LD408" s="336"/>
      <c r="LE408" s="336"/>
      <c r="LF408" s="336"/>
      <c r="LG408" s="336"/>
      <c r="LH408" s="336"/>
      <c r="LI408" s="336"/>
      <c r="LJ408" s="336"/>
      <c r="LK408" s="336"/>
      <c r="LL408" s="336"/>
      <c r="LM408" s="336"/>
      <c r="LN408" s="336"/>
      <c r="LO408" s="336"/>
      <c r="LP408" s="336"/>
      <c r="LQ408" s="337"/>
      <c r="MN408" s="10"/>
      <c r="OA408" s="10"/>
    </row>
    <row r="409" spans="1:391" s="370" customFormat="1" x14ac:dyDescent="0.25">
      <c r="A409" s="68"/>
      <c r="B409" s="10"/>
      <c r="C409" s="68"/>
      <c r="D409" s="68"/>
      <c r="E409" s="68"/>
      <c r="F409" s="68"/>
      <c r="G409" s="68"/>
      <c r="H409" s="68"/>
      <c r="I409" s="68"/>
      <c r="J409" s="68"/>
      <c r="K409" s="68"/>
      <c r="L409" s="68"/>
      <c r="M409" s="68"/>
      <c r="N409" s="68"/>
      <c r="O409" s="68"/>
      <c r="P409" s="68"/>
      <c r="Q409" s="68"/>
      <c r="R409" s="68"/>
      <c r="S409" s="68"/>
      <c r="T409" s="70"/>
      <c r="AC409" s="68"/>
      <c r="AD409" s="70"/>
      <c r="AM409" s="68"/>
      <c r="AN409" s="70"/>
      <c r="AU409" s="68"/>
      <c r="AV409" s="70"/>
      <c r="BB409" s="68"/>
      <c r="BC409" s="70"/>
      <c r="BD409" s="68"/>
      <c r="BE409" s="68"/>
      <c r="BF409" s="68"/>
      <c r="BG409" s="68"/>
      <c r="BH409" s="68"/>
      <c r="BI409" s="68"/>
      <c r="BJ409" s="70"/>
      <c r="BM409" s="68"/>
      <c r="BN409" s="70"/>
      <c r="BT409" s="68"/>
      <c r="BU409" s="70"/>
      <c r="BZ409" s="10"/>
      <c r="CF409" s="10"/>
      <c r="CI409" s="389"/>
      <c r="CJ409" s="389"/>
      <c r="CK409" s="68"/>
      <c r="CL409" s="70"/>
      <c r="CO409" s="10"/>
      <c r="CU409" s="10"/>
      <c r="DA409" s="10"/>
      <c r="DB409" s="70"/>
      <c r="DC409" s="70"/>
      <c r="DF409" s="68"/>
      <c r="DG409" s="70"/>
      <c r="DH409" s="68"/>
      <c r="DI409" s="386"/>
      <c r="DJ409" s="425"/>
      <c r="DL409" s="68"/>
      <c r="DM409" s="70"/>
      <c r="DQ409" s="68"/>
      <c r="DR409" s="70"/>
      <c r="DS409" s="338"/>
      <c r="DT409" s="338"/>
      <c r="DU409" s="338"/>
      <c r="DW409" s="338"/>
      <c r="DX409" s="338"/>
      <c r="DY409" s="338"/>
      <c r="EA409" s="338"/>
      <c r="EB409" s="338"/>
      <c r="EC409" s="338"/>
      <c r="EE409" s="338"/>
      <c r="EF409" s="338"/>
      <c r="EG409" s="338"/>
      <c r="EI409" s="336"/>
      <c r="EJ409" s="336"/>
      <c r="EK409" s="336"/>
      <c r="EL409" s="336"/>
      <c r="EM409" s="336"/>
      <c r="EN409" s="336"/>
      <c r="EO409" s="337"/>
      <c r="EP409" s="342"/>
      <c r="EQ409" s="336"/>
      <c r="ER409" s="342"/>
      <c r="ES409" s="336"/>
      <c r="ET409" s="342"/>
      <c r="EU409" s="336"/>
      <c r="EV409" s="342"/>
      <c r="EW409" s="336"/>
      <c r="EX409" s="342"/>
      <c r="EY409" s="342"/>
      <c r="EZ409" s="342"/>
      <c r="FA409" s="337"/>
      <c r="FE409" s="338"/>
      <c r="FH409" s="338"/>
      <c r="FI409" s="338"/>
      <c r="FJ409" s="338"/>
      <c r="FK409" s="338"/>
      <c r="FL409" s="338"/>
      <c r="FM409" s="337"/>
      <c r="FN409" s="336"/>
      <c r="FO409" s="336"/>
      <c r="FP409" s="336"/>
      <c r="FQ409" s="336"/>
      <c r="FR409" s="336"/>
      <c r="FS409" s="336"/>
      <c r="FT409" s="336"/>
      <c r="FU409" s="336"/>
      <c r="FV409" s="336"/>
      <c r="FW409" s="337"/>
      <c r="FX409" s="532"/>
      <c r="FY409" s="341"/>
      <c r="FZ409" s="341"/>
      <c r="GA409" s="336"/>
      <c r="GB409" s="341"/>
      <c r="GC409" s="341"/>
      <c r="GD409" s="341"/>
      <c r="GE409" s="336"/>
      <c r="GF409" s="336"/>
      <c r="GG409" s="336"/>
      <c r="GH409" s="336"/>
      <c r="GI409" s="336"/>
      <c r="GJ409" s="337"/>
      <c r="GM409" s="338"/>
      <c r="GN409" s="338"/>
      <c r="GO409" s="338"/>
      <c r="GS409" s="338"/>
      <c r="GT409" s="338"/>
      <c r="GU409" s="338"/>
      <c r="GY409" s="338"/>
      <c r="GZ409" s="338"/>
      <c r="HA409" s="338"/>
      <c r="HE409" s="338"/>
      <c r="HF409" s="338"/>
      <c r="HG409" s="338"/>
      <c r="HN409" s="68"/>
      <c r="HO409" s="68"/>
      <c r="HP409" s="68"/>
      <c r="HQ409" s="336"/>
      <c r="HR409" s="68"/>
      <c r="HS409" s="68"/>
      <c r="HT409" s="10"/>
      <c r="HW409" s="338"/>
      <c r="HX409" s="338"/>
      <c r="HY409" s="338"/>
      <c r="IC409" s="338"/>
      <c r="ID409" s="338"/>
      <c r="IE409" s="338"/>
      <c r="II409" s="338"/>
      <c r="IJ409" s="338"/>
      <c r="IK409" s="338"/>
      <c r="IO409" s="338"/>
      <c r="IP409" s="338"/>
      <c r="IQ409" s="338"/>
      <c r="IX409" s="68"/>
      <c r="IY409" s="68"/>
      <c r="IZ409" s="68"/>
      <c r="JA409" s="68"/>
      <c r="JB409" s="68"/>
      <c r="JC409" s="68"/>
      <c r="JD409" s="10"/>
      <c r="JG409" s="338"/>
      <c r="JH409" s="338"/>
      <c r="JI409" s="338"/>
      <c r="JM409" s="338"/>
      <c r="JN409" s="338"/>
      <c r="JQ409" s="338"/>
      <c r="JR409" s="338"/>
      <c r="JS409" s="338"/>
      <c r="JW409" s="358"/>
      <c r="JX409" s="336"/>
      <c r="JY409" s="336"/>
      <c r="JZ409" s="336"/>
      <c r="KA409" s="336"/>
      <c r="KB409" s="336"/>
      <c r="KC409" s="336"/>
      <c r="KD409" s="336"/>
      <c r="KE409" s="336"/>
      <c r="KF409" s="336"/>
      <c r="KG409" s="337"/>
      <c r="KH409" s="338"/>
      <c r="KI409" s="338"/>
      <c r="KJ409" s="338"/>
      <c r="KK409" s="338"/>
      <c r="KL409" s="338"/>
      <c r="KM409" s="338"/>
      <c r="KN409" s="338"/>
      <c r="KO409" s="338"/>
      <c r="KP409" s="338"/>
      <c r="KQ409" s="338"/>
      <c r="KR409" s="338"/>
      <c r="KS409" s="338"/>
      <c r="KT409" s="338"/>
      <c r="KU409" s="338"/>
      <c r="KV409" s="338"/>
      <c r="KW409" s="337"/>
      <c r="KX409" s="336"/>
      <c r="KY409" s="336"/>
      <c r="KZ409" s="336"/>
      <c r="LA409" s="336"/>
      <c r="LB409" s="336"/>
      <c r="LC409" s="336"/>
      <c r="LD409" s="336"/>
      <c r="LE409" s="336"/>
      <c r="LF409" s="336"/>
      <c r="LG409" s="336"/>
      <c r="LH409" s="336"/>
      <c r="LI409" s="336"/>
      <c r="LJ409" s="336"/>
      <c r="LK409" s="336"/>
      <c r="LL409" s="336"/>
      <c r="LM409" s="336"/>
      <c r="LN409" s="336"/>
      <c r="LO409" s="336"/>
      <c r="LP409" s="336"/>
      <c r="LQ409" s="337"/>
      <c r="MN409" s="10"/>
      <c r="OA409" s="10"/>
    </row>
    <row r="410" spans="1:391" s="370" customFormat="1" x14ac:dyDescent="0.25">
      <c r="A410" s="68"/>
      <c r="B410" s="10"/>
      <c r="C410" s="68"/>
      <c r="D410" s="68"/>
      <c r="E410" s="68"/>
      <c r="F410" s="68"/>
      <c r="G410" s="68"/>
      <c r="H410" s="68"/>
      <c r="I410" s="68"/>
      <c r="J410" s="68"/>
      <c r="K410" s="68"/>
      <c r="L410" s="68"/>
      <c r="M410" s="68"/>
      <c r="N410" s="68"/>
      <c r="O410" s="68"/>
      <c r="P410" s="68"/>
      <c r="Q410" s="68"/>
      <c r="R410" s="68"/>
      <c r="S410" s="68"/>
      <c r="T410" s="70"/>
      <c r="AC410" s="68"/>
      <c r="AD410" s="70"/>
      <c r="AM410" s="68"/>
      <c r="AN410" s="70"/>
      <c r="AU410" s="68"/>
      <c r="AV410" s="70"/>
      <c r="BB410" s="68"/>
      <c r="BC410" s="70"/>
      <c r="BD410" s="68"/>
      <c r="BE410" s="68"/>
      <c r="BF410" s="68"/>
      <c r="BG410" s="68"/>
      <c r="BH410" s="68"/>
      <c r="BI410" s="68"/>
      <c r="BJ410" s="70"/>
      <c r="BM410" s="68"/>
      <c r="BN410" s="70"/>
      <c r="BT410" s="68"/>
      <c r="BU410" s="70"/>
      <c r="BZ410" s="10"/>
      <c r="CF410" s="10"/>
      <c r="CI410" s="389"/>
      <c r="CJ410" s="389"/>
      <c r="CK410" s="68"/>
      <c r="CL410" s="70"/>
      <c r="CO410" s="10"/>
      <c r="CU410" s="10"/>
      <c r="DA410" s="10"/>
      <c r="DB410" s="70"/>
      <c r="DC410" s="70"/>
      <c r="DF410" s="68"/>
      <c r="DG410" s="70"/>
      <c r="DH410" s="68"/>
      <c r="DI410" s="386"/>
      <c r="DJ410" s="425"/>
      <c r="DL410" s="68"/>
      <c r="DM410" s="70"/>
      <c r="DQ410" s="68"/>
      <c r="DR410" s="70"/>
      <c r="DS410" s="338"/>
      <c r="DT410" s="338"/>
      <c r="DU410" s="338"/>
      <c r="DW410" s="338"/>
      <c r="DX410" s="338"/>
      <c r="DY410" s="338"/>
      <c r="EA410" s="338"/>
      <c r="EB410" s="338"/>
      <c r="EC410" s="338"/>
      <c r="EE410" s="338"/>
      <c r="EF410" s="338"/>
      <c r="EG410" s="338"/>
      <c r="EI410" s="336"/>
      <c r="EJ410" s="336"/>
      <c r="EK410" s="336"/>
      <c r="EL410" s="336"/>
      <c r="EM410" s="336"/>
      <c r="EN410" s="336"/>
      <c r="EO410" s="337"/>
      <c r="EP410" s="342"/>
      <c r="EQ410" s="336"/>
      <c r="ER410" s="342"/>
      <c r="ES410" s="336"/>
      <c r="ET410" s="342"/>
      <c r="EU410" s="336"/>
      <c r="EV410" s="342"/>
      <c r="EW410" s="336"/>
      <c r="EX410" s="342"/>
      <c r="EY410" s="342"/>
      <c r="EZ410" s="342"/>
      <c r="FA410" s="337"/>
      <c r="FE410" s="338"/>
      <c r="FH410" s="338"/>
      <c r="FI410" s="338"/>
      <c r="FJ410" s="338"/>
      <c r="FK410" s="338"/>
      <c r="FL410" s="338"/>
      <c r="FM410" s="337"/>
      <c r="FN410" s="336"/>
      <c r="FO410" s="336"/>
      <c r="FP410" s="336"/>
      <c r="FQ410" s="336"/>
      <c r="FR410" s="336"/>
      <c r="FS410" s="336"/>
      <c r="FT410" s="336"/>
      <c r="FU410" s="336"/>
      <c r="FV410" s="336"/>
      <c r="FW410" s="337"/>
      <c r="FX410" s="532"/>
      <c r="FY410" s="341"/>
      <c r="FZ410" s="341"/>
      <c r="GA410" s="336"/>
      <c r="GB410" s="341"/>
      <c r="GC410" s="341"/>
      <c r="GD410" s="341"/>
      <c r="GE410" s="336"/>
      <c r="GF410" s="336"/>
      <c r="GG410" s="336"/>
      <c r="GH410" s="336"/>
      <c r="GI410" s="336"/>
      <c r="GJ410" s="337"/>
      <c r="GM410" s="338"/>
      <c r="GN410" s="338"/>
      <c r="GO410" s="338"/>
      <c r="GS410" s="338"/>
      <c r="GT410" s="338"/>
      <c r="GU410" s="338"/>
      <c r="GY410" s="338"/>
      <c r="GZ410" s="338"/>
      <c r="HA410" s="338"/>
      <c r="HE410" s="338"/>
      <c r="HF410" s="338"/>
      <c r="HG410" s="338"/>
      <c r="HN410" s="68"/>
      <c r="HO410" s="68"/>
      <c r="HP410" s="68"/>
      <c r="HQ410" s="336"/>
      <c r="HR410" s="68"/>
      <c r="HS410" s="68"/>
      <c r="HT410" s="10"/>
      <c r="HW410" s="338"/>
      <c r="HX410" s="338"/>
      <c r="HY410" s="338"/>
      <c r="IC410" s="338"/>
      <c r="ID410" s="338"/>
      <c r="IE410" s="338"/>
      <c r="II410" s="338"/>
      <c r="IJ410" s="338"/>
      <c r="IK410" s="338"/>
      <c r="IO410" s="338"/>
      <c r="IP410" s="338"/>
      <c r="IQ410" s="338"/>
      <c r="IX410" s="68"/>
      <c r="IY410" s="68"/>
      <c r="IZ410" s="68"/>
      <c r="JA410" s="68"/>
      <c r="JB410" s="68"/>
      <c r="JC410" s="68"/>
      <c r="JD410" s="10"/>
      <c r="JG410" s="338"/>
      <c r="JH410" s="338"/>
      <c r="JI410" s="338"/>
      <c r="JM410" s="338"/>
      <c r="JN410" s="338"/>
      <c r="JQ410" s="338"/>
      <c r="JR410" s="338"/>
      <c r="JS410" s="338"/>
      <c r="JW410" s="358"/>
      <c r="JX410" s="336"/>
      <c r="JY410" s="336"/>
      <c r="JZ410" s="336"/>
      <c r="KA410" s="336"/>
      <c r="KB410" s="336"/>
      <c r="KC410" s="336"/>
      <c r="KD410" s="336"/>
      <c r="KE410" s="336"/>
      <c r="KF410" s="336"/>
      <c r="KG410" s="337"/>
      <c r="KH410" s="338"/>
      <c r="KI410" s="338"/>
      <c r="KJ410" s="338"/>
      <c r="KK410" s="338"/>
      <c r="KL410" s="338"/>
      <c r="KM410" s="338"/>
      <c r="KN410" s="338"/>
      <c r="KO410" s="338"/>
      <c r="KP410" s="338"/>
      <c r="KQ410" s="338"/>
      <c r="KR410" s="338"/>
      <c r="KS410" s="338"/>
      <c r="KT410" s="338"/>
      <c r="KU410" s="338"/>
      <c r="KV410" s="338"/>
      <c r="KW410" s="337"/>
      <c r="KX410" s="336"/>
      <c r="KY410" s="336"/>
      <c r="KZ410" s="336"/>
      <c r="LA410" s="336"/>
      <c r="LB410" s="336"/>
      <c r="LC410" s="336"/>
      <c r="LD410" s="336"/>
      <c r="LE410" s="336"/>
      <c r="LF410" s="336"/>
      <c r="LG410" s="336"/>
      <c r="LH410" s="336"/>
      <c r="LI410" s="336"/>
      <c r="LJ410" s="336"/>
      <c r="LK410" s="336"/>
      <c r="LL410" s="336"/>
      <c r="LM410" s="336"/>
      <c r="LN410" s="336"/>
      <c r="LO410" s="336"/>
      <c r="LP410" s="336"/>
      <c r="LQ410" s="337"/>
      <c r="MN410" s="10"/>
      <c r="OA410" s="10"/>
    </row>
    <row r="411" spans="1:391" s="370" customFormat="1" x14ac:dyDescent="0.25">
      <c r="A411" s="68"/>
      <c r="B411" s="10"/>
      <c r="C411" s="68"/>
      <c r="D411" s="68"/>
      <c r="E411" s="68"/>
      <c r="F411" s="68"/>
      <c r="G411" s="68"/>
      <c r="H411" s="68"/>
      <c r="I411" s="68"/>
      <c r="J411" s="68"/>
      <c r="K411" s="68"/>
      <c r="L411" s="68"/>
      <c r="M411" s="68"/>
      <c r="N411" s="68"/>
      <c r="O411" s="68"/>
      <c r="P411" s="68"/>
      <c r="Q411" s="68"/>
      <c r="R411" s="68"/>
      <c r="S411" s="68"/>
      <c r="T411" s="70"/>
      <c r="AC411" s="68"/>
      <c r="AD411" s="70"/>
      <c r="AM411" s="68"/>
      <c r="AN411" s="70"/>
      <c r="AU411" s="68"/>
      <c r="AV411" s="70"/>
      <c r="BB411" s="68"/>
      <c r="BC411" s="70"/>
      <c r="BD411" s="68"/>
      <c r="BE411" s="68"/>
      <c r="BF411" s="68"/>
      <c r="BG411" s="68"/>
      <c r="BH411" s="68"/>
      <c r="BI411" s="68"/>
      <c r="BJ411" s="70"/>
      <c r="BM411" s="68"/>
      <c r="BN411" s="70"/>
      <c r="BT411" s="68"/>
      <c r="BU411" s="70"/>
      <c r="BZ411" s="10"/>
      <c r="CF411" s="10"/>
      <c r="CI411" s="389"/>
      <c r="CJ411" s="389"/>
      <c r="CK411" s="68"/>
      <c r="CL411" s="70"/>
      <c r="CO411" s="10"/>
      <c r="CU411" s="10"/>
      <c r="DA411" s="10"/>
      <c r="DB411" s="70"/>
      <c r="DC411" s="70"/>
      <c r="DF411" s="68"/>
      <c r="DG411" s="70"/>
      <c r="DH411" s="68"/>
      <c r="DI411" s="386"/>
      <c r="DJ411" s="425"/>
      <c r="DL411" s="68"/>
      <c r="DM411" s="70"/>
      <c r="DQ411" s="68"/>
      <c r="DR411" s="70"/>
      <c r="DS411" s="338"/>
      <c r="DT411" s="338"/>
      <c r="DU411" s="338"/>
      <c r="DW411" s="338"/>
      <c r="DX411" s="338"/>
      <c r="DY411" s="338"/>
      <c r="EA411" s="338"/>
      <c r="EB411" s="338"/>
      <c r="EC411" s="338"/>
      <c r="EE411" s="338"/>
      <c r="EF411" s="338"/>
      <c r="EG411" s="338"/>
      <c r="EI411" s="336"/>
      <c r="EJ411" s="336"/>
      <c r="EK411" s="336"/>
      <c r="EL411" s="336"/>
      <c r="EM411" s="336"/>
      <c r="EN411" s="336"/>
      <c r="EO411" s="337"/>
      <c r="EP411" s="342"/>
      <c r="EQ411" s="336"/>
      <c r="ER411" s="342"/>
      <c r="ES411" s="336"/>
      <c r="ET411" s="342"/>
      <c r="EU411" s="336"/>
      <c r="EV411" s="342"/>
      <c r="EW411" s="336"/>
      <c r="EX411" s="342"/>
      <c r="EY411" s="342"/>
      <c r="EZ411" s="342"/>
      <c r="FA411" s="337"/>
      <c r="FE411" s="338"/>
      <c r="FH411" s="338"/>
      <c r="FI411" s="338"/>
      <c r="FJ411" s="338"/>
      <c r="FK411" s="338"/>
      <c r="FL411" s="338"/>
      <c r="FM411" s="337"/>
      <c r="FN411" s="336"/>
      <c r="FO411" s="336"/>
      <c r="FP411" s="336"/>
      <c r="FQ411" s="336"/>
      <c r="FR411" s="336"/>
      <c r="FS411" s="336"/>
      <c r="FT411" s="336"/>
      <c r="FU411" s="336"/>
      <c r="FV411" s="336"/>
      <c r="FW411" s="337"/>
      <c r="FX411" s="532"/>
      <c r="FY411" s="341"/>
      <c r="FZ411" s="341"/>
      <c r="GA411" s="336"/>
      <c r="GB411" s="341"/>
      <c r="GC411" s="341"/>
      <c r="GD411" s="341"/>
      <c r="GE411" s="336"/>
      <c r="GF411" s="336"/>
      <c r="GG411" s="336"/>
      <c r="GH411" s="336"/>
      <c r="GI411" s="336"/>
      <c r="GJ411" s="337"/>
      <c r="GM411" s="338"/>
      <c r="GN411" s="338"/>
      <c r="GO411" s="338"/>
      <c r="GS411" s="338"/>
      <c r="GT411" s="338"/>
      <c r="GU411" s="338"/>
      <c r="GY411" s="338"/>
      <c r="GZ411" s="338"/>
      <c r="HA411" s="338"/>
      <c r="HE411" s="338"/>
      <c r="HF411" s="338"/>
      <c r="HG411" s="338"/>
      <c r="HN411" s="68"/>
      <c r="HO411" s="68"/>
      <c r="HP411" s="68"/>
      <c r="HQ411" s="336"/>
      <c r="HR411" s="68"/>
      <c r="HS411" s="68"/>
      <c r="HT411" s="10"/>
      <c r="HW411" s="338"/>
      <c r="HX411" s="338"/>
      <c r="HY411" s="338"/>
      <c r="IC411" s="338"/>
      <c r="ID411" s="338"/>
      <c r="IE411" s="338"/>
      <c r="II411" s="338"/>
      <c r="IJ411" s="338"/>
      <c r="IK411" s="338"/>
      <c r="IO411" s="338"/>
      <c r="IP411" s="338"/>
      <c r="IQ411" s="338"/>
      <c r="IX411" s="68"/>
      <c r="IY411" s="68"/>
      <c r="IZ411" s="68"/>
      <c r="JA411" s="68"/>
      <c r="JB411" s="68"/>
      <c r="JC411" s="68"/>
      <c r="JD411" s="10"/>
      <c r="JG411" s="338"/>
      <c r="JH411" s="338"/>
      <c r="JI411" s="338"/>
      <c r="JM411" s="338"/>
      <c r="JN411" s="338"/>
      <c r="JQ411" s="338"/>
      <c r="JR411" s="338"/>
      <c r="JS411" s="338"/>
      <c r="JW411" s="358"/>
      <c r="JX411" s="336"/>
      <c r="JY411" s="336"/>
      <c r="JZ411" s="336"/>
      <c r="KA411" s="336"/>
      <c r="KB411" s="336"/>
      <c r="KC411" s="336"/>
      <c r="KD411" s="336"/>
      <c r="KE411" s="336"/>
      <c r="KF411" s="336"/>
      <c r="KG411" s="337"/>
      <c r="KH411" s="338"/>
      <c r="KI411" s="338"/>
      <c r="KJ411" s="338"/>
      <c r="KK411" s="338"/>
      <c r="KL411" s="338"/>
      <c r="KM411" s="338"/>
      <c r="KN411" s="338"/>
      <c r="KO411" s="338"/>
      <c r="KP411" s="338"/>
      <c r="KQ411" s="338"/>
      <c r="KR411" s="338"/>
      <c r="KS411" s="338"/>
      <c r="KT411" s="338"/>
      <c r="KU411" s="338"/>
      <c r="KV411" s="338"/>
      <c r="KW411" s="337"/>
      <c r="KX411" s="336"/>
      <c r="KY411" s="336"/>
      <c r="KZ411" s="336"/>
      <c r="LA411" s="336"/>
      <c r="LB411" s="336"/>
      <c r="LC411" s="336"/>
      <c r="LD411" s="336"/>
      <c r="LE411" s="336"/>
      <c r="LF411" s="336"/>
      <c r="LG411" s="336"/>
      <c r="LH411" s="336"/>
      <c r="LI411" s="336"/>
      <c r="LJ411" s="336"/>
      <c r="LK411" s="336"/>
      <c r="LL411" s="336"/>
      <c r="LM411" s="336"/>
      <c r="LN411" s="336"/>
      <c r="LO411" s="336"/>
      <c r="LP411" s="336"/>
      <c r="LQ411" s="337"/>
      <c r="MN411" s="10"/>
      <c r="OA411" s="10"/>
    </row>
    <row r="412" spans="1:391" s="370" customFormat="1" x14ac:dyDescent="0.25">
      <c r="A412" s="68"/>
      <c r="B412" s="10"/>
      <c r="C412" s="68"/>
      <c r="D412" s="68"/>
      <c r="E412" s="68"/>
      <c r="F412" s="68"/>
      <c r="G412" s="68"/>
      <c r="H412" s="68"/>
      <c r="I412" s="68"/>
      <c r="J412" s="68"/>
      <c r="K412" s="68"/>
      <c r="L412" s="68"/>
      <c r="M412" s="68"/>
      <c r="N412" s="68"/>
      <c r="O412" s="68"/>
      <c r="P412" s="68"/>
      <c r="Q412" s="68"/>
      <c r="R412" s="68"/>
      <c r="S412" s="68"/>
      <c r="T412" s="70"/>
      <c r="AC412" s="68"/>
      <c r="AD412" s="70"/>
      <c r="AM412" s="68"/>
      <c r="AN412" s="70"/>
      <c r="AU412" s="68"/>
      <c r="AV412" s="70"/>
      <c r="BB412" s="68"/>
      <c r="BC412" s="70"/>
      <c r="BD412" s="68"/>
      <c r="BE412" s="68"/>
      <c r="BF412" s="68"/>
      <c r="BG412" s="68"/>
      <c r="BH412" s="68"/>
      <c r="BI412" s="68"/>
      <c r="BJ412" s="70"/>
      <c r="BM412" s="68"/>
      <c r="BN412" s="70"/>
      <c r="BT412" s="68"/>
      <c r="BU412" s="70"/>
      <c r="BZ412" s="10"/>
      <c r="CF412" s="10"/>
      <c r="CI412" s="389"/>
      <c r="CJ412" s="389"/>
      <c r="CK412" s="68"/>
      <c r="CL412" s="70"/>
      <c r="CO412" s="10"/>
      <c r="CU412" s="10"/>
      <c r="DA412" s="10"/>
      <c r="DB412" s="70"/>
      <c r="DC412" s="70"/>
      <c r="DF412" s="68"/>
      <c r="DG412" s="70"/>
      <c r="DH412" s="68"/>
      <c r="DI412" s="386"/>
      <c r="DJ412" s="425"/>
      <c r="DL412" s="68"/>
      <c r="DM412" s="70"/>
      <c r="DQ412" s="68"/>
      <c r="DR412" s="70"/>
      <c r="DS412" s="338"/>
      <c r="DT412" s="338"/>
      <c r="DU412" s="338"/>
      <c r="DW412" s="338"/>
      <c r="DX412" s="338"/>
      <c r="DY412" s="338"/>
      <c r="EA412" s="338"/>
      <c r="EB412" s="338"/>
      <c r="EC412" s="338"/>
      <c r="EE412" s="338"/>
      <c r="EF412" s="338"/>
      <c r="EG412" s="338"/>
      <c r="EI412" s="336"/>
      <c r="EJ412" s="336"/>
      <c r="EK412" s="336"/>
      <c r="EL412" s="336"/>
      <c r="EM412" s="336"/>
      <c r="EN412" s="336"/>
      <c r="EO412" s="337"/>
      <c r="EP412" s="342"/>
      <c r="EQ412" s="336"/>
      <c r="ER412" s="342"/>
      <c r="ES412" s="336"/>
      <c r="ET412" s="342"/>
      <c r="EU412" s="336"/>
      <c r="EV412" s="342"/>
      <c r="EW412" s="336"/>
      <c r="EX412" s="342"/>
      <c r="EY412" s="342"/>
      <c r="EZ412" s="342"/>
      <c r="FA412" s="337"/>
      <c r="FE412" s="338"/>
      <c r="FH412" s="338"/>
      <c r="FI412" s="338"/>
      <c r="FJ412" s="338"/>
      <c r="FK412" s="338"/>
      <c r="FL412" s="338"/>
      <c r="FM412" s="337"/>
      <c r="FN412" s="336"/>
      <c r="FO412" s="336"/>
      <c r="FP412" s="336"/>
      <c r="FQ412" s="336"/>
      <c r="FR412" s="336"/>
      <c r="FS412" s="336"/>
      <c r="FT412" s="336"/>
      <c r="FU412" s="336"/>
      <c r="FV412" s="336"/>
      <c r="FW412" s="337"/>
      <c r="FX412" s="532"/>
      <c r="FY412" s="341"/>
      <c r="FZ412" s="341"/>
      <c r="GA412" s="336"/>
      <c r="GB412" s="341"/>
      <c r="GC412" s="341"/>
      <c r="GD412" s="341"/>
      <c r="GE412" s="336"/>
      <c r="GF412" s="336"/>
      <c r="GG412" s="336"/>
      <c r="GH412" s="336"/>
      <c r="GI412" s="336"/>
      <c r="GJ412" s="337"/>
      <c r="GM412" s="338"/>
      <c r="GN412" s="338"/>
      <c r="GO412" s="338"/>
      <c r="GS412" s="338"/>
      <c r="GT412" s="338"/>
      <c r="GU412" s="338"/>
      <c r="GY412" s="338"/>
      <c r="GZ412" s="338"/>
      <c r="HA412" s="338"/>
      <c r="HE412" s="338"/>
      <c r="HF412" s="338"/>
      <c r="HG412" s="338"/>
      <c r="HN412" s="68"/>
      <c r="HO412" s="68"/>
      <c r="HP412" s="68"/>
      <c r="HQ412" s="336"/>
      <c r="HR412" s="68"/>
      <c r="HS412" s="68"/>
      <c r="HT412" s="10"/>
      <c r="HW412" s="338"/>
      <c r="HX412" s="338"/>
      <c r="HY412" s="338"/>
      <c r="IC412" s="338"/>
      <c r="ID412" s="338"/>
      <c r="IE412" s="338"/>
      <c r="II412" s="338"/>
      <c r="IJ412" s="338"/>
      <c r="IK412" s="338"/>
      <c r="IO412" s="338"/>
      <c r="IP412" s="338"/>
      <c r="IQ412" s="338"/>
      <c r="IX412" s="68"/>
      <c r="IY412" s="68"/>
      <c r="IZ412" s="68"/>
      <c r="JA412" s="68"/>
      <c r="JB412" s="68"/>
      <c r="JC412" s="68"/>
      <c r="JD412" s="10"/>
      <c r="JG412" s="338"/>
      <c r="JH412" s="338"/>
      <c r="JI412" s="338"/>
      <c r="JM412" s="338"/>
      <c r="JN412" s="338"/>
      <c r="JQ412" s="338"/>
      <c r="JR412" s="338"/>
      <c r="JS412" s="338"/>
      <c r="JW412" s="358"/>
      <c r="JX412" s="336"/>
      <c r="JY412" s="336"/>
      <c r="JZ412" s="336"/>
      <c r="KA412" s="336"/>
      <c r="KB412" s="336"/>
      <c r="KC412" s="336"/>
      <c r="KD412" s="336"/>
      <c r="KE412" s="336"/>
      <c r="KF412" s="336"/>
      <c r="KG412" s="337"/>
      <c r="KH412" s="338"/>
      <c r="KI412" s="338"/>
      <c r="KJ412" s="338"/>
      <c r="KK412" s="338"/>
      <c r="KL412" s="338"/>
      <c r="KM412" s="338"/>
      <c r="KN412" s="338"/>
      <c r="KO412" s="338"/>
      <c r="KP412" s="338"/>
      <c r="KQ412" s="338"/>
      <c r="KR412" s="338"/>
      <c r="KS412" s="338"/>
      <c r="KT412" s="338"/>
      <c r="KU412" s="338"/>
      <c r="KV412" s="338"/>
      <c r="KW412" s="337"/>
      <c r="KX412" s="336"/>
      <c r="KY412" s="336"/>
      <c r="KZ412" s="336"/>
      <c r="LA412" s="336"/>
      <c r="LB412" s="336"/>
      <c r="LC412" s="336"/>
      <c r="LD412" s="336"/>
      <c r="LE412" s="336"/>
      <c r="LF412" s="336"/>
      <c r="LG412" s="336"/>
      <c r="LH412" s="336"/>
      <c r="LI412" s="336"/>
      <c r="LJ412" s="336"/>
      <c r="LK412" s="336"/>
      <c r="LL412" s="336"/>
      <c r="LM412" s="336"/>
      <c r="LN412" s="336"/>
      <c r="LO412" s="336"/>
      <c r="LP412" s="336"/>
      <c r="LQ412" s="337"/>
      <c r="MN412" s="10"/>
      <c r="OA412" s="10"/>
    </row>
    <row r="413" spans="1:391" s="370" customFormat="1" x14ac:dyDescent="0.25">
      <c r="A413" s="68"/>
      <c r="B413" s="10"/>
      <c r="C413" s="68"/>
      <c r="D413" s="68"/>
      <c r="E413" s="68"/>
      <c r="F413" s="68"/>
      <c r="G413" s="68"/>
      <c r="H413" s="68"/>
      <c r="I413" s="68"/>
      <c r="J413" s="68"/>
      <c r="K413" s="68"/>
      <c r="L413" s="68"/>
      <c r="M413" s="68"/>
      <c r="N413" s="68"/>
      <c r="O413" s="68"/>
      <c r="P413" s="68"/>
      <c r="Q413" s="68"/>
      <c r="R413" s="68"/>
      <c r="S413" s="68"/>
      <c r="T413" s="70"/>
      <c r="AC413" s="68"/>
      <c r="AD413" s="70"/>
      <c r="AM413" s="68"/>
      <c r="AN413" s="70"/>
      <c r="AU413" s="68"/>
      <c r="AV413" s="70"/>
      <c r="BB413" s="68"/>
      <c r="BC413" s="70"/>
      <c r="BD413" s="68"/>
      <c r="BE413" s="68"/>
      <c r="BF413" s="68"/>
      <c r="BG413" s="68"/>
      <c r="BH413" s="68"/>
      <c r="BI413" s="68"/>
      <c r="BJ413" s="70"/>
      <c r="BM413" s="68"/>
      <c r="BN413" s="70"/>
      <c r="BT413" s="68"/>
      <c r="BU413" s="70"/>
      <c r="BZ413" s="10"/>
      <c r="CF413" s="10"/>
      <c r="CI413" s="389"/>
      <c r="CJ413" s="389"/>
      <c r="CK413" s="68"/>
      <c r="CL413" s="70"/>
      <c r="CO413" s="10"/>
      <c r="CU413" s="10"/>
      <c r="DA413" s="10"/>
      <c r="DB413" s="70"/>
      <c r="DC413" s="70"/>
      <c r="DF413" s="68"/>
      <c r="DG413" s="70"/>
      <c r="DH413" s="68"/>
      <c r="DI413" s="386"/>
      <c r="DJ413" s="425"/>
      <c r="DL413" s="68"/>
      <c r="DM413" s="70"/>
      <c r="DQ413" s="68"/>
      <c r="DR413" s="70"/>
      <c r="DS413" s="338"/>
      <c r="DT413" s="338"/>
      <c r="DU413" s="338"/>
      <c r="DW413" s="338"/>
      <c r="DX413" s="338"/>
      <c r="DY413" s="338"/>
      <c r="EA413" s="338"/>
      <c r="EB413" s="338"/>
      <c r="EC413" s="338"/>
      <c r="EE413" s="338"/>
      <c r="EF413" s="338"/>
      <c r="EG413" s="338"/>
      <c r="EI413" s="336"/>
      <c r="EJ413" s="336"/>
      <c r="EK413" s="336"/>
      <c r="EL413" s="336"/>
      <c r="EM413" s="336"/>
      <c r="EN413" s="336"/>
      <c r="EO413" s="337"/>
      <c r="EP413" s="342"/>
      <c r="EQ413" s="336"/>
      <c r="ER413" s="342"/>
      <c r="ES413" s="336"/>
      <c r="ET413" s="342"/>
      <c r="EU413" s="336"/>
      <c r="EV413" s="342"/>
      <c r="EW413" s="336"/>
      <c r="EX413" s="342"/>
      <c r="EY413" s="342"/>
      <c r="EZ413" s="342"/>
      <c r="FA413" s="337"/>
      <c r="FE413" s="338"/>
      <c r="FH413" s="338"/>
      <c r="FI413" s="338"/>
      <c r="FJ413" s="338"/>
      <c r="FK413" s="338"/>
      <c r="FL413" s="338"/>
      <c r="FM413" s="337"/>
      <c r="FN413" s="336"/>
      <c r="FO413" s="336"/>
      <c r="FP413" s="336"/>
      <c r="FQ413" s="336"/>
      <c r="FR413" s="336"/>
      <c r="FS413" s="336"/>
      <c r="FT413" s="336"/>
      <c r="FU413" s="336"/>
      <c r="FV413" s="336"/>
      <c r="FW413" s="337"/>
      <c r="FX413" s="532"/>
      <c r="FY413" s="341"/>
      <c r="FZ413" s="341"/>
      <c r="GA413" s="336"/>
      <c r="GB413" s="341"/>
      <c r="GC413" s="341"/>
      <c r="GD413" s="341"/>
      <c r="GE413" s="336"/>
      <c r="GF413" s="336"/>
      <c r="GG413" s="336"/>
      <c r="GH413" s="336"/>
      <c r="GI413" s="336"/>
      <c r="GJ413" s="337"/>
      <c r="GM413" s="338"/>
      <c r="GN413" s="338"/>
      <c r="GO413" s="338"/>
      <c r="GS413" s="338"/>
      <c r="GT413" s="338"/>
      <c r="GU413" s="338"/>
      <c r="GY413" s="338"/>
      <c r="GZ413" s="338"/>
      <c r="HA413" s="338"/>
      <c r="HE413" s="338"/>
      <c r="HF413" s="338"/>
      <c r="HG413" s="338"/>
      <c r="HN413" s="68"/>
      <c r="HO413" s="68"/>
      <c r="HP413" s="68"/>
      <c r="HQ413" s="336"/>
      <c r="HR413" s="68"/>
      <c r="HS413" s="68"/>
      <c r="HT413" s="10"/>
      <c r="HW413" s="338"/>
      <c r="HX413" s="338"/>
      <c r="HY413" s="338"/>
      <c r="IC413" s="338"/>
      <c r="ID413" s="338"/>
      <c r="IE413" s="338"/>
      <c r="II413" s="338"/>
      <c r="IJ413" s="338"/>
      <c r="IK413" s="338"/>
      <c r="IO413" s="338"/>
      <c r="IP413" s="338"/>
      <c r="IQ413" s="338"/>
      <c r="IX413" s="68"/>
      <c r="IY413" s="68"/>
      <c r="IZ413" s="68"/>
      <c r="JA413" s="68"/>
      <c r="JB413" s="68"/>
      <c r="JC413" s="68"/>
      <c r="JD413" s="10"/>
      <c r="JG413" s="338"/>
      <c r="JH413" s="338"/>
      <c r="JI413" s="338"/>
      <c r="JM413" s="338"/>
      <c r="JN413" s="338"/>
      <c r="JQ413" s="338"/>
      <c r="JR413" s="338"/>
      <c r="JS413" s="338"/>
      <c r="JW413" s="358"/>
      <c r="JX413" s="336"/>
      <c r="JY413" s="336"/>
      <c r="JZ413" s="336"/>
      <c r="KA413" s="336"/>
      <c r="KB413" s="336"/>
      <c r="KC413" s="336"/>
      <c r="KD413" s="336"/>
      <c r="KE413" s="336"/>
      <c r="KF413" s="336"/>
      <c r="KG413" s="337"/>
      <c r="KH413" s="338"/>
      <c r="KI413" s="338"/>
      <c r="KJ413" s="338"/>
      <c r="KK413" s="338"/>
      <c r="KL413" s="338"/>
      <c r="KM413" s="338"/>
      <c r="KN413" s="338"/>
      <c r="KO413" s="338"/>
      <c r="KP413" s="338"/>
      <c r="KQ413" s="338"/>
      <c r="KR413" s="338"/>
      <c r="KS413" s="338"/>
      <c r="KT413" s="338"/>
      <c r="KU413" s="338"/>
      <c r="KV413" s="338"/>
      <c r="KW413" s="337"/>
      <c r="KX413" s="336"/>
      <c r="KY413" s="336"/>
      <c r="KZ413" s="336"/>
      <c r="LA413" s="336"/>
      <c r="LB413" s="336"/>
      <c r="LC413" s="336"/>
      <c r="LD413" s="336"/>
      <c r="LE413" s="336"/>
      <c r="LF413" s="336"/>
      <c r="LG413" s="336"/>
      <c r="LH413" s="336"/>
      <c r="LI413" s="336"/>
      <c r="LJ413" s="336"/>
      <c r="LK413" s="336"/>
      <c r="LL413" s="336"/>
      <c r="LM413" s="336"/>
      <c r="LN413" s="336"/>
      <c r="LO413" s="336"/>
      <c r="LP413" s="336"/>
      <c r="LQ413" s="337"/>
      <c r="MN413" s="10"/>
      <c r="OA413" s="10"/>
    </row>
    <row r="414" spans="1:391" s="370" customFormat="1" x14ac:dyDescent="0.25">
      <c r="A414" s="68"/>
      <c r="B414" s="10"/>
      <c r="C414" s="68"/>
      <c r="D414" s="68"/>
      <c r="E414" s="68"/>
      <c r="F414" s="68"/>
      <c r="G414" s="68"/>
      <c r="H414" s="68"/>
      <c r="I414" s="68"/>
      <c r="J414" s="68"/>
      <c r="K414" s="68"/>
      <c r="L414" s="68"/>
      <c r="M414" s="68"/>
      <c r="N414" s="68"/>
      <c r="O414" s="68"/>
      <c r="P414" s="68"/>
      <c r="Q414" s="68"/>
      <c r="R414" s="68"/>
      <c r="S414" s="68"/>
      <c r="T414" s="70"/>
      <c r="AC414" s="68"/>
      <c r="AD414" s="70"/>
      <c r="AM414" s="68"/>
      <c r="AN414" s="70"/>
      <c r="AU414" s="68"/>
      <c r="AV414" s="70"/>
      <c r="BB414" s="68"/>
      <c r="BC414" s="70"/>
      <c r="BD414" s="68"/>
      <c r="BE414" s="68"/>
      <c r="BF414" s="68"/>
      <c r="BG414" s="68"/>
      <c r="BH414" s="68"/>
      <c r="BI414" s="68"/>
      <c r="BJ414" s="70"/>
      <c r="BM414" s="68"/>
      <c r="BN414" s="70"/>
      <c r="BT414" s="68"/>
      <c r="BU414" s="70"/>
      <c r="BZ414" s="10"/>
      <c r="CF414" s="10"/>
      <c r="CI414" s="389"/>
      <c r="CJ414" s="389"/>
      <c r="CK414" s="68"/>
      <c r="CL414" s="70"/>
      <c r="CO414" s="10"/>
      <c r="CU414" s="10"/>
      <c r="DA414" s="10"/>
      <c r="DB414" s="70"/>
      <c r="DC414" s="70"/>
      <c r="DF414" s="68"/>
      <c r="DG414" s="70"/>
      <c r="DH414" s="68"/>
      <c r="DI414" s="386"/>
      <c r="DJ414" s="425"/>
      <c r="DL414" s="68"/>
      <c r="DM414" s="70"/>
      <c r="DQ414" s="68"/>
      <c r="DR414" s="70"/>
      <c r="DS414" s="338"/>
      <c r="DT414" s="338"/>
      <c r="DU414" s="338"/>
      <c r="DW414" s="338"/>
      <c r="DX414" s="338"/>
      <c r="DY414" s="338"/>
      <c r="EA414" s="338"/>
      <c r="EB414" s="338"/>
      <c r="EC414" s="338"/>
      <c r="EE414" s="338"/>
      <c r="EF414" s="338"/>
      <c r="EG414" s="338"/>
      <c r="EI414" s="336"/>
      <c r="EJ414" s="336"/>
      <c r="EK414" s="336"/>
      <c r="EL414" s="336"/>
      <c r="EM414" s="336"/>
      <c r="EN414" s="336"/>
      <c r="EO414" s="337"/>
      <c r="EP414" s="342"/>
      <c r="EQ414" s="336"/>
      <c r="ER414" s="342"/>
      <c r="ES414" s="336"/>
      <c r="ET414" s="342"/>
      <c r="EU414" s="336"/>
      <c r="EV414" s="342"/>
      <c r="EW414" s="336"/>
      <c r="EX414" s="342"/>
      <c r="EY414" s="342"/>
      <c r="EZ414" s="342"/>
      <c r="FA414" s="337"/>
      <c r="FE414" s="338"/>
      <c r="FH414" s="338"/>
      <c r="FI414" s="338"/>
      <c r="FJ414" s="338"/>
      <c r="FK414" s="338"/>
      <c r="FL414" s="338"/>
      <c r="FM414" s="337"/>
      <c r="FN414" s="336"/>
      <c r="FO414" s="336"/>
      <c r="FP414" s="336"/>
      <c r="FQ414" s="336"/>
      <c r="FR414" s="336"/>
      <c r="FS414" s="336"/>
      <c r="FT414" s="336"/>
      <c r="FU414" s="336"/>
      <c r="FV414" s="336"/>
      <c r="FW414" s="337"/>
      <c r="FX414" s="532"/>
      <c r="FY414" s="341"/>
      <c r="FZ414" s="341"/>
      <c r="GA414" s="336"/>
      <c r="GB414" s="341"/>
      <c r="GC414" s="341"/>
      <c r="GD414" s="341"/>
      <c r="GE414" s="336"/>
      <c r="GF414" s="336"/>
      <c r="GG414" s="336"/>
      <c r="GH414" s="336"/>
      <c r="GI414" s="336"/>
      <c r="GJ414" s="337"/>
      <c r="GM414" s="338"/>
      <c r="GN414" s="338"/>
      <c r="GO414" s="338"/>
      <c r="GS414" s="338"/>
      <c r="GT414" s="338"/>
      <c r="GU414" s="338"/>
      <c r="GY414" s="338"/>
      <c r="GZ414" s="338"/>
      <c r="HA414" s="338"/>
      <c r="HE414" s="338"/>
      <c r="HF414" s="338"/>
      <c r="HG414" s="338"/>
      <c r="HN414" s="68"/>
      <c r="HO414" s="68"/>
      <c r="HP414" s="68"/>
      <c r="HQ414" s="336"/>
      <c r="HR414" s="68"/>
      <c r="HS414" s="68"/>
      <c r="HT414" s="10"/>
      <c r="HW414" s="338"/>
      <c r="HX414" s="338"/>
      <c r="HY414" s="338"/>
      <c r="IC414" s="338"/>
      <c r="ID414" s="338"/>
      <c r="IE414" s="338"/>
      <c r="II414" s="338"/>
      <c r="IJ414" s="338"/>
      <c r="IK414" s="338"/>
      <c r="IO414" s="338"/>
      <c r="IP414" s="338"/>
      <c r="IQ414" s="338"/>
      <c r="IX414" s="68"/>
      <c r="IY414" s="68"/>
      <c r="IZ414" s="68"/>
      <c r="JA414" s="68"/>
      <c r="JB414" s="68"/>
      <c r="JC414" s="68"/>
      <c r="JD414" s="10"/>
      <c r="JG414" s="338"/>
      <c r="JH414" s="338"/>
      <c r="JI414" s="338"/>
      <c r="JM414" s="338"/>
      <c r="JN414" s="338"/>
      <c r="JQ414" s="338"/>
      <c r="JR414" s="338"/>
      <c r="JS414" s="338"/>
      <c r="JW414" s="358"/>
      <c r="JX414" s="336"/>
      <c r="JY414" s="336"/>
      <c r="JZ414" s="336"/>
      <c r="KA414" s="336"/>
      <c r="KB414" s="336"/>
      <c r="KC414" s="336"/>
      <c r="KD414" s="336"/>
      <c r="KE414" s="336"/>
      <c r="KF414" s="336"/>
      <c r="KG414" s="337"/>
      <c r="KH414" s="338"/>
      <c r="KI414" s="338"/>
      <c r="KJ414" s="338"/>
      <c r="KK414" s="338"/>
      <c r="KL414" s="338"/>
      <c r="KM414" s="338"/>
      <c r="KN414" s="338"/>
      <c r="KO414" s="338"/>
      <c r="KP414" s="338"/>
      <c r="KQ414" s="338"/>
      <c r="KR414" s="338"/>
      <c r="KS414" s="338"/>
      <c r="KT414" s="338"/>
      <c r="KU414" s="338"/>
      <c r="KV414" s="338"/>
      <c r="KW414" s="337"/>
      <c r="KX414" s="336"/>
      <c r="KY414" s="336"/>
      <c r="KZ414" s="336"/>
      <c r="LA414" s="336"/>
      <c r="LB414" s="336"/>
      <c r="LC414" s="336"/>
      <c r="LD414" s="336"/>
      <c r="LE414" s="336"/>
      <c r="LF414" s="336"/>
      <c r="LG414" s="336"/>
      <c r="LH414" s="336"/>
      <c r="LI414" s="336"/>
      <c r="LJ414" s="336"/>
      <c r="LK414" s="336"/>
      <c r="LL414" s="336"/>
      <c r="LM414" s="336"/>
      <c r="LN414" s="336"/>
      <c r="LO414" s="336"/>
      <c r="LP414" s="336"/>
      <c r="LQ414" s="337"/>
      <c r="MN414" s="10"/>
      <c r="OA414" s="10"/>
    </row>
    <row r="415" spans="1:391" s="370" customFormat="1" x14ac:dyDescent="0.25">
      <c r="A415" s="68"/>
      <c r="B415" s="10"/>
      <c r="C415" s="68"/>
      <c r="D415" s="68"/>
      <c r="E415" s="68"/>
      <c r="F415" s="68"/>
      <c r="G415" s="68"/>
      <c r="H415" s="68"/>
      <c r="I415" s="68"/>
      <c r="J415" s="68"/>
      <c r="K415" s="68"/>
      <c r="L415" s="68"/>
      <c r="M415" s="68"/>
      <c r="N415" s="68"/>
      <c r="O415" s="68"/>
      <c r="P415" s="68"/>
      <c r="Q415" s="68"/>
      <c r="R415" s="68"/>
      <c r="S415" s="68"/>
      <c r="T415" s="70"/>
      <c r="AC415" s="68"/>
      <c r="AD415" s="70"/>
      <c r="AM415" s="68"/>
      <c r="AN415" s="70"/>
      <c r="AU415" s="68"/>
      <c r="AV415" s="70"/>
      <c r="BB415" s="68"/>
      <c r="BC415" s="70"/>
      <c r="BD415" s="68"/>
      <c r="BE415" s="68"/>
      <c r="BF415" s="68"/>
      <c r="BG415" s="68"/>
      <c r="BH415" s="68"/>
      <c r="BI415" s="68"/>
      <c r="BJ415" s="70"/>
      <c r="BM415" s="68"/>
      <c r="BN415" s="70"/>
      <c r="BT415" s="68"/>
      <c r="BU415" s="70"/>
      <c r="BZ415" s="10"/>
      <c r="CF415" s="10"/>
      <c r="CI415" s="389"/>
      <c r="CJ415" s="389"/>
      <c r="CK415" s="68"/>
      <c r="CL415" s="70"/>
      <c r="CO415" s="10"/>
      <c r="CU415" s="10"/>
      <c r="DA415" s="10"/>
      <c r="DB415" s="70"/>
      <c r="DC415" s="70"/>
      <c r="DF415" s="68"/>
      <c r="DG415" s="70"/>
      <c r="DH415" s="68"/>
      <c r="DI415" s="386"/>
      <c r="DJ415" s="425"/>
      <c r="DL415" s="68"/>
      <c r="DM415" s="70"/>
      <c r="DQ415" s="68"/>
      <c r="DR415" s="70"/>
      <c r="DS415" s="338"/>
      <c r="DT415" s="338"/>
      <c r="DU415" s="338"/>
      <c r="DW415" s="338"/>
      <c r="DX415" s="338"/>
      <c r="DY415" s="338"/>
      <c r="EA415" s="338"/>
      <c r="EB415" s="338"/>
      <c r="EC415" s="338"/>
      <c r="EE415" s="338"/>
      <c r="EF415" s="338"/>
      <c r="EG415" s="338"/>
      <c r="EI415" s="336"/>
      <c r="EJ415" s="336"/>
      <c r="EK415" s="336"/>
      <c r="EL415" s="336"/>
      <c r="EM415" s="336"/>
      <c r="EN415" s="336"/>
      <c r="EO415" s="337"/>
      <c r="EP415" s="342"/>
      <c r="EQ415" s="336"/>
      <c r="ER415" s="342"/>
      <c r="ES415" s="336"/>
      <c r="ET415" s="342"/>
      <c r="EU415" s="336"/>
      <c r="EV415" s="342"/>
      <c r="EW415" s="336"/>
      <c r="EX415" s="342"/>
      <c r="EY415" s="342"/>
      <c r="EZ415" s="342"/>
      <c r="FA415" s="337"/>
      <c r="FE415" s="338"/>
      <c r="FH415" s="338"/>
      <c r="FI415" s="338"/>
      <c r="FJ415" s="338"/>
      <c r="FK415" s="338"/>
      <c r="FL415" s="338"/>
      <c r="FM415" s="337"/>
      <c r="FN415" s="336"/>
      <c r="FO415" s="336"/>
      <c r="FP415" s="336"/>
      <c r="FQ415" s="336"/>
      <c r="FR415" s="336"/>
      <c r="FS415" s="336"/>
      <c r="FT415" s="336"/>
      <c r="FU415" s="336"/>
      <c r="FV415" s="336"/>
      <c r="FW415" s="337"/>
      <c r="FX415" s="532"/>
      <c r="FY415" s="341"/>
      <c r="FZ415" s="341"/>
      <c r="GA415" s="336"/>
      <c r="GB415" s="341"/>
      <c r="GC415" s="341"/>
      <c r="GD415" s="341"/>
      <c r="GE415" s="336"/>
      <c r="GF415" s="336"/>
      <c r="GG415" s="336"/>
      <c r="GH415" s="336"/>
      <c r="GI415" s="336"/>
      <c r="GJ415" s="337"/>
      <c r="GM415" s="338"/>
      <c r="GN415" s="338"/>
      <c r="GO415" s="338"/>
      <c r="GS415" s="338"/>
      <c r="GT415" s="338"/>
      <c r="GU415" s="338"/>
      <c r="GY415" s="338"/>
      <c r="GZ415" s="338"/>
      <c r="HA415" s="338"/>
      <c r="HE415" s="338"/>
      <c r="HF415" s="338"/>
      <c r="HG415" s="338"/>
      <c r="HN415" s="68"/>
      <c r="HO415" s="68"/>
      <c r="HP415" s="68"/>
      <c r="HQ415" s="336"/>
      <c r="HR415" s="68"/>
      <c r="HS415" s="68"/>
      <c r="HT415" s="10"/>
      <c r="HW415" s="338"/>
      <c r="HX415" s="338"/>
      <c r="HY415" s="338"/>
      <c r="IC415" s="338"/>
      <c r="ID415" s="338"/>
      <c r="IE415" s="338"/>
      <c r="II415" s="338"/>
      <c r="IJ415" s="338"/>
      <c r="IK415" s="338"/>
      <c r="IO415" s="338"/>
      <c r="IP415" s="338"/>
      <c r="IQ415" s="338"/>
      <c r="IX415" s="68"/>
      <c r="IY415" s="68"/>
      <c r="IZ415" s="68"/>
      <c r="JA415" s="68"/>
      <c r="JB415" s="68"/>
      <c r="JC415" s="68"/>
      <c r="JD415" s="10"/>
      <c r="JG415" s="338"/>
      <c r="JH415" s="338"/>
      <c r="JI415" s="338"/>
      <c r="JM415" s="338"/>
      <c r="JN415" s="338"/>
      <c r="JQ415" s="338"/>
      <c r="JR415" s="338"/>
      <c r="JS415" s="338"/>
      <c r="JW415" s="358"/>
      <c r="JX415" s="336"/>
      <c r="JY415" s="336"/>
      <c r="JZ415" s="336"/>
      <c r="KA415" s="336"/>
      <c r="KB415" s="336"/>
      <c r="KC415" s="336"/>
      <c r="KD415" s="336"/>
      <c r="KE415" s="336"/>
      <c r="KF415" s="336"/>
      <c r="KG415" s="337"/>
      <c r="KH415" s="338"/>
      <c r="KI415" s="338"/>
      <c r="KJ415" s="338"/>
      <c r="KK415" s="338"/>
      <c r="KL415" s="338"/>
      <c r="KM415" s="338"/>
      <c r="KN415" s="338"/>
      <c r="KO415" s="338"/>
      <c r="KP415" s="338"/>
      <c r="KQ415" s="338"/>
      <c r="KR415" s="338"/>
      <c r="KS415" s="338"/>
      <c r="KT415" s="338"/>
      <c r="KU415" s="338"/>
      <c r="KV415" s="338"/>
      <c r="KW415" s="337"/>
      <c r="KX415" s="336"/>
      <c r="KY415" s="336"/>
      <c r="KZ415" s="336"/>
      <c r="LA415" s="336"/>
      <c r="LB415" s="336"/>
      <c r="LC415" s="336"/>
      <c r="LD415" s="336"/>
      <c r="LE415" s="336"/>
      <c r="LF415" s="336"/>
      <c r="LG415" s="336"/>
      <c r="LH415" s="336"/>
      <c r="LI415" s="336"/>
      <c r="LJ415" s="336"/>
      <c r="LK415" s="336"/>
      <c r="LL415" s="336"/>
      <c r="LM415" s="336"/>
      <c r="LN415" s="336"/>
      <c r="LO415" s="336"/>
      <c r="LP415" s="336"/>
      <c r="LQ415" s="337"/>
      <c r="MN415" s="10"/>
      <c r="OA415" s="10"/>
    </row>
    <row r="416" spans="1:391" s="370" customFormat="1" x14ac:dyDescent="0.25">
      <c r="A416" s="68"/>
      <c r="B416" s="10"/>
      <c r="C416" s="68"/>
      <c r="D416" s="68"/>
      <c r="E416" s="68"/>
      <c r="F416" s="68"/>
      <c r="G416" s="68"/>
      <c r="H416" s="68"/>
      <c r="I416" s="68"/>
      <c r="J416" s="68"/>
      <c r="K416" s="68"/>
      <c r="L416" s="68"/>
      <c r="M416" s="68"/>
      <c r="N416" s="68"/>
      <c r="O416" s="68"/>
      <c r="P416" s="68"/>
      <c r="Q416" s="68"/>
      <c r="R416" s="68"/>
      <c r="S416" s="68"/>
      <c r="T416" s="70"/>
      <c r="AC416" s="68"/>
      <c r="AD416" s="70"/>
      <c r="AM416" s="68"/>
      <c r="AN416" s="70"/>
      <c r="AU416" s="68"/>
      <c r="AV416" s="70"/>
      <c r="BB416" s="68"/>
      <c r="BC416" s="70"/>
      <c r="BD416" s="68"/>
      <c r="BE416" s="68"/>
      <c r="BF416" s="68"/>
      <c r="BG416" s="68"/>
      <c r="BH416" s="68"/>
      <c r="BI416" s="68"/>
      <c r="BJ416" s="70"/>
      <c r="BM416" s="68"/>
      <c r="BN416" s="70"/>
      <c r="BT416" s="68"/>
      <c r="BU416" s="70"/>
      <c r="BZ416" s="10"/>
      <c r="CF416" s="10"/>
      <c r="CI416" s="389"/>
      <c r="CJ416" s="389"/>
      <c r="CK416" s="68"/>
      <c r="CL416" s="70"/>
      <c r="CO416" s="10"/>
      <c r="CU416" s="10"/>
      <c r="DA416" s="10"/>
      <c r="DB416" s="70"/>
      <c r="DC416" s="70"/>
      <c r="DF416" s="68"/>
      <c r="DG416" s="70"/>
      <c r="DH416" s="68"/>
      <c r="DI416" s="386"/>
      <c r="DJ416" s="425"/>
      <c r="DL416" s="68"/>
      <c r="DM416" s="70"/>
      <c r="DQ416" s="68"/>
      <c r="DR416" s="70"/>
      <c r="DS416" s="338"/>
      <c r="DT416" s="338"/>
      <c r="DU416" s="338"/>
      <c r="DW416" s="338"/>
      <c r="DX416" s="338"/>
      <c r="DY416" s="338"/>
      <c r="EA416" s="338"/>
      <c r="EB416" s="338"/>
      <c r="EC416" s="338"/>
      <c r="EE416" s="338"/>
      <c r="EF416" s="338"/>
      <c r="EG416" s="338"/>
      <c r="EI416" s="336"/>
      <c r="EJ416" s="336"/>
      <c r="EK416" s="336"/>
      <c r="EL416" s="336"/>
      <c r="EM416" s="336"/>
      <c r="EN416" s="336"/>
      <c r="EO416" s="337"/>
      <c r="EP416" s="342"/>
      <c r="EQ416" s="336"/>
      <c r="ER416" s="342"/>
      <c r="ES416" s="336"/>
      <c r="ET416" s="342"/>
      <c r="EU416" s="336"/>
      <c r="EV416" s="342"/>
      <c r="EW416" s="336"/>
      <c r="EX416" s="342"/>
      <c r="EY416" s="342"/>
      <c r="EZ416" s="342"/>
      <c r="FA416" s="337"/>
      <c r="FE416" s="338"/>
      <c r="FH416" s="338"/>
      <c r="FI416" s="338"/>
      <c r="FJ416" s="338"/>
      <c r="FK416" s="338"/>
      <c r="FL416" s="338"/>
      <c r="FM416" s="337"/>
      <c r="FN416" s="336"/>
      <c r="FO416" s="336"/>
      <c r="FP416" s="336"/>
      <c r="FQ416" s="336"/>
      <c r="FR416" s="336"/>
      <c r="FS416" s="336"/>
      <c r="FT416" s="336"/>
      <c r="FU416" s="336"/>
      <c r="FV416" s="336"/>
      <c r="FW416" s="337"/>
      <c r="FX416" s="532"/>
      <c r="FY416" s="341"/>
      <c r="FZ416" s="341"/>
      <c r="GA416" s="336"/>
      <c r="GB416" s="341"/>
      <c r="GC416" s="341"/>
      <c r="GD416" s="341"/>
      <c r="GE416" s="336"/>
      <c r="GF416" s="336"/>
      <c r="GG416" s="336"/>
      <c r="GH416" s="336"/>
      <c r="GI416" s="336"/>
      <c r="GJ416" s="337"/>
      <c r="GM416" s="338"/>
      <c r="GN416" s="338"/>
      <c r="GO416" s="338"/>
      <c r="GS416" s="338"/>
      <c r="GT416" s="338"/>
      <c r="GU416" s="338"/>
      <c r="GY416" s="338"/>
      <c r="GZ416" s="338"/>
      <c r="HA416" s="338"/>
      <c r="HE416" s="338"/>
      <c r="HF416" s="338"/>
      <c r="HG416" s="338"/>
      <c r="HN416" s="68"/>
      <c r="HO416" s="68"/>
      <c r="HP416" s="68"/>
      <c r="HQ416" s="336"/>
      <c r="HR416" s="68"/>
      <c r="HS416" s="68"/>
      <c r="HT416" s="10"/>
      <c r="HW416" s="338"/>
      <c r="HX416" s="338"/>
      <c r="HY416" s="338"/>
      <c r="IC416" s="338"/>
      <c r="ID416" s="338"/>
      <c r="IE416" s="338"/>
      <c r="II416" s="338"/>
      <c r="IJ416" s="338"/>
      <c r="IK416" s="338"/>
      <c r="IO416" s="338"/>
      <c r="IP416" s="338"/>
      <c r="IQ416" s="338"/>
      <c r="IX416" s="68"/>
      <c r="IY416" s="68"/>
      <c r="IZ416" s="68"/>
      <c r="JA416" s="68"/>
      <c r="JB416" s="68"/>
      <c r="JC416" s="68"/>
      <c r="JD416" s="10"/>
      <c r="JG416" s="338"/>
      <c r="JH416" s="338"/>
      <c r="JI416" s="338"/>
      <c r="JM416" s="338"/>
      <c r="JN416" s="338"/>
      <c r="JQ416" s="338"/>
      <c r="JR416" s="338"/>
      <c r="JS416" s="338"/>
      <c r="JW416" s="358"/>
      <c r="JX416" s="336"/>
      <c r="JY416" s="336"/>
      <c r="JZ416" s="336"/>
      <c r="KA416" s="336"/>
      <c r="KB416" s="336"/>
      <c r="KC416" s="336"/>
      <c r="KD416" s="336"/>
      <c r="KE416" s="336"/>
      <c r="KF416" s="336"/>
      <c r="KG416" s="337"/>
      <c r="KH416" s="338"/>
      <c r="KI416" s="338"/>
      <c r="KJ416" s="338"/>
      <c r="KK416" s="338"/>
      <c r="KL416" s="338"/>
      <c r="KM416" s="338"/>
      <c r="KN416" s="338"/>
      <c r="KO416" s="338"/>
      <c r="KP416" s="338"/>
      <c r="KQ416" s="338"/>
      <c r="KR416" s="338"/>
      <c r="KS416" s="338"/>
      <c r="KT416" s="338"/>
      <c r="KU416" s="338"/>
      <c r="KV416" s="338"/>
      <c r="KW416" s="337"/>
      <c r="KX416" s="336"/>
      <c r="KY416" s="336"/>
      <c r="KZ416" s="336"/>
      <c r="LA416" s="336"/>
      <c r="LB416" s="336"/>
      <c r="LC416" s="336"/>
      <c r="LD416" s="336"/>
      <c r="LE416" s="336"/>
      <c r="LF416" s="336"/>
      <c r="LG416" s="336"/>
      <c r="LH416" s="336"/>
      <c r="LI416" s="336"/>
      <c r="LJ416" s="336"/>
      <c r="LK416" s="336"/>
      <c r="LL416" s="336"/>
      <c r="LM416" s="336"/>
      <c r="LN416" s="336"/>
      <c r="LO416" s="336"/>
      <c r="LP416" s="336"/>
      <c r="LQ416" s="337"/>
      <c r="MN416" s="10"/>
      <c r="OA416" s="10"/>
    </row>
    <row r="417" spans="1:391" s="370" customFormat="1" x14ac:dyDescent="0.25">
      <c r="A417" s="68"/>
      <c r="B417" s="10"/>
      <c r="C417" s="68"/>
      <c r="D417" s="68"/>
      <c r="E417" s="68"/>
      <c r="F417" s="68"/>
      <c r="G417" s="68"/>
      <c r="H417" s="68"/>
      <c r="I417" s="68"/>
      <c r="J417" s="68"/>
      <c r="K417" s="68"/>
      <c r="L417" s="68"/>
      <c r="M417" s="68"/>
      <c r="N417" s="68"/>
      <c r="O417" s="68"/>
      <c r="P417" s="68"/>
      <c r="Q417" s="68"/>
      <c r="R417" s="68"/>
      <c r="S417" s="68"/>
      <c r="T417" s="70"/>
      <c r="AC417" s="68"/>
      <c r="AD417" s="70"/>
      <c r="AM417" s="68"/>
      <c r="AN417" s="70"/>
      <c r="AU417" s="68"/>
      <c r="AV417" s="70"/>
      <c r="BB417" s="68"/>
      <c r="BC417" s="70"/>
      <c r="BD417" s="68"/>
      <c r="BE417" s="68"/>
      <c r="BF417" s="68"/>
      <c r="BG417" s="68"/>
      <c r="BH417" s="68"/>
      <c r="BI417" s="68"/>
      <c r="BJ417" s="70"/>
      <c r="BM417" s="68"/>
      <c r="BN417" s="70"/>
      <c r="BT417" s="68"/>
      <c r="BU417" s="70"/>
      <c r="BZ417" s="10"/>
      <c r="CF417" s="10"/>
      <c r="CI417" s="389"/>
      <c r="CJ417" s="389"/>
      <c r="CK417" s="68"/>
      <c r="CL417" s="70"/>
      <c r="CO417" s="10"/>
      <c r="CU417" s="10"/>
      <c r="DA417" s="10"/>
      <c r="DB417" s="70"/>
      <c r="DC417" s="70"/>
      <c r="DF417" s="68"/>
      <c r="DG417" s="70"/>
      <c r="DH417" s="68"/>
      <c r="DI417" s="386"/>
      <c r="DJ417" s="425"/>
      <c r="DL417" s="68"/>
      <c r="DM417" s="70"/>
      <c r="DQ417" s="68"/>
      <c r="DR417" s="70"/>
      <c r="DS417" s="338"/>
      <c r="DT417" s="338"/>
      <c r="DU417" s="338"/>
      <c r="DW417" s="338"/>
      <c r="DX417" s="338"/>
      <c r="DY417" s="338"/>
      <c r="EA417" s="338"/>
      <c r="EB417" s="338"/>
      <c r="EC417" s="338"/>
      <c r="EE417" s="338"/>
      <c r="EF417" s="338"/>
      <c r="EG417" s="338"/>
      <c r="EI417" s="336"/>
      <c r="EJ417" s="336"/>
      <c r="EK417" s="336"/>
      <c r="EL417" s="336"/>
      <c r="EM417" s="336"/>
      <c r="EN417" s="336"/>
      <c r="EO417" s="337"/>
      <c r="EP417" s="342"/>
      <c r="EQ417" s="336"/>
      <c r="ER417" s="342"/>
      <c r="ES417" s="336"/>
      <c r="ET417" s="342"/>
      <c r="EU417" s="336"/>
      <c r="EV417" s="342"/>
      <c r="EW417" s="336"/>
      <c r="EX417" s="342"/>
      <c r="EY417" s="342"/>
      <c r="EZ417" s="342"/>
      <c r="FA417" s="337"/>
      <c r="FE417" s="338"/>
      <c r="FH417" s="338"/>
      <c r="FI417" s="338"/>
      <c r="FJ417" s="338"/>
      <c r="FK417" s="338"/>
      <c r="FL417" s="338"/>
      <c r="FM417" s="337"/>
      <c r="FN417" s="336"/>
      <c r="FO417" s="336"/>
      <c r="FP417" s="336"/>
      <c r="FQ417" s="336"/>
      <c r="FR417" s="336"/>
      <c r="FS417" s="336"/>
      <c r="FT417" s="336"/>
      <c r="FU417" s="336"/>
      <c r="FV417" s="336"/>
      <c r="FW417" s="337"/>
      <c r="FX417" s="532"/>
      <c r="FY417" s="341"/>
      <c r="FZ417" s="341"/>
      <c r="GA417" s="336"/>
      <c r="GB417" s="341"/>
      <c r="GC417" s="341"/>
      <c r="GD417" s="341"/>
      <c r="GE417" s="336"/>
      <c r="GF417" s="336"/>
      <c r="GG417" s="336"/>
      <c r="GH417" s="336"/>
      <c r="GI417" s="336"/>
      <c r="GJ417" s="337"/>
      <c r="GM417" s="338"/>
      <c r="GN417" s="338"/>
      <c r="GO417" s="338"/>
      <c r="GS417" s="338"/>
      <c r="GT417" s="338"/>
      <c r="GU417" s="338"/>
      <c r="GY417" s="338"/>
      <c r="GZ417" s="338"/>
      <c r="HA417" s="338"/>
      <c r="HE417" s="338"/>
      <c r="HF417" s="338"/>
      <c r="HG417" s="338"/>
      <c r="HN417" s="68"/>
      <c r="HO417" s="68"/>
      <c r="HP417" s="68"/>
      <c r="HQ417" s="336"/>
      <c r="HR417" s="68"/>
      <c r="HS417" s="68"/>
      <c r="HT417" s="10"/>
      <c r="HW417" s="338"/>
      <c r="HX417" s="338"/>
      <c r="HY417" s="338"/>
      <c r="IC417" s="338"/>
      <c r="ID417" s="338"/>
      <c r="IE417" s="338"/>
      <c r="II417" s="338"/>
      <c r="IJ417" s="338"/>
      <c r="IK417" s="338"/>
      <c r="IO417" s="338"/>
      <c r="IP417" s="338"/>
      <c r="IQ417" s="338"/>
      <c r="IX417" s="68"/>
      <c r="IY417" s="68"/>
      <c r="IZ417" s="68"/>
      <c r="JA417" s="68"/>
      <c r="JB417" s="68"/>
      <c r="JC417" s="68"/>
      <c r="JD417" s="10"/>
      <c r="JG417" s="338"/>
      <c r="JH417" s="338"/>
      <c r="JI417" s="338"/>
      <c r="JM417" s="338"/>
      <c r="JN417" s="338"/>
      <c r="JQ417" s="338"/>
      <c r="JR417" s="338"/>
      <c r="JS417" s="338"/>
      <c r="JW417" s="358"/>
      <c r="JX417" s="336"/>
      <c r="JY417" s="336"/>
      <c r="JZ417" s="336"/>
      <c r="KA417" s="336"/>
      <c r="KB417" s="336"/>
      <c r="KC417" s="336"/>
      <c r="KD417" s="336"/>
      <c r="KE417" s="336"/>
      <c r="KF417" s="336"/>
      <c r="KG417" s="337"/>
      <c r="KH417" s="338"/>
      <c r="KI417" s="338"/>
      <c r="KJ417" s="338"/>
      <c r="KK417" s="338"/>
      <c r="KL417" s="338"/>
      <c r="KM417" s="338"/>
      <c r="KN417" s="338"/>
      <c r="KO417" s="338"/>
      <c r="KP417" s="338"/>
      <c r="KQ417" s="338"/>
      <c r="KR417" s="338"/>
      <c r="KS417" s="338"/>
      <c r="KT417" s="338"/>
      <c r="KU417" s="338"/>
      <c r="KV417" s="338"/>
      <c r="KW417" s="337"/>
      <c r="KX417" s="336"/>
      <c r="KY417" s="336"/>
      <c r="KZ417" s="336"/>
      <c r="LA417" s="336"/>
      <c r="LB417" s="336"/>
      <c r="LC417" s="336"/>
      <c r="LD417" s="336"/>
      <c r="LE417" s="336"/>
      <c r="LF417" s="336"/>
      <c r="LG417" s="336"/>
      <c r="LH417" s="336"/>
      <c r="LI417" s="336"/>
      <c r="LJ417" s="336"/>
      <c r="LK417" s="336"/>
      <c r="LL417" s="336"/>
      <c r="LM417" s="336"/>
      <c r="LN417" s="336"/>
      <c r="LO417" s="336"/>
      <c r="LP417" s="336"/>
      <c r="LQ417" s="337"/>
      <c r="MN417" s="10"/>
      <c r="OA417" s="10"/>
    </row>
    <row r="418" spans="1:391" s="370" customFormat="1" x14ac:dyDescent="0.25">
      <c r="A418" s="68"/>
      <c r="B418" s="10"/>
      <c r="C418" s="68"/>
      <c r="D418" s="68"/>
      <c r="E418" s="68"/>
      <c r="F418" s="68"/>
      <c r="G418" s="68"/>
      <c r="H418" s="68"/>
      <c r="I418" s="68"/>
      <c r="J418" s="68"/>
      <c r="K418" s="68"/>
      <c r="L418" s="68"/>
      <c r="M418" s="68"/>
      <c r="N418" s="68"/>
      <c r="O418" s="68"/>
      <c r="P418" s="68"/>
      <c r="Q418" s="68"/>
      <c r="R418" s="68"/>
      <c r="S418" s="68"/>
      <c r="T418" s="70"/>
      <c r="AC418" s="68"/>
      <c r="AD418" s="70"/>
      <c r="AM418" s="68"/>
      <c r="AN418" s="70"/>
      <c r="AU418" s="68"/>
      <c r="AV418" s="70"/>
      <c r="BB418" s="68"/>
      <c r="BC418" s="70"/>
      <c r="BD418" s="68"/>
      <c r="BE418" s="68"/>
      <c r="BF418" s="68"/>
      <c r="BG418" s="68"/>
      <c r="BH418" s="68"/>
      <c r="BI418" s="68"/>
      <c r="BJ418" s="70"/>
      <c r="BM418" s="68"/>
      <c r="BN418" s="70"/>
      <c r="BT418" s="68"/>
      <c r="BU418" s="70"/>
      <c r="BZ418" s="10"/>
      <c r="CF418" s="10"/>
      <c r="CI418" s="389"/>
      <c r="CJ418" s="389"/>
      <c r="CK418" s="68"/>
      <c r="CL418" s="70"/>
      <c r="CO418" s="10"/>
      <c r="CU418" s="10"/>
      <c r="DA418" s="10"/>
      <c r="DB418" s="70"/>
      <c r="DC418" s="70"/>
      <c r="DF418" s="68"/>
      <c r="DG418" s="70"/>
      <c r="DH418" s="68"/>
      <c r="DI418" s="386"/>
      <c r="DJ418" s="425"/>
      <c r="DL418" s="68"/>
      <c r="DM418" s="70"/>
      <c r="DQ418" s="68"/>
      <c r="DR418" s="70"/>
      <c r="DS418" s="338"/>
      <c r="DT418" s="338"/>
      <c r="DU418" s="338"/>
      <c r="DW418" s="338"/>
      <c r="DX418" s="338"/>
      <c r="DY418" s="338"/>
      <c r="EA418" s="338"/>
      <c r="EB418" s="338"/>
      <c r="EC418" s="338"/>
      <c r="EE418" s="338"/>
      <c r="EF418" s="338"/>
      <c r="EG418" s="338"/>
      <c r="EI418" s="336"/>
      <c r="EJ418" s="336"/>
      <c r="EK418" s="336"/>
      <c r="EL418" s="336"/>
      <c r="EM418" s="336"/>
      <c r="EN418" s="336"/>
      <c r="EO418" s="337"/>
      <c r="EP418" s="342"/>
      <c r="EQ418" s="336"/>
      <c r="ER418" s="342"/>
      <c r="ES418" s="336"/>
      <c r="ET418" s="342"/>
      <c r="EU418" s="336"/>
      <c r="EV418" s="342"/>
      <c r="EW418" s="336"/>
      <c r="EX418" s="342"/>
      <c r="EY418" s="342"/>
      <c r="EZ418" s="342"/>
      <c r="FA418" s="337"/>
      <c r="FE418" s="338"/>
      <c r="FH418" s="338"/>
      <c r="FI418" s="338"/>
      <c r="FJ418" s="338"/>
      <c r="FK418" s="338"/>
      <c r="FL418" s="338"/>
      <c r="FM418" s="337"/>
      <c r="FN418" s="336"/>
      <c r="FO418" s="336"/>
      <c r="FP418" s="336"/>
      <c r="FQ418" s="336"/>
      <c r="FR418" s="336"/>
      <c r="FS418" s="336"/>
      <c r="FT418" s="336"/>
      <c r="FU418" s="336"/>
      <c r="FV418" s="336"/>
      <c r="FW418" s="337"/>
      <c r="FX418" s="532"/>
      <c r="FY418" s="341"/>
      <c r="FZ418" s="341"/>
      <c r="GA418" s="336"/>
      <c r="GB418" s="341"/>
      <c r="GC418" s="341"/>
      <c r="GD418" s="341"/>
      <c r="GE418" s="336"/>
      <c r="GF418" s="336"/>
      <c r="GG418" s="336"/>
      <c r="GH418" s="336"/>
      <c r="GI418" s="336"/>
      <c r="GJ418" s="337"/>
      <c r="GM418" s="338"/>
      <c r="GN418" s="338"/>
      <c r="GO418" s="338"/>
      <c r="GS418" s="338"/>
      <c r="GT418" s="338"/>
      <c r="GU418" s="338"/>
      <c r="GY418" s="338"/>
      <c r="GZ418" s="338"/>
      <c r="HA418" s="338"/>
      <c r="HE418" s="338"/>
      <c r="HF418" s="338"/>
      <c r="HG418" s="338"/>
      <c r="HN418" s="68"/>
      <c r="HO418" s="68"/>
      <c r="HP418" s="68"/>
      <c r="HQ418" s="336"/>
      <c r="HR418" s="68"/>
      <c r="HS418" s="68"/>
      <c r="HT418" s="10"/>
      <c r="HW418" s="338"/>
      <c r="HX418" s="338"/>
      <c r="HY418" s="338"/>
      <c r="IC418" s="338"/>
      <c r="ID418" s="338"/>
      <c r="IE418" s="338"/>
      <c r="II418" s="338"/>
      <c r="IJ418" s="338"/>
      <c r="IK418" s="338"/>
      <c r="IO418" s="338"/>
      <c r="IP418" s="338"/>
      <c r="IQ418" s="338"/>
      <c r="IX418" s="68"/>
      <c r="IY418" s="68"/>
      <c r="IZ418" s="68"/>
      <c r="JA418" s="68"/>
      <c r="JB418" s="68"/>
      <c r="JC418" s="68"/>
      <c r="JD418" s="10"/>
      <c r="JG418" s="338"/>
      <c r="JH418" s="338"/>
      <c r="JI418" s="338"/>
      <c r="JM418" s="338"/>
      <c r="JN418" s="338"/>
      <c r="JQ418" s="338"/>
      <c r="JR418" s="338"/>
      <c r="JS418" s="338"/>
      <c r="JW418" s="358"/>
      <c r="JX418" s="336"/>
      <c r="JY418" s="336"/>
      <c r="JZ418" s="336"/>
      <c r="KA418" s="336"/>
      <c r="KB418" s="336"/>
      <c r="KC418" s="336"/>
      <c r="KD418" s="336"/>
      <c r="KE418" s="336"/>
      <c r="KF418" s="336"/>
      <c r="KG418" s="337"/>
      <c r="KH418" s="338"/>
      <c r="KI418" s="338"/>
      <c r="KJ418" s="338"/>
      <c r="KK418" s="338"/>
      <c r="KL418" s="338"/>
      <c r="KM418" s="338"/>
      <c r="KN418" s="338"/>
      <c r="KO418" s="338"/>
      <c r="KP418" s="338"/>
      <c r="KQ418" s="338"/>
      <c r="KR418" s="338"/>
      <c r="KS418" s="338"/>
      <c r="KT418" s="338"/>
      <c r="KU418" s="338"/>
      <c r="KV418" s="338"/>
      <c r="KW418" s="337"/>
      <c r="KX418" s="336"/>
      <c r="KY418" s="336"/>
      <c r="KZ418" s="336"/>
      <c r="LA418" s="336"/>
      <c r="LB418" s="336"/>
      <c r="LC418" s="336"/>
      <c r="LD418" s="336"/>
      <c r="LE418" s="336"/>
      <c r="LF418" s="336"/>
      <c r="LG418" s="336"/>
      <c r="LH418" s="336"/>
      <c r="LI418" s="336"/>
      <c r="LJ418" s="336"/>
      <c r="LK418" s="336"/>
      <c r="LL418" s="336"/>
      <c r="LM418" s="336"/>
      <c r="LN418" s="336"/>
      <c r="LO418" s="336"/>
      <c r="LP418" s="336"/>
      <c r="LQ418" s="337"/>
      <c r="MN418" s="10"/>
      <c r="OA418" s="10"/>
    </row>
    <row r="419" spans="1:391" s="370" customFormat="1" x14ac:dyDescent="0.25">
      <c r="A419" s="68"/>
      <c r="B419" s="10"/>
      <c r="C419" s="68"/>
      <c r="D419" s="68"/>
      <c r="E419" s="68"/>
      <c r="F419" s="68"/>
      <c r="G419" s="68"/>
      <c r="H419" s="68"/>
      <c r="I419" s="68"/>
      <c r="J419" s="68"/>
      <c r="K419" s="68"/>
      <c r="L419" s="68"/>
      <c r="M419" s="68"/>
      <c r="N419" s="68"/>
      <c r="O419" s="68"/>
      <c r="P419" s="68"/>
      <c r="Q419" s="68"/>
      <c r="R419" s="68"/>
      <c r="S419" s="68"/>
      <c r="T419" s="70"/>
      <c r="AC419" s="68"/>
      <c r="AD419" s="70"/>
      <c r="AM419" s="68"/>
      <c r="AN419" s="70"/>
      <c r="AU419" s="68"/>
      <c r="AV419" s="70"/>
      <c r="BB419" s="68"/>
      <c r="BC419" s="70"/>
      <c r="BD419" s="68"/>
      <c r="BE419" s="68"/>
      <c r="BF419" s="68"/>
      <c r="BG419" s="68"/>
      <c r="BH419" s="68"/>
      <c r="BI419" s="68"/>
      <c r="BJ419" s="70"/>
      <c r="BM419" s="68"/>
      <c r="BN419" s="70"/>
      <c r="BT419" s="68"/>
      <c r="BU419" s="70"/>
      <c r="BZ419" s="10"/>
      <c r="CF419" s="10"/>
      <c r="CI419" s="389"/>
      <c r="CJ419" s="389"/>
      <c r="CK419" s="68"/>
      <c r="CL419" s="70"/>
      <c r="CO419" s="10"/>
      <c r="CU419" s="10"/>
      <c r="DA419" s="10"/>
      <c r="DB419" s="70"/>
      <c r="DC419" s="70"/>
      <c r="DF419" s="68"/>
      <c r="DG419" s="70"/>
      <c r="DH419" s="68"/>
      <c r="DI419" s="386"/>
      <c r="DJ419" s="425"/>
      <c r="DL419" s="68"/>
      <c r="DM419" s="70"/>
      <c r="DQ419" s="68"/>
      <c r="DR419" s="70"/>
      <c r="DS419" s="338"/>
      <c r="DT419" s="338"/>
      <c r="DU419" s="338"/>
      <c r="DW419" s="338"/>
      <c r="DX419" s="338"/>
      <c r="DY419" s="338"/>
      <c r="EA419" s="338"/>
      <c r="EB419" s="338"/>
      <c r="EC419" s="338"/>
      <c r="EE419" s="338"/>
      <c r="EF419" s="338"/>
      <c r="EG419" s="338"/>
      <c r="EI419" s="336"/>
      <c r="EJ419" s="336"/>
      <c r="EK419" s="336"/>
      <c r="EL419" s="336"/>
      <c r="EM419" s="336"/>
      <c r="EN419" s="336"/>
      <c r="EO419" s="337"/>
      <c r="EP419" s="342"/>
      <c r="EQ419" s="336"/>
      <c r="ER419" s="342"/>
      <c r="ES419" s="336"/>
      <c r="ET419" s="342"/>
      <c r="EU419" s="336"/>
      <c r="EV419" s="342"/>
      <c r="EW419" s="336"/>
      <c r="EX419" s="342"/>
      <c r="EY419" s="342"/>
      <c r="EZ419" s="342"/>
      <c r="FA419" s="337"/>
      <c r="FE419" s="338"/>
      <c r="FH419" s="338"/>
      <c r="FI419" s="338"/>
      <c r="FJ419" s="338"/>
      <c r="FK419" s="338"/>
      <c r="FL419" s="338"/>
      <c r="FM419" s="337"/>
      <c r="FN419" s="336"/>
      <c r="FO419" s="336"/>
      <c r="FP419" s="336"/>
      <c r="FQ419" s="336"/>
      <c r="FR419" s="336"/>
      <c r="FS419" s="336"/>
      <c r="FT419" s="336"/>
      <c r="FU419" s="336"/>
      <c r="FV419" s="336"/>
      <c r="FW419" s="337"/>
      <c r="FX419" s="532"/>
      <c r="FY419" s="341"/>
      <c r="FZ419" s="341"/>
      <c r="GA419" s="336"/>
      <c r="GB419" s="341"/>
      <c r="GC419" s="341"/>
      <c r="GD419" s="341"/>
      <c r="GE419" s="336"/>
      <c r="GF419" s="336"/>
      <c r="GG419" s="336"/>
      <c r="GH419" s="336"/>
      <c r="GI419" s="336"/>
      <c r="GJ419" s="337"/>
      <c r="GM419" s="338"/>
      <c r="GN419" s="338"/>
      <c r="GO419" s="338"/>
      <c r="GS419" s="338"/>
      <c r="GT419" s="338"/>
      <c r="GU419" s="338"/>
      <c r="GY419" s="338"/>
      <c r="GZ419" s="338"/>
      <c r="HA419" s="338"/>
      <c r="HE419" s="338"/>
      <c r="HF419" s="338"/>
      <c r="HG419" s="338"/>
      <c r="HN419" s="68"/>
      <c r="HO419" s="68"/>
      <c r="HP419" s="68"/>
      <c r="HQ419" s="336"/>
      <c r="HR419" s="68"/>
      <c r="HS419" s="68"/>
      <c r="HT419" s="10"/>
      <c r="HW419" s="338"/>
      <c r="HX419" s="338"/>
      <c r="HY419" s="338"/>
      <c r="IC419" s="338"/>
      <c r="ID419" s="338"/>
      <c r="IE419" s="338"/>
      <c r="II419" s="338"/>
      <c r="IJ419" s="338"/>
      <c r="IK419" s="338"/>
      <c r="IO419" s="338"/>
      <c r="IP419" s="338"/>
      <c r="IQ419" s="338"/>
      <c r="IX419" s="68"/>
      <c r="IY419" s="68"/>
      <c r="IZ419" s="68"/>
      <c r="JA419" s="68"/>
      <c r="JB419" s="68"/>
      <c r="JC419" s="68"/>
      <c r="JD419" s="10"/>
      <c r="JG419" s="338"/>
      <c r="JH419" s="338"/>
      <c r="JI419" s="338"/>
      <c r="JM419" s="338"/>
      <c r="JN419" s="338"/>
      <c r="JQ419" s="338"/>
      <c r="JR419" s="338"/>
      <c r="JS419" s="338"/>
      <c r="JW419" s="358"/>
      <c r="JX419" s="336"/>
      <c r="JY419" s="336"/>
      <c r="JZ419" s="336"/>
      <c r="KA419" s="336"/>
      <c r="KB419" s="336"/>
      <c r="KC419" s="336"/>
      <c r="KD419" s="336"/>
      <c r="KE419" s="336"/>
      <c r="KF419" s="336"/>
      <c r="KG419" s="337"/>
      <c r="KH419" s="338"/>
      <c r="KI419" s="338"/>
      <c r="KJ419" s="338"/>
      <c r="KK419" s="338"/>
      <c r="KL419" s="338"/>
      <c r="KM419" s="338"/>
      <c r="KN419" s="338"/>
      <c r="KO419" s="338"/>
      <c r="KP419" s="338"/>
      <c r="KQ419" s="338"/>
      <c r="KR419" s="338"/>
      <c r="KS419" s="338"/>
      <c r="KT419" s="338"/>
      <c r="KU419" s="338"/>
      <c r="KV419" s="338"/>
      <c r="KW419" s="337"/>
      <c r="KX419" s="336"/>
      <c r="KY419" s="336"/>
      <c r="KZ419" s="336"/>
      <c r="LA419" s="336"/>
      <c r="LB419" s="336"/>
      <c r="LC419" s="336"/>
      <c r="LD419" s="336"/>
      <c r="LE419" s="336"/>
      <c r="LF419" s="336"/>
      <c r="LG419" s="336"/>
      <c r="LH419" s="336"/>
      <c r="LI419" s="336"/>
      <c r="LJ419" s="336"/>
      <c r="LK419" s="336"/>
      <c r="LL419" s="336"/>
      <c r="LM419" s="336"/>
      <c r="LN419" s="336"/>
      <c r="LO419" s="336"/>
      <c r="LP419" s="336"/>
      <c r="LQ419" s="337"/>
      <c r="MN419" s="10"/>
      <c r="OA419" s="10"/>
    </row>
    <row r="420" spans="1:391" s="370" customFormat="1" x14ac:dyDescent="0.25">
      <c r="A420" s="68"/>
      <c r="B420" s="10"/>
      <c r="C420" s="68"/>
      <c r="D420" s="68"/>
      <c r="E420" s="68"/>
      <c r="F420" s="68"/>
      <c r="G420" s="68"/>
      <c r="H420" s="68"/>
      <c r="I420" s="68"/>
      <c r="J420" s="68"/>
      <c r="K420" s="68"/>
      <c r="L420" s="68"/>
      <c r="M420" s="68"/>
      <c r="N420" s="68"/>
      <c r="O420" s="68"/>
      <c r="P420" s="68"/>
      <c r="Q420" s="68"/>
      <c r="R420" s="68"/>
      <c r="S420" s="68"/>
      <c r="T420" s="70"/>
      <c r="AC420" s="68"/>
      <c r="AD420" s="70"/>
      <c r="AM420" s="68"/>
      <c r="AN420" s="70"/>
      <c r="AU420" s="68"/>
      <c r="AV420" s="70"/>
      <c r="BB420" s="68"/>
      <c r="BC420" s="70"/>
      <c r="BD420" s="68"/>
      <c r="BE420" s="68"/>
      <c r="BF420" s="68"/>
      <c r="BG420" s="68"/>
      <c r="BH420" s="68"/>
      <c r="BI420" s="68"/>
      <c r="BJ420" s="70"/>
      <c r="BM420" s="68"/>
      <c r="BN420" s="70"/>
      <c r="BT420" s="68"/>
      <c r="BU420" s="70"/>
      <c r="BZ420" s="10"/>
      <c r="CF420" s="10"/>
      <c r="CI420" s="389"/>
      <c r="CJ420" s="389"/>
      <c r="CK420" s="68"/>
      <c r="CL420" s="70"/>
      <c r="CO420" s="10"/>
      <c r="CU420" s="10"/>
      <c r="DA420" s="10"/>
      <c r="DB420" s="70"/>
      <c r="DC420" s="70"/>
      <c r="DF420" s="68"/>
      <c r="DG420" s="70"/>
      <c r="DH420" s="68"/>
      <c r="DI420" s="386"/>
      <c r="DJ420" s="425"/>
      <c r="DL420" s="68"/>
      <c r="DM420" s="70"/>
      <c r="DQ420" s="68"/>
      <c r="DR420" s="70"/>
      <c r="DS420" s="338"/>
      <c r="DT420" s="338"/>
      <c r="DU420" s="338"/>
      <c r="DW420" s="338"/>
      <c r="DX420" s="338"/>
      <c r="DY420" s="338"/>
      <c r="EA420" s="338"/>
      <c r="EB420" s="338"/>
      <c r="EC420" s="338"/>
      <c r="EE420" s="338"/>
      <c r="EF420" s="338"/>
      <c r="EG420" s="338"/>
      <c r="EI420" s="336"/>
      <c r="EJ420" s="336"/>
      <c r="EK420" s="336"/>
      <c r="EL420" s="336"/>
      <c r="EM420" s="336"/>
      <c r="EN420" s="336"/>
      <c r="EO420" s="337"/>
      <c r="EP420" s="342"/>
      <c r="EQ420" s="336"/>
      <c r="ER420" s="342"/>
      <c r="ES420" s="336"/>
      <c r="ET420" s="342"/>
      <c r="EU420" s="336"/>
      <c r="EV420" s="342"/>
      <c r="EW420" s="336"/>
      <c r="EX420" s="342"/>
      <c r="EY420" s="342"/>
      <c r="EZ420" s="342"/>
      <c r="FA420" s="337"/>
      <c r="FE420" s="338"/>
      <c r="FH420" s="338"/>
      <c r="FI420" s="338"/>
      <c r="FJ420" s="338"/>
      <c r="FK420" s="338"/>
      <c r="FL420" s="338"/>
      <c r="FM420" s="337"/>
      <c r="FN420" s="336"/>
      <c r="FO420" s="336"/>
      <c r="FP420" s="336"/>
      <c r="FQ420" s="336"/>
      <c r="FR420" s="336"/>
      <c r="FS420" s="336"/>
      <c r="FT420" s="336"/>
      <c r="FU420" s="336"/>
      <c r="FV420" s="336"/>
      <c r="FW420" s="337"/>
      <c r="FX420" s="532"/>
      <c r="FY420" s="341"/>
      <c r="FZ420" s="341"/>
      <c r="GA420" s="336"/>
      <c r="GB420" s="341"/>
      <c r="GC420" s="341"/>
      <c r="GD420" s="341"/>
      <c r="GE420" s="336"/>
      <c r="GF420" s="336"/>
      <c r="GG420" s="336"/>
      <c r="GH420" s="336"/>
      <c r="GI420" s="336"/>
      <c r="GJ420" s="337"/>
      <c r="GM420" s="338"/>
      <c r="GN420" s="338"/>
      <c r="GO420" s="338"/>
      <c r="GS420" s="338"/>
      <c r="GT420" s="338"/>
      <c r="GU420" s="338"/>
      <c r="GY420" s="338"/>
      <c r="GZ420" s="338"/>
      <c r="HA420" s="338"/>
      <c r="HE420" s="338"/>
      <c r="HF420" s="338"/>
      <c r="HG420" s="338"/>
      <c r="HN420" s="68"/>
      <c r="HO420" s="68"/>
      <c r="HP420" s="68"/>
      <c r="HQ420" s="336"/>
      <c r="HR420" s="68"/>
      <c r="HS420" s="68"/>
      <c r="HT420" s="10"/>
      <c r="HW420" s="338"/>
      <c r="HX420" s="338"/>
      <c r="HY420" s="338"/>
      <c r="IC420" s="338"/>
      <c r="ID420" s="338"/>
      <c r="IE420" s="338"/>
      <c r="II420" s="338"/>
      <c r="IJ420" s="338"/>
      <c r="IK420" s="338"/>
      <c r="IO420" s="338"/>
      <c r="IP420" s="338"/>
      <c r="IQ420" s="338"/>
      <c r="IX420" s="68"/>
      <c r="IY420" s="68"/>
      <c r="IZ420" s="68"/>
      <c r="JA420" s="68"/>
      <c r="JB420" s="68"/>
      <c r="JC420" s="68"/>
      <c r="JD420" s="10"/>
      <c r="JG420" s="338"/>
      <c r="JH420" s="338"/>
      <c r="JI420" s="338"/>
      <c r="JM420" s="338"/>
      <c r="JN420" s="338"/>
      <c r="JQ420" s="338"/>
      <c r="JR420" s="338"/>
      <c r="JS420" s="338"/>
      <c r="JW420" s="358"/>
      <c r="JX420" s="336"/>
      <c r="JY420" s="336"/>
      <c r="JZ420" s="336"/>
      <c r="KA420" s="336"/>
      <c r="KB420" s="336"/>
      <c r="KC420" s="336"/>
      <c r="KD420" s="336"/>
      <c r="KE420" s="336"/>
      <c r="KF420" s="336"/>
      <c r="KG420" s="337"/>
      <c r="KH420" s="338"/>
      <c r="KI420" s="338"/>
      <c r="KJ420" s="338"/>
      <c r="KK420" s="338"/>
      <c r="KL420" s="338"/>
      <c r="KM420" s="338"/>
      <c r="KN420" s="338"/>
      <c r="KO420" s="338"/>
      <c r="KP420" s="338"/>
      <c r="KQ420" s="338"/>
      <c r="KR420" s="338"/>
      <c r="KS420" s="338"/>
      <c r="KT420" s="338"/>
      <c r="KU420" s="338"/>
      <c r="KV420" s="338"/>
      <c r="KW420" s="337"/>
      <c r="KX420" s="336"/>
      <c r="KY420" s="336"/>
      <c r="KZ420" s="336"/>
      <c r="LA420" s="336"/>
      <c r="LB420" s="336"/>
      <c r="LC420" s="336"/>
      <c r="LD420" s="336"/>
      <c r="LE420" s="336"/>
      <c r="LF420" s="336"/>
      <c r="LG420" s="336"/>
      <c r="LH420" s="336"/>
      <c r="LI420" s="336"/>
      <c r="LJ420" s="336"/>
      <c r="LK420" s="336"/>
      <c r="LL420" s="336"/>
      <c r="LM420" s="336"/>
      <c r="LN420" s="336"/>
      <c r="LO420" s="336"/>
      <c r="LP420" s="336"/>
      <c r="LQ420" s="337"/>
      <c r="MN420" s="10"/>
      <c r="OA420" s="10"/>
    </row>
    <row r="421" spans="1:391" s="370" customFormat="1" x14ac:dyDescent="0.25">
      <c r="A421" s="68"/>
      <c r="B421" s="10"/>
      <c r="C421" s="68"/>
      <c r="D421" s="68"/>
      <c r="E421" s="68"/>
      <c r="F421" s="68"/>
      <c r="G421" s="68"/>
      <c r="H421" s="68"/>
      <c r="I421" s="68"/>
      <c r="J421" s="68"/>
      <c r="K421" s="68"/>
      <c r="L421" s="68"/>
      <c r="M421" s="68"/>
      <c r="N421" s="68"/>
      <c r="O421" s="68"/>
      <c r="P421" s="68"/>
      <c r="Q421" s="68"/>
      <c r="R421" s="68"/>
      <c r="S421" s="68"/>
      <c r="T421" s="70"/>
      <c r="AC421" s="68"/>
      <c r="AD421" s="70"/>
      <c r="AM421" s="68"/>
      <c r="AN421" s="70"/>
      <c r="AU421" s="68"/>
      <c r="AV421" s="70"/>
      <c r="BB421" s="68"/>
      <c r="BC421" s="70"/>
      <c r="BD421" s="68"/>
      <c r="BE421" s="68"/>
      <c r="BF421" s="68"/>
      <c r="BG421" s="68"/>
      <c r="BH421" s="68"/>
      <c r="BI421" s="68"/>
      <c r="BJ421" s="70"/>
      <c r="BM421" s="68"/>
      <c r="BN421" s="70"/>
      <c r="BT421" s="68"/>
      <c r="BU421" s="70"/>
      <c r="BZ421" s="10"/>
      <c r="CF421" s="10"/>
      <c r="CI421" s="389"/>
      <c r="CJ421" s="389"/>
      <c r="CK421" s="68"/>
      <c r="CL421" s="70"/>
      <c r="CO421" s="10"/>
      <c r="CU421" s="10"/>
      <c r="DA421" s="10"/>
      <c r="DB421" s="70"/>
      <c r="DC421" s="70"/>
      <c r="DF421" s="68"/>
      <c r="DG421" s="70"/>
      <c r="DH421" s="68"/>
      <c r="DI421" s="386"/>
      <c r="DJ421" s="425"/>
      <c r="DL421" s="68"/>
      <c r="DM421" s="70"/>
      <c r="DQ421" s="68"/>
      <c r="DR421" s="70"/>
      <c r="DS421" s="338"/>
      <c r="DT421" s="338"/>
      <c r="DU421" s="338"/>
      <c r="DW421" s="338"/>
      <c r="DX421" s="338"/>
      <c r="DY421" s="338"/>
      <c r="EA421" s="338"/>
      <c r="EB421" s="338"/>
      <c r="EC421" s="338"/>
      <c r="EE421" s="338"/>
      <c r="EF421" s="338"/>
      <c r="EG421" s="338"/>
      <c r="EI421" s="336"/>
      <c r="EJ421" s="336"/>
      <c r="EK421" s="336"/>
      <c r="EL421" s="336"/>
      <c r="EM421" s="336"/>
      <c r="EN421" s="336"/>
      <c r="EO421" s="337"/>
      <c r="EP421" s="342"/>
      <c r="EQ421" s="336"/>
      <c r="ER421" s="342"/>
      <c r="ES421" s="336"/>
      <c r="ET421" s="342"/>
      <c r="EU421" s="336"/>
      <c r="EV421" s="342"/>
      <c r="EW421" s="336"/>
      <c r="EX421" s="342"/>
      <c r="EY421" s="342"/>
      <c r="EZ421" s="342"/>
      <c r="FA421" s="337"/>
      <c r="FE421" s="338"/>
      <c r="FH421" s="338"/>
      <c r="FI421" s="338"/>
      <c r="FJ421" s="338"/>
      <c r="FK421" s="338"/>
      <c r="FL421" s="338"/>
      <c r="FM421" s="337"/>
      <c r="FN421" s="336"/>
      <c r="FO421" s="336"/>
      <c r="FP421" s="336"/>
      <c r="FQ421" s="336"/>
      <c r="FR421" s="336"/>
      <c r="FS421" s="336"/>
      <c r="FT421" s="336"/>
      <c r="FU421" s="336"/>
      <c r="FV421" s="336"/>
      <c r="FW421" s="337"/>
      <c r="FX421" s="532"/>
      <c r="FY421" s="341"/>
      <c r="FZ421" s="341"/>
      <c r="GA421" s="336"/>
      <c r="GB421" s="341"/>
      <c r="GC421" s="341"/>
      <c r="GD421" s="341"/>
      <c r="GE421" s="336"/>
      <c r="GF421" s="336"/>
      <c r="GG421" s="336"/>
      <c r="GH421" s="336"/>
      <c r="GI421" s="336"/>
      <c r="GJ421" s="337"/>
      <c r="GM421" s="338"/>
      <c r="GN421" s="338"/>
      <c r="GO421" s="338"/>
      <c r="GS421" s="338"/>
      <c r="GT421" s="338"/>
      <c r="GU421" s="338"/>
      <c r="GY421" s="338"/>
      <c r="GZ421" s="338"/>
      <c r="HA421" s="338"/>
      <c r="HE421" s="338"/>
      <c r="HF421" s="338"/>
      <c r="HG421" s="338"/>
      <c r="HN421" s="68"/>
      <c r="HO421" s="68"/>
      <c r="HP421" s="68"/>
      <c r="HQ421" s="336"/>
      <c r="HR421" s="68"/>
      <c r="HS421" s="68"/>
      <c r="HT421" s="10"/>
      <c r="HW421" s="338"/>
      <c r="HX421" s="338"/>
      <c r="HY421" s="338"/>
      <c r="IC421" s="338"/>
      <c r="ID421" s="338"/>
      <c r="IE421" s="338"/>
      <c r="II421" s="338"/>
      <c r="IJ421" s="338"/>
      <c r="IK421" s="338"/>
      <c r="IO421" s="338"/>
      <c r="IP421" s="338"/>
      <c r="IQ421" s="338"/>
      <c r="IX421" s="68"/>
      <c r="IY421" s="68"/>
      <c r="IZ421" s="68"/>
      <c r="JA421" s="68"/>
      <c r="JB421" s="68"/>
      <c r="JC421" s="68"/>
      <c r="JD421" s="10"/>
      <c r="JG421" s="338"/>
      <c r="JH421" s="338"/>
      <c r="JI421" s="338"/>
      <c r="JM421" s="338"/>
      <c r="JN421" s="338"/>
      <c r="JQ421" s="338"/>
      <c r="JR421" s="338"/>
      <c r="JS421" s="338"/>
      <c r="JW421" s="358"/>
      <c r="JX421" s="336"/>
      <c r="JY421" s="336"/>
      <c r="JZ421" s="336"/>
      <c r="KA421" s="336"/>
      <c r="KB421" s="336"/>
      <c r="KC421" s="336"/>
      <c r="KD421" s="336"/>
      <c r="KE421" s="336"/>
      <c r="KF421" s="336"/>
      <c r="KG421" s="337"/>
      <c r="KH421" s="338"/>
      <c r="KI421" s="338"/>
      <c r="KJ421" s="338"/>
      <c r="KK421" s="338"/>
      <c r="KL421" s="338"/>
      <c r="KM421" s="338"/>
      <c r="KN421" s="338"/>
      <c r="KO421" s="338"/>
      <c r="KP421" s="338"/>
      <c r="KQ421" s="338"/>
      <c r="KR421" s="338"/>
      <c r="KS421" s="338"/>
      <c r="KT421" s="338"/>
      <c r="KU421" s="338"/>
      <c r="KV421" s="338"/>
      <c r="KW421" s="337"/>
      <c r="KX421" s="336"/>
      <c r="KY421" s="336"/>
      <c r="KZ421" s="336"/>
      <c r="LA421" s="336"/>
      <c r="LB421" s="336"/>
      <c r="LC421" s="336"/>
      <c r="LD421" s="336"/>
      <c r="LE421" s="336"/>
      <c r="LF421" s="336"/>
      <c r="LG421" s="336"/>
      <c r="LH421" s="336"/>
      <c r="LI421" s="336"/>
      <c r="LJ421" s="336"/>
      <c r="LK421" s="336"/>
      <c r="LL421" s="336"/>
      <c r="LM421" s="336"/>
      <c r="LN421" s="336"/>
      <c r="LO421" s="336"/>
      <c r="LP421" s="336"/>
      <c r="LQ421" s="337"/>
      <c r="MN421" s="10"/>
      <c r="OA421" s="10"/>
    </row>
    <row r="422" spans="1:391" s="370" customFormat="1" x14ac:dyDescent="0.25">
      <c r="A422" s="68"/>
      <c r="B422" s="10"/>
      <c r="C422" s="68"/>
      <c r="D422" s="68"/>
      <c r="E422" s="68"/>
      <c r="F422" s="68"/>
      <c r="G422" s="68"/>
      <c r="H422" s="68"/>
      <c r="I422" s="68"/>
      <c r="J422" s="68"/>
      <c r="K422" s="68"/>
      <c r="L422" s="68"/>
      <c r="M422" s="68"/>
      <c r="N422" s="68"/>
      <c r="O422" s="68"/>
      <c r="P422" s="68"/>
      <c r="Q422" s="68"/>
      <c r="R422" s="68"/>
      <c r="S422" s="68"/>
      <c r="T422" s="70"/>
      <c r="AC422" s="68"/>
      <c r="AD422" s="70"/>
      <c r="AM422" s="68"/>
      <c r="AN422" s="70"/>
      <c r="AU422" s="68"/>
      <c r="AV422" s="70"/>
      <c r="BB422" s="68"/>
      <c r="BC422" s="70"/>
      <c r="BD422" s="68"/>
      <c r="BE422" s="68"/>
      <c r="BF422" s="68"/>
      <c r="BG422" s="68"/>
      <c r="BH422" s="68"/>
      <c r="BI422" s="68"/>
      <c r="BJ422" s="70"/>
      <c r="BM422" s="68"/>
      <c r="BN422" s="70"/>
      <c r="BT422" s="68"/>
      <c r="BU422" s="70"/>
      <c r="BZ422" s="10"/>
      <c r="CF422" s="10"/>
      <c r="CI422" s="389"/>
      <c r="CJ422" s="389"/>
      <c r="CK422" s="68"/>
      <c r="CL422" s="70"/>
      <c r="CO422" s="10"/>
      <c r="CU422" s="10"/>
      <c r="DA422" s="10"/>
      <c r="DB422" s="70"/>
      <c r="DC422" s="70"/>
      <c r="DF422" s="68"/>
      <c r="DG422" s="70"/>
      <c r="DH422" s="68"/>
      <c r="DI422" s="386"/>
      <c r="DJ422" s="425"/>
      <c r="DL422" s="68"/>
      <c r="DM422" s="70"/>
      <c r="DQ422" s="68"/>
      <c r="DR422" s="70"/>
      <c r="DS422" s="338"/>
      <c r="DT422" s="338"/>
      <c r="DU422" s="338"/>
      <c r="DW422" s="338"/>
      <c r="DX422" s="338"/>
      <c r="DY422" s="338"/>
      <c r="EA422" s="338"/>
      <c r="EB422" s="338"/>
      <c r="EC422" s="338"/>
      <c r="EE422" s="338"/>
      <c r="EF422" s="338"/>
      <c r="EG422" s="338"/>
      <c r="EI422" s="336"/>
      <c r="EJ422" s="336"/>
      <c r="EK422" s="336"/>
      <c r="EL422" s="336"/>
      <c r="EM422" s="336"/>
      <c r="EN422" s="336"/>
      <c r="EO422" s="337"/>
      <c r="EP422" s="342"/>
      <c r="EQ422" s="336"/>
      <c r="ER422" s="342"/>
      <c r="ES422" s="336"/>
      <c r="ET422" s="342"/>
      <c r="EU422" s="336"/>
      <c r="EV422" s="342"/>
      <c r="EW422" s="336"/>
      <c r="EX422" s="342"/>
      <c r="EY422" s="342"/>
      <c r="EZ422" s="342"/>
      <c r="FA422" s="337"/>
      <c r="FE422" s="338"/>
      <c r="FH422" s="338"/>
      <c r="FI422" s="338"/>
      <c r="FJ422" s="338"/>
      <c r="FK422" s="338"/>
      <c r="FL422" s="338"/>
      <c r="FM422" s="337"/>
      <c r="FN422" s="336"/>
      <c r="FO422" s="336"/>
      <c r="FP422" s="336"/>
      <c r="FQ422" s="336"/>
      <c r="FR422" s="336"/>
      <c r="FS422" s="336"/>
      <c r="FT422" s="336"/>
      <c r="FU422" s="336"/>
      <c r="FV422" s="336"/>
      <c r="FW422" s="337"/>
      <c r="FX422" s="532"/>
      <c r="FY422" s="341"/>
      <c r="FZ422" s="341"/>
      <c r="GA422" s="336"/>
      <c r="GB422" s="341"/>
      <c r="GC422" s="341"/>
      <c r="GD422" s="341"/>
      <c r="GE422" s="336"/>
      <c r="GF422" s="336"/>
      <c r="GG422" s="336"/>
      <c r="GH422" s="336"/>
      <c r="GI422" s="336"/>
      <c r="GJ422" s="337"/>
      <c r="GM422" s="338"/>
      <c r="GN422" s="338"/>
      <c r="GO422" s="338"/>
      <c r="GS422" s="338"/>
      <c r="GT422" s="338"/>
      <c r="GU422" s="338"/>
      <c r="GY422" s="338"/>
      <c r="GZ422" s="338"/>
      <c r="HA422" s="338"/>
      <c r="HE422" s="338"/>
      <c r="HF422" s="338"/>
      <c r="HG422" s="338"/>
      <c r="HN422" s="68"/>
      <c r="HO422" s="68"/>
      <c r="HP422" s="68"/>
      <c r="HQ422" s="336"/>
      <c r="HR422" s="68"/>
      <c r="HS422" s="68"/>
      <c r="HT422" s="10"/>
      <c r="HW422" s="338"/>
      <c r="HX422" s="338"/>
      <c r="HY422" s="338"/>
      <c r="IC422" s="338"/>
      <c r="ID422" s="338"/>
      <c r="IE422" s="338"/>
      <c r="II422" s="338"/>
      <c r="IJ422" s="338"/>
      <c r="IK422" s="338"/>
      <c r="IO422" s="338"/>
      <c r="IP422" s="338"/>
      <c r="IQ422" s="338"/>
      <c r="IX422" s="68"/>
      <c r="IY422" s="68"/>
      <c r="IZ422" s="68"/>
      <c r="JA422" s="68"/>
      <c r="JB422" s="68"/>
      <c r="JC422" s="68"/>
      <c r="JD422" s="10"/>
      <c r="JG422" s="338"/>
      <c r="JH422" s="338"/>
      <c r="JI422" s="338"/>
      <c r="JM422" s="338"/>
      <c r="JN422" s="338"/>
      <c r="JQ422" s="338"/>
      <c r="JR422" s="338"/>
      <c r="JS422" s="338"/>
      <c r="JW422" s="358"/>
      <c r="JX422" s="336"/>
      <c r="JY422" s="336"/>
      <c r="JZ422" s="336"/>
      <c r="KA422" s="336"/>
      <c r="KB422" s="336"/>
      <c r="KC422" s="336"/>
      <c r="KD422" s="336"/>
      <c r="KE422" s="336"/>
      <c r="KF422" s="336"/>
      <c r="KG422" s="337"/>
      <c r="KH422" s="338"/>
      <c r="KI422" s="338"/>
      <c r="KJ422" s="338"/>
      <c r="KK422" s="338"/>
      <c r="KL422" s="338"/>
      <c r="KM422" s="338"/>
      <c r="KN422" s="338"/>
      <c r="KO422" s="338"/>
      <c r="KP422" s="338"/>
      <c r="KQ422" s="338"/>
      <c r="KR422" s="338"/>
      <c r="KS422" s="338"/>
      <c r="KT422" s="338"/>
      <c r="KU422" s="338"/>
      <c r="KV422" s="338"/>
      <c r="KW422" s="337"/>
      <c r="KX422" s="336"/>
      <c r="KY422" s="336"/>
      <c r="KZ422" s="336"/>
      <c r="LA422" s="336"/>
      <c r="LB422" s="336"/>
      <c r="LC422" s="336"/>
      <c r="LD422" s="336"/>
      <c r="LE422" s="336"/>
      <c r="LF422" s="336"/>
      <c r="LG422" s="336"/>
      <c r="LH422" s="336"/>
      <c r="LI422" s="336"/>
      <c r="LJ422" s="336"/>
      <c r="LK422" s="336"/>
      <c r="LL422" s="336"/>
      <c r="LM422" s="336"/>
      <c r="LN422" s="336"/>
      <c r="LO422" s="336"/>
      <c r="LP422" s="336"/>
      <c r="LQ422" s="337"/>
      <c r="MN422" s="10"/>
      <c r="OA422" s="10"/>
    </row>
    <row r="423" spans="1:391" s="370" customFormat="1" x14ac:dyDescent="0.25">
      <c r="A423" s="68"/>
      <c r="B423" s="10"/>
      <c r="C423" s="68"/>
      <c r="D423" s="68"/>
      <c r="E423" s="68"/>
      <c r="F423" s="68"/>
      <c r="G423" s="68"/>
      <c r="H423" s="68"/>
      <c r="I423" s="68"/>
      <c r="J423" s="68"/>
      <c r="K423" s="68"/>
      <c r="L423" s="68"/>
      <c r="M423" s="68"/>
      <c r="N423" s="68"/>
      <c r="O423" s="68"/>
      <c r="P423" s="68"/>
      <c r="Q423" s="68"/>
      <c r="R423" s="68"/>
      <c r="S423" s="68"/>
      <c r="T423" s="70"/>
      <c r="AC423" s="68"/>
      <c r="AD423" s="70"/>
      <c r="AM423" s="68"/>
      <c r="AN423" s="70"/>
      <c r="AU423" s="68"/>
      <c r="AV423" s="70"/>
      <c r="BB423" s="68"/>
      <c r="BC423" s="70"/>
      <c r="BD423" s="68"/>
      <c r="BE423" s="68"/>
      <c r="BF423" s="68"/>
      <c r="BG423" s="68"/>
      <c r="BH423" s="68"/>
      <c r="BI423" s="68"/>
      <c r="BJ423" s="70"/>
      <c r="BM423" s="68"/>
      <c r="BN423" s="70"/>
      <c r="BT423" s="68"/>
      <c r="BU423" s="70"/>
      <c r="BZ423" s="10"/>
      <c r="CF423" s="10"/>
      <c r="CI423" s="389"/>
      <c r="CJ423" s="389"/>
      <c r="CK423" s="68"/>
      <c r="CL423" s="70"/>
      <c r="CO423" s="10"/>
      <c r="CU423" s="10"/>
      <c r="DA423" s="10"/>
      <c r="DB423" s="70"/>
      <c r="DC423" s="70"/>
      <c r="DF423" s="68"/>
      <c r="DG423" s="70"/>
      <c r="DH423" s="68"/>
      <c r="DI423" s="386"/>
      <c r="DJ423" s="425"/>
      <c r="DL423" s="68"/>
      <c r="DM423" s="70"/>
      <c r="DQ423" s="68"/>
      <c r="DR423" s="70"/>
      <c r="DS423" s="338"/>
      <c r="DT423" s="338"/>
      <c r="DU423" s="338"/>
      <c r="DW423" s="338"/>
      <c r="DX423" s="338"/>
      <c r="DY423" s="338"/>
      <c r="EA423" s="338"/>
      <c r="EB423" s="338"/>
      <c r="EC423" s="338"/>
      <c r="EE423" s="338"/>
      <c r="EF423" s="338"/>
      <c r="EG423" s="338"/>
      <c r="EI423" s="336"/>
      <c r="EJ423" s="336"/>
      <c r="EK423" s="336"/>
      <c r="EL423" s="336"/>
      <c r="EM423" s="336"/>
      <c r="EN423" s="336"/>
      <c r="EO423" s="337"/>
      <c r="EP423" s="342"/>
      <c r="EQ423" s="336"/>
      <c r="ER423" s="342"/>
      <c r="ES423" s="336"/>
      <c r="ET423" s="342"/>
      <c r="EU423" s="336"/>
      <c r="EV423" s="342"/>
      <c r="EW423" s="336"/>
      <c r="EX423" s="342"/>
      <c r="EY423" s="342"/>
      <c r="EZ423" s="342"/>
      <c r="FA423" s="337"/>
      <c r="FE423" s="338"/>
      <c r="FH423" s="338"/>
      <c r="FI423" s="338"/>
      <c r="FJ423" s="338"/>
      <c r="FK423" s="338"/>
      <c r="FL423" s="338"/>
      <c r="FM423" s="337"/>
      <c r="FN423" s="336"/>
      <c r="FO423" s="336"/>
      <c r="FP423" s="336"/>
      <c r="FQ423" s="336"/>
      <c r="FR423" s="336"/>
      <c r="FS423" s="336"/>
      <c r="FT423" s="336"/>
      <c r="FU423" s="336"/>
      <c r="FV423" s="336"/>
      <c r="FW423" s="337"/>
      <c r="FX423" s="532"/>
      <c r="FY423" s="341"/>
      <c r="FZ423" s="341"/>
      <c r="GA423" s="336"/>
      <c r="GB423" s="341"/>
      <c r="GC423" s="341"/>
      <c r="GD423" s="341"/>
      <c r="GE423" s="336"/>
      <c r="GF423" s="336"/>
      <c r="GG423" s="336"/>
      <c r="GH423" s="336"/>
      <c r="GI423" s="336"/>
      <c r="GJ423" s="337"/>
      <c r="GM423" s="338"/>
      <c r="GN423" s="338"/>
      <c r="GO423" s="338"/>
      <c r="GS423" s="338"/>
      <c r="GT423" s="338"/>
      <c r="GU423" s="338"/>
      <c r="GY423" s="338"/>
      <c r="GZ423" s="338"/>
      <c r="HA423" s="338"/>
      <c r="HE423" s="338"/>
      <c r="HF423" s="338"/>
      <c r="HG423" s="338"/>
      <c r="HN423" s="68"/>
      <c r="HO423" s="68"/>
      <c r="HP423" s="68"/>
      <c r="HQ423" s="336"/>
      <c r="HR423" s="68"/>
      <c r="HS423" s="68"/>
      <c r="HT423" s="10"/>
      <c r="HW423" s="338"/>
      <c r="HX423" s="338"/>
      <c r="HY423" s="338"/>
      <c r="IC423" s="338"/>
      <c r="ID423" s="338"/>
      <c r="IE423" s="338"/>
      <c r="II423" s="338"/>
      <c r="IJ423" s="338"/>
      <c r="IK423" s="338"/>
      <c r="IO423" s="338"/>
      <c r="IP423" s="338"/>
      <c r="IQ423" s="338"/>
      <c r="IX423" s="68"/>
      <c r="IY423" s="68"/>
      <c r="IZ423" s="68"/>
      <c r="JA423" s="68"/>
      <c r="JB423" s="68"/>
      <c r="JC423" s="68"/>
      <c r="JD423" s="10"/>
      <c r="JG423" s="338"/>
      <c r="JH423" s="338"/>
      <c r="JI423" s="338"/>
      <c r="JM423" s="338"/>
      <c r="JN423" s="338"/>
      <c r="JQ423" s="338"/>
      <c r="JR423" s="338"/>
      <c r="JS423" s="338"/>
      <c r="JW423" s="358"/>
      <c r="JX423" s="336"/>
      <c r="JY423" s="336"/>
      <c r="JZ423" s="336"/>
      <c r="KA423" s="336"/>
      <c r="KB423" s="336"/>
      <c r="KC423" s="336"/>
      <c r="KD423" s="336"/>
      <c r="KE423" s="336"/>
      <c r="KF423" s="336"/>
      <c r="KG423" s="337"/>
      <c r="KH423" s="338"/>
      <c r="KI423" s="338"/>
      <c r="KJ423" s="338"/>
      <c r="KK423" s="338"/>
      <c r="KL423" s="338"/>
      <c r="KM423" s="338"/>
      <c r="KN423" s="338"/>
      <c r="KO423" s="338"/>
      <c r="KP423" s="338"/>
      <c r="KQ423" s="338"/>
      <c r="KR423" s="338"/>
      <c r="KS423" s="338"/>
      <c r="KT423" s="338"/>
      <c r="KU423" s="338"/>
      <c r="KV423" s="338"/>
      <c r="KW423" s="337"/>
      <c r="KX423" s="336"/>
      <c r="KY423" s="336"/>
      <c r="KZ423" s="336"/>
      <c r="LA423" s="336"/>
      <c r="LB423" s="336"/>
      <c r="LC423" s="336"/>
      <c r="LD423" s="336"/>
      <c r="LE423" s="336"/>
      <c r="LF423" s="336"/>
      <c r="LG423" s="336"/>
      <c r="LH423" s="336"/>
      <c r="LI423" s="336"/>
      <c r="LJ423" s="336"/>
      <c r="LK423" s="336"/>
      <c r="LL423" s="336"/>
      <c r="LM423" s="336"/>
      <c r="LN423" s="336"/>
      <c r="LO423" s="336"/>
      <c r="LP423" s="336"/>
      <c r="LQ423" s="337"/>
      <c r="MN423" s="10"/>
      <c r="OA423" s="10"/>
    </row>
    <row r="424" spans="1:391" s="370" customFormat="1" x14ac:dyDescent="0.25">
      <c r="A424" s="68"/>
      <c r="B424" s="10"/>
      <c r="C424" s="68"/>
      <c r="D424" s="68"/>
      <c r="E424" s="68"/>
      <c r="F424" s="68"/>
      <c r="G424" s="68"/>
      <c r="H424" s="68"/>
      <c r="I424" s="68"/>
      <c r="J424" s="68"/>
      <c r="K424" s="68"/>
      <c r="L424" s="68"/>
      <c r="M424" s="68"/>
      <c r="N424" s="68"/>
      <c r="O424" s="68"/>
      <c r="P424" s="68"/>
      <c r="Q424" s="68"/>
      <c r="R424" s="68"/>
      <c r="S424" s="68"/>
      <c r="T424" s="70"/>
      <c r="AC424" s="68"/>
      <c r="AD424" s="70"/>
      <c r="AM424" s="68"/>
      <c r="AN424" s="70"/>
      <c r="AU424" s="68"/>
      <c r="AV424" s="70"/>
      <c r="BB424" s="68"/>
      <c r="BC424" s="70"/>
      <c r="BD424" s="68"/>
      <c r="BE424" s="68"/>
      <c r="BF424" s="68"/>
      <c r="BG424" s="68"/>
      <c r="BH424" s="68"/>
      <c r="BI424" s="68"/>
      <c r="BJ424" s="70"/>
      <c r="BM424" s="68"/>
      <c r="BN424" s="70"/>
      <c r="BT424" s="68"/>
      <c r="BU424" s="70"/>
      <c r="BZ424" s="10"/>
      <c r="CF424" s="10"/>
      <c r="CI424" s="389"/>
      <c r="CJ424" s="389"/>
      <c r="CK424" s="68"/>
      <c r="CL424" s="70"/>
      <c r="CO424" s="10"/>
      <c r="CU424" s="10"/>
      <c r="DA424" s="10"/>
      <c r="DB424" s="70"/>
      <c r="DC424" s="70"/>
      <c r="DF424" s="68"/>
      <c r="DG424" s="70"/>
      <c r="DH424" s="68"/>
      <c r="DI424" s="386"/>
      <c r="DJ424" s="425"/>
      <c r="DL424" s="68"/>
      <c r="DM424" s="70"/>
      <c r="DQ424" s="68"/>
      <c r="DR424" s="70"/>
      <c r="DS424" s="338"/>
      <c r="DT424" s="338"/>
      <c r="DU424" s="338"/>
      <c r="DW424" s="338"/>
      <c r="DX424" s="338"/>
      <c r="DY424" s="338"/>
      <c r="EA424" s="338"/>
      <c r="EB424" s="338"/>
      <c r="EC424" s="338"/>
      <c r="EE424" s="338"/>
      <c r="EF424" s="338"/>
      <c r="EG424" s="338"/>
      <c r="EI424" s="336"/>
      <c r="EJ424" s="336"/>
      <c r="EK424" s="336"/>
      <c r="EL424" s="336"/>
      <c r="EM424" s="336"/>
      <c r="EN424" s="336"/>
      <c r="EO424" s="337"/>
      <c r="EP424" s="342"/>
      <c r="EQ424" s="336"/>
      <c r="ER424" s="342"/>
      <c r="ES424" s="336"/>
      <c r="ET424" s="342"/>
      <c r="EU424" s="336"/>
      <c r="EV424" s="342"/>
      <c r="EW424" s="336"/>
      <c r="EX424" s="342"/>
      <c r="EY424" s="342"/>
      <c r="EZ424" s="342"/>
      <c r="FA424" s="337"/>
      <c r="FE424" s="338"/>
      <c r="FH424" s="338"/>
      <c r="FI424" s="338"/>
      <c r="FJ424" s="338"/>
      <c r="FK424" s="338"/>
      <c r="FL424" s="338"/>
      <c r="FM424" s="337"/>
      <c r="FN424" s="336"/>
      <c r="FO424" s="336"/>
      <c r="FP424" s="336"/>
      <c r="FQ424" s="336"/>
      <c r="FR424" s="336"/>
      <c r="FS424" s="336"/>
      <c r="FT424" s="336"/>
      <c r="FU424" s="336"/>
      <c r="FV424" s="336"/>
      <c r="FW424" s="337"/>
      <c r="FX424" s="532"/>
      <c r="FY424" s="341"/>
      <c r="FZ424" s="341"/>
      <c r="GA424" s="336"/>
      <c r="GB424" s="341"/>
      <c r="GC424" s="341"/>
      <c r="GD424" s="341"/>
      <c r="GE424" s="336"/>
      <c r="GF424" s="336"/>
      <c r="GG424" s="336"/>
      <c r="GH424" s="336"/>
      <c r="GI424" s="336"/>
      <c r="GJ424" s="337"/>
      <c r="GM424" s="338"/>
      <c r="GN424" s="338"/>
      <c r="GO424" s="338"/>
      <c r="GS424" s="338"/>
      <c r="GT424" s="338"/>
      <c r="GU424" s="338"/>
      <c r="GY424" s="338"/>
      <c r="GZ424" s="338"/>
      <c r="HA424" s="338"/>
      <c r="HE424" s="338"/>
      <c r="HF424" s="338"/>
      <c r="HG424" s="338"/>
      <c r="HN424" s="68"/>
      <c r="HO424" s="68"/>
      <c r="HP424" s="68"/>
      <c r="HQ424" s="336"/>
      <c r="HR424" s="68"/>
      <c r="HS424" s="68"/>
      <c r="HT424" s="10"/>
      <c r="HW424" s="338"/>
      <c r="HX424" s="338"/>
      <c r="HY424" s="338"/>
      <c r="IC424" s="338"/>
      <c r="ID424" s="338"/>
      <c r="IE424" s="338"/>
      <c r="II424" s="338"/>
      <c r="IJ424" s="338"/>
      <c r="IK424" s="338"/>
      <c r="IO424" s="338"/>
      <c r="IP424" s="338"/>
      <c r="IQ424" s="338"/>
      <c r="IX424" s="68"/>
      <c r="IY424" s="68"/>
      <c r="IZ424" s="68"/>
      <c r="JA424" s="68"/>
      <c r="JB424" s="68"/>
      <c r="JC424" s="68"/>
      <c r="JD424" s="10"/>
      <c r="JG424" s="338"/>
      <c r="JH424" s="338"/>
      <c r="JI424" s="338"/>
      <c r="JM424" s="338"/>
      <c r="JN424" s="338"/>
      <c r="JQ424" s="338"/>
      <c r="JR424" s="338"/>
      <c r="JS424" s="338"/>
      <c r="JW424" s="358"/>
      <c r="JX424" s="336"/>
      <c r="JY424" s="336"/>
      <c r="JZ424" s="336"/>
      <c r="KA424" s="336"/>
      <c r="KB424" s="336"/>
      <c r="KC424" s="336"/>
      <c r="KD424" s="336"/>
      <c r="KE424" s="336"/>
      <c r="KF424" s="336"/>
      <c r="KG424" s="337"/>
      <c r="KH424" s="338"/>
      <c r="KI424" s="338"/>
      <c r="KJ424" s="338"/>
      <c r="KK424" s="338"/>
      <c r="KL424" s="338"/>
      <c r="KM424" s="338"/>
      <c r="KN424" s="338"/>
      <c r="KO424" s="338"/>
      <c r="KP424" s="338"/>
      <c r="KQ424" s="338"/>
      <c r="KR424" s="338"/>
      <c r="KS424" s="338"/>
      <c r="KT424" s="338"/>
      <c r="KU424" s="338"/>
      <c r="KV424" s="338"/>
      <c r="KW424" s="337"/>
      <c r="KX424" s="336"/>
      <c r="KY424" s="336"/>
      <c r="KZ424" s="336"/>
      <c r="LA424" s="336"/>
      <c r="LB424" s="336"/>
      <c r="LC424" s="336"/>
      <c r="LD424" s="336"/>
      <c r="LE424" s="336"/>
      <c r="LF424" s="336"/>
      <c r="LG424" s="336"/>
      <c r="LH424" s="336"/>
      <c r="LI424" s="336"/>
      <c r="LJ424" s="336"/>
      <c r="LK424" s="336"/>
      <c r="LL424" s="336"/>
      <c r="LM424" s="336"/>
      <c r="LN424" s="336"/>
      <c r="LO424" s="336"/>
      <c r="LP424" s="336"/>
      <c r="LQ424" s="337"/>
      <c r="MN424" s="10"/>
      <c r="OA424" s="10"/>
    </row>
    <row r="425" spans="1:391" s="370" customFormat="1" x14ac:dyDescent="0.25">
      <c r="A425" s="68"/>
      <c r="B425" s="10"/>
      <c r="C425" s="68"/>
      <c r="D425" s="68"/>
      <c r="E425" s="68"/>
      <c r="F425" s="68"/>
      <c r="G425" s="68"/>
      <c r="H425" s="68"/>
      <c r="I425" s="68"/>
      <c r="J425" s="68"/>
      <c r="K425" s="68"/>
      <c r="L425" s="68"/>
      <c r="M425" s="68"/>
      <c r="N425" s="68"/>
      <c r="O425" s="68"/>
      <c r="P425" s="68"/>
      <c r="Q425" s="68"/>
      <c r="R425" s="68"/>
      <c r="S425" s="68"/>
      <c r="T425" s="70"/>
      <c r="AC425" s="68"/>
      <c r="AD425" s="70"/>
      <c r="AM425" s="68"/>
      <c r="AN425" s="70"/>
      <c r="AU425" s="68"/>
      <c r="AV425" s="70"/>
      <c r="BB425" s="68"/>
      <c r="BC425" s="70"/>
      <c r="BD425" s="68"/>
      <c r="BE425" s="68"/>
      <c r="BF425" s="68"/>
      <c r="BG425" s="68"/>
      <c r="BH425" s="68"/>
      <c r="BI425" s="68"/>
      <c r="BJ425" s="70"/>
      <c r="BM425" s="68"/>
      <c r="BN425" s="70"/>
      <c r="BT425" s="68"/>
      <c r="BU425" s="70"/>
      <c r="BZ425" s="10"/>
      <c r="CF425" s="10"/>
      <c r="CI425" s="389"/>
      <c r="CJ425" s="389"/>
      <c r="CK425" s="68"/>
      <c r="CL425" s="70"/>
      <c r="CO425" s="10"/>
      <c r="CU425" s="10"/>
      <c r="DA425" s="10"/>
      <c r="DB425" s="70"/>
      <c r="DC425" s="70"/>
      <c r="DF425" s="68"/>
      <c r="DG425" s="70"/>
      <c r="DH425" s="68"/>
      <c r="DI425" s="386"/>
      <c r="DJ425" s="425"/>
      <c r="DL425" s="68"/>
      <c r="DM425" s="70"/>
      <c r="DQ425" s="68"/>
      <c r="DR425" s="70"/>
      <c r="DS425" s="338"/>
      <c r="DT425" s="338"/>
      <c r="DU425" s="338"/>
      <c r="DW425" s="338"/>
      <c r="DX425" s="338"/>
      <c r="DY425" s="338"/>
      <c r="EA425" s="338"/>
      <c r="EB425" s="338"/>
      <c r="EC425" s="338"/>
      <c r="EE425" s="338"/>
      <c r="EF425" s="338"/>
      <c r="EG425" s="338"/>
      <c r="EI425" s="336"/>
      <c r="EJ425" s="336"/>
      <c r="EK425" s="336"/>
      <c r="EL425" s="336"/>
      <c r="EM425" s="336"/>
      <c r="EN425" s="336"/>
      <c r="EO425" s="337"/>
      <c r="EP425" s="342"/>
      <c r="EQ425" s="336"/>
      <c r="ER425" s="342"/>
      <c r="ES425" s="336"/>
      <c r="ET425" s="342"/>
      <c r="EU425" s="336"/>
      <c r="EV425" s="342"/>
      <c r="EW425" s="336"/>
      <c r="EX425" s="342"/>
      <c r="EY425" s="342"/>
      <c r="EZ425" s="342"/>
      <c r="FA425" s="337"/>
      <c r="FE425" s="338"/>
      <c r="FH425" s="338"/>
      <c r="FI425" s="338"/>
      <c r="FJ425" s="338"/>
      <c r="FK425" s="338"/>
      <c r="FL425" s="338"/>
      <c r="FM425" s="337"/>
      <c r="FN425" s="336"/>
      <c r="FO425" s="336"/>
      <c r="FP425" s="336"/>
      <c r="FQ425" s="336"/>
      <c r="FR425" s="336"/>
      <c r="FS425" s="336"/>
      <c r="FT425" s="336"/>
      <c r="FU425" s="336"/>
      <c r="FV425" s="336"/>
      <c r="FW425" s="337"/>
      <c r="FX425" s="532"/>
      <c r="FY425" s="341"/>
      <c r="FZ425" s="341"/>
      <c r="GA425" s="336"/>
      <c r="GB425" s="341"/>
      <c r="GC425" s="341"/>
      <c r="GD425" s="341"/>
      <c r="GE425" s="336"/>
      <c r="GF425" s="336"/>
      <c r="GG425" s="336"/>
      <c r="GH425" s="336"/>
      <c r="GI425" s="336"/>
      <c r="GJ425" s="337"/>
      <c r="GM425" s="338"/>
      <c r="GN425" s="338"/>
      <c r="GO425" s="338"/>
      <c r="GS425" s="338"/>
      <c r="GT425" s="338"/>
      <c r="GU425" s="338"/>
      <c r="GY425" s="338"/>
      <c r="GZ425" s="338"/>
      <c r="HA425" s="338"/>
      <c r="HE425" s="338"/>
      <c r="HF425" s="338"/>
      <c r="HG425" s="338"/>
      <c r="HN425" s="68"/>
      <c r="HO425" s="68"/>
      <c r="HP425" s="68"/>
      <c r="HQ425" s="336"/>
      <c r="HR425" s="68"/>
      <c r="HS425" s="68"/>
      <c r="HT425" s="10"/>
      <c r="HW425" s="338"/>
      <c r="HX425" s="338"/>
      <c r="HY425" s="338"/>
      <c r="IC425" s="338"/>
      <c r="ID425" s="338"/>
      <c r="IE425" s="338"/>
      <c r="II425" s="338"/>
      <c r="IJ425" s="338"/>
      <c r="IK425" s="338"/>
      <c r="IO425" s="338"/>
      <c r="IP425" s="338"/>
      <c r="IQ425" s="338"/>
      <c r="IX425" s="68"/>
      <c r="IY425" s="68"/>
      <c r="IZ425" s="68"/>
      <c r="JA425" s="68"/>
      <c r="JB425" s="68"/>
      <c r="JC425" s="68"/>
      <c r="JD425" s="10"/>
      <c r="JG425" s="338"/>
      <c r="JH425" s="338"/>
      <c r="JI425" s="338"/>
      <c r="JM425" s="338"/>
      <c r="JN425" s="338"/>
      <c r="JQ425" s="338"/>
      <c r="JR425" s="338"/>
      <c r="JS425" s="338"/>
      <c r="JW425" s="358"/>
      <c r="JX425" s="336"/>
      <c r="JY425" s="336"/>
      <c r="JZ425" s="336"/>
      <c r="KA425" s="336"/>
      <c r="KB425" s="336"/>
      <c r="KC425" s="336"/>
      <c r="KD425" s="336"/>
      <c r="KE425" s="336"/>
      <c r="KF425" s="336"/>
      <c r="KG425" s="337"/>
      <c r="KH425" s="338"/>
      <c r="KI425" s="338"/>
      <c r="KJ425" s="338"/>
      <c r="KK425" s="338"/>
      <c r="KL425" s="338"/>
      <c r="KM425" s="338"/>
      <c r="KN425" s="338"/>
      <c r="KO425" s="338"/>
      <c r="KP425" s="338"/>
      <c r="KQ425" s="338"/>
      <c r="KR425" s="338"/>
      <c r="KS425" s="338"/>
      <c r="KT425" s="338"/>
      <c r="KU425" s="338"/>
      <c r="KV425" s="338"/>
      <c r="KW425" s="337"/>
      <c r="KX425" s="336"/>
      <c r="KY425" s="336"/>
      <c r="KZ425" s="336"/>
      <c r="LA425" s="336"/>
      <c r="LB425" s="336"/>
      <c r="LC425" s="336"/>
      <c r="LD425" s="336"/>
      <c r="LE425" s="336"/>
      <c r="LF425" s="336"/>
      <c r="LG425" s="336"/>
      <c r="LH425" s="336"/>
      <c r="LI425" s="336"/>
      <c r="LJ425" s="336"/>
      <c r="LK425" s="336"/>
      <c r="LL425" s="336"/>
      <c r="LM425" s="336"/>
      <c r="LN425" s="336"/>
      <c r="LO425" s="336"/>
      <c r="LP425" s="336"/>
      <c r="LQ425" s="337"/>
      <c r="MN425" s="10"/>
      <c r="OA425" s="10"/>
    </row>
    <row r="426" spans="1:391" s="370" customFormat="1" x14ac:dyDescent="0.25">
      <c r="A426" s="68"/>
      <c r="B426" s="10"/>
      <c r="C426" s="68"/>
      <c r="D426" s="68"/>
      <c r="E426" s="68"/>
      <c r="F426" s="68"/>
      <c r="G426" s="68"/>
      <c r="H426" s="68"/>
      <c r="I426" s="68"/>
      <c r="J426" s="68"/>
      <c r="K426" s="68"/>
      <c r="L426" s="68"/>
      <c r="M426" s="68"/>
      <c r="N426" s="68"/>
      <c r="O426" s="68"/>
      <c r="P426" s="68"/>
      <c r="Q426" s="68"/>
      <c r="R426" s="68"/>
      <c r="S426" s="68"/>
      <c r="T426" s="70"/>
      <c r="AC426" s="68"/>
      <c r="AD426" s="70"/>
      <c r="AM426" s="68"/>
      <c r="AN426" s="70"/>
      <c r="AU426" s="68"/>
      <c r="AV426" s="70"/>
      <c r="BB426" s="68"/>
      <c r="BC426" s="70"/>
      <c r="BD426" s="68"/>
      <c r="BE426" s="68"/>
      <c r="BF426" s="68"/>
      <c r="BG426" s="68"/>
      <c r="BH426" s="68"/>
      <c r="BI426" s="68"/>
      <c r="BJ426" s="70"/>
      <c r="BM426" s="68"/>
      <c r="BN426" s="70"/>
      <c r="BT426" s="68"/>
      <c r="BU426" s="70"/>
      <c r="BZ426" s="10"/>
      <c r="CF426" s="10"/>
      <c r="CI426" s="389"/>
      <c r="CJ426" s="389"/>
      <c r="CK426" s="68"/>
      <c r="CL426" s="70"/>
      <c r="CO426" s="10"/>
      <c r="CU426" s="10"/>
      <c r="DA426" s="10"/>
      <c r="DB426" s="70"/>
      <c r="DC426" s="70"/>
      <c r="DF426" s="68"/>
      <c r="DG426" s="70"/>
      <c r="DH426" s="68"/>
      <c r="DI426" s="386"/>
      <c r="DJ426" s="425"/>
      <c r="DL426" s="68"/>
      <c r="DM426" s="70"/>
      <c r="DQ426" s="68"/>
      <c r="DR426" s="70"/>
      <c r="DS426" s="338"/>
      <c r="DT426" s="338"/>
      <c r="DU426" s="338"/>
      <c r="DW426" s="338"/>
      <c r="DX426" s="338"/>
      <c r="DY426" s="338"/>
      <c r="EA426" s="338"/>
      <c r="EB426" s="338"/>
      <c r="EC426" s="338"/>
      <c r="EE426" s="338"/>
      <c r="EF426" s="338"/>
      <c r="EG426" s="338"/>
      <c r="EI426" s="336"/>
      <c r="EJ426" s="336"/>
      <c r="EK426" s="336"/>
      <c r="EL426" s="336"/>
      <c r="EM426" s="336"/>
      <c r="EN426" s="336"/>
      <c r="EO426" s="337"/>
      <c r="EP426" s="342"/>
      <c r="EQ426" s="336"/>
      <c r="ER426" s="342"/>
      <c r="ES426" s="336"/>
      <c r="ET426" s="342"/>
      <c r="EU426" s="336"/>
      <c r="EV426" s="342"/>
      <c r="EW426" s="336"/>
      <c r="EX426" s="342"/>
      <c r="EY426" s="342"/>
      <c r="EZ426" s="342"/>
      <c r="FA426" s="337"/>
      <c r="FE426" s="338"/>
      <c r="FH426" s="338"/>
      <c r="FI426" s="338"/>
      <c r="FJ426" s="338"/>
      <c r="FK426" s="338"/>
      <c r="FL426" s="338"/>
      <c r="FM426" s="337"/>
      <c r="FN426" s="336"/>
      <c r="FO426" s="336"/>
      <c r="FP426" s="336"/>
      <c r="FQ426" s="336"/>
      <c r="FR426" s="336"/>
      <c r="FS426" s="336"/>
      <c r="FT426" s="336"/>
      <c r="FU426" s="336"/>
      <c r="FV426" s="336"/>
      <c r="FW426" s="337"/>
      <c r="FX426" s="532"/>
      <c r="FY426" s="341"/>
      <c r="FZ426" s="341"/>
      <c r="GA426" s="336"/>
      <c r="GB426" s="341"/>
      <c r="GC426" s="341"/>
      <c r="GD426" s="341"/>
      <c r="GE426" s="336"/>
      <c r="GF426" s="336"/>
      <c r="GG426" s="336"/>
      <c r="GH426" s="336"/>
      <c r="GI426" s="336"/>
      <c r="GJ426" s="337"/>
      <c r="GM426" s="338"/>
      <c r="GN426" s="338"/>
      <c r="GO426" s="338"/>
      <c r="GS426" s="338"/>
      <c r="GT426" s="338"/>
      <c r="GU426" s="338"/>
      <c r="GY426" s="338"/>
      <c r="GZ426" s="338"/>
      <c r="HA426" s="338"/>
      <c r="HE426" s="338"/>
      <c r="HF426" s="338"/>
      <c r="HG426" s="338"/>
      <c r="HN426" s="68"/>
      <c r="HO426" s="68"/>
      <c r="HP426" s="68"/>
      <c r="HQ426" s="336"/>
      <c r="HR426" s="68"/>
      <c r="HS426" s="68"/>
      <c r="HT426" s="10"/>
      <c r="HW426" s="338"/>
      <c r="HX426" s="338"/>
      <c r="HY426" s="338"/>
      <c r="IC426" s="338"/>
      <c r="ID426" s="338"/>
      <c r="IE426" s="338"/>
      <c r="II426" s="338"/>
      <c r="IJ426" s="338"/>
      <c r="IK426" s="338"/>
      <c r="IO426" s="338"/>
      <c r="IP426" s="338"/>
      <c r="IQ426" s="338"/>
      <c r="IX426" s="68"/>
      <c r="IY426" s="68"/>
      <c r="IZ426" s="68"/>
      <c r="JA426" s="68"/>
      <c r="JB426" s="68"/>
      <c r="JC426" s="68"/>
      <c r="JD426" s="10"/>
      <c r="JG426" s="338"/>
      <c r="JH426" s="338"/>
      <c r="JI426" s="338"/>
      <c r="JM426" s="338"/>
      <c r="JN426" s="338"/>
      <c r="JQ426" s="338"/>
      <c r="JR426" s="338"/>
      <c r="JS426" s="338"/>
      <c r="JW426" s="358"/>
      <c r="JX426" s="336"/>
      <c r="JY426" s="336"/>
      <c r="JZ426" s="336"/>
      <c r="KA426" s="336"/>
      <c r="KB426" s="336"/>
      <c r="KC426" s="336"/>
      <c r="KD426" s="336"/>
      <c r="KE426" s="336"/>
      <c r="KF426" s="336"/>
      <c r="KG426" s="337"/>
      <c r="KH426" s="338"/>
      <c r="KI426" s="338"/>
      <c r="KJ426" s="338"/>
      <c r="KK426" s="338"/>
      <c r="KL426" s="338"/>
      <c r="KM426" s="338"/>
      <c r="KN426" s="338"/>
      <c r="KO426" s="338"/>
      <c r="KP426" s="338"/>
      <c r="KQ426" s="338"/>
      <c r="KR426" s="338"/>
      <c r="KS426" s="338"/>
      <c r="KT426" s="338"/>
      <c r="KU426" s="338"/>
      <c r="KV426" s="338"/>
      <c r="KW426" s="337"/>
      <c r="KX426" s="336"/>
      <c r="KY426" s="336"/>
      <c r="KZ426" s="336"/>
      <c r="LA426" s="336"/>
      <c r="LB426" s="336"/>
      <c r="LC426" s="336"/>
      <c r="LD426" s="336"/>
      <c r="LE426" s="336"/>
      <c r="LF426" s="336"/>
      <c r="LG426" s="336"/>
      <c r="LH426" s="336"/>
      <c r="LI426" s="336"/>
      <c r="LJ426" s="336"/>
      <c r="LK426" s="336"/>
      <c r="LL426" s="336"/>
      <c r="LM426" s="336"/>
      <c r="LN426" s="336"/>
      <c r="LO426" s="336"/>
      <c r="LP426" s="336"/>
      <c r="LQ426" s="337"/>
      <c r="MN426" s="10"/>
      <c r="OA426" s="10"/>
    </row>
    <row r="427" spans="1:391" s="370" customFormat="1" x14ac:dyDescent="0.25">
      <c r="A427" s="68"/>
      <c r="B427" s="10"/>
      <c r="C427" s="68"/>
      <c r="D427" s="68"/>
      <c r="E427" s="68"/>
      <c r="F427" s="68"/>
      <c r="G427" s="68"/>
      <c r="H427" s="68"/>
      <c r="I427" s="68"/>
      <c r="J427" s="68"/>
      <c r="K427" s="68"/>
      <c r="L427" s="68"/>
      <c r="M427" s="68"/>
      <c r="N427" s="68"/>
      <c r="O427" s="68"/>
      <c r="P427" s="68"/>
      <c r="Q427" s="68"/>
      <c r="R427" s="68"/>
      <c r="S427" s="68"/>
      <c r="T427" s="70"/>
      <c r="AC427" s="68"/>
      <c r="AD427" s="70"/>
      <c r="AM427" s="68"/>
      <c r="AN427" s="70"/>
      <c r="AU427" s="68"/>
      <c r="AV427" s="70"/>
      <c r="BB427" s="68"/>
      <c r="BC427" s="70"/>
      <c r="BD427" s="68"/>
      <c r="BE427" s="68"/>
      <c r="BF427" s="68"/>
      <c r="BG427" s="68"/>
      <c r="BH427" s="68"/>
      <c r="BI427" s="68"/>
      <c r="BJ427" s="70"/>
      <c r="BM427" s="68"/>
      <c r="BN427" s="70"/>
      <c r="BT427" s="68"/>
      <c r="BU427" s="70"/>
      <c r="BZ427" s="10"/>
      <c r="CF427" s="10"/>
      <c r="CI427" s="389"/>
      <c r="CJ427" s="389"/>
      <c r="CK427" s="68"/>
      <c r="CL427" s="70"/>
      <c r="CO427" s="10"/>
      <c r="CU427" s="10"/>
      <c r="DA427" s="10"/>
      <c r="DB427" s="70"/>
      <c r="DC427" s="70"/>
      <c r="DF427" s="68"/>
      <c r="DG427" s="70"/>
      <c r="DH427" s="68"/>
      <c r="DI427" s="386"/>
      <c r="DJ427" s="425"/>
      <c r="DL427" s="68"/>
      <c r="DM427" s="70"/>
      <c r="DQ427" s="68"/>
      <c r="DR427" s="70"/>
      <c r="DS427" s="338"/>
      <c r="DT427" s="338"/>
      <c r="DU427" s="338"/>
      <c r="DW427" s="338"/>
      <c r="DX427" s="338"/>
      <c r="DY427" s="338"/>
      <c r="EA427" s="338"/>
      <c r="EB427" s="338"/>
      <c r="EC427" s="338"/>
      <c r="EE427" s="338"/>
      <c r="EF427" s="338"/>
      <c r="EG427" s="338"/>
      <c r="EI427" s="336"/>
      <c r="EJ427" s="336"/>
      <c r="EK427" s="336"/>
      <c r="EL427" s="336"/>
      <c r="EM427" s="336"/>
      <c r="EN427" s="336"/>
      <c r="EO427" s="337"/>
      <c r="EP427" s="342"/>
      <c r="EQ427" s="336"/>
      <c r="ER427" s="342"/>
      <c r="ES427" s="336"/>
      <c r="ET427" s="342"/>
      <c r="EU427" s="336"/>
      <c r="EV427" s="342"/>
      <c r="EW427" s="336"/>
      <c r="EX427" s="342"/>
      <c r="EY427" s="342"/>
      <c r="EZ427" s="342"/>
      <c r="FA427" s="337"/>
      <c r="FE427" s="338"/>
      <c r="FH427" s="338"/>
      <c r="FI427" s="338"/>
      <c r="FJ427" s="338"/>
      <c r="FK427" s="338"/>
      <c r="FL427" s="338"/>
      <c r="FM427" s="337"/>
      <c r="FN427" s="336"/>
      <c r="FO427" s="336"/>
      <c r="FP427" s="336"/>
      <c r="FQ427" s="336"/>
      <c r="FR427" s="336"/>
      <c r="FS427" s="336"/>
      <c r="FT427" s="336"/>
      <c r="FU427" s="336"/>
      <c r="FV427" s="336"/>
      <c r="FW427" s="337"/>
      <c r="FX427" s="532"/>
      <c r="FY427" s="341"/>
      <c r="FZ427" s="341"/>
      <c r="GA427" s="336"/>
      <c r="GB427" s="341"/>
      <c r="GC427" s="341"/>
      <c r="GD427" s="341"/>
      <c r="GE427" s="336"/>
      <c r="GF427" s="336"/>
      <c r="GG427" s="336"/>
      <c r="GH427" s="336"/>
      <c r="GI427" s="336"/>
      <c r="GJ427" s="337"/>
      <c r="GM427" s="338"/>
      <c r="GN427" s="338"/>
      <c r="GO427" s="338"/>
      <c r="GS427" s="338"/>
      <c r="GT427" s="338"/>
      <c r="GU427" s="338"/>
      <c r="GY427" s="338"/>
      <c r="GZ427" s="338"/>
      <c r="HA427" s="338"/>
      <c r="HE427" s="338"/>
      <c r="HF427" s="338"/>
      <c r="HG427" s="338"/>
      <c r="HN427" s="68"/>
      <c r="HO427" s="68"/>
      <c r="HP427" s="68"/>
      <c r="HQ427" s="336"/>
      <c r="HR427" s="68"/>
      <c r="HS427" s="68"/>
      <c r="HT427" s="10"/>
      <c r="HW427" s="338"/>
      <c r="HX427" s="338"/>
      <c r="HY427" s="338"/>
      <c r="IC427" s="338"/>
      <c r="ID427" s="338"/>
      <c r="IE427" s="338"/>
      <c r="II427" s="338"/>
      <c r="IJ427" s="338"/>
      <c r="IK427" s="338"/>
      <c r="IO427" s="338"/>
      <c r="IP427" s="338"/>
      <c r="IQ427" s="338"/>
      <c r="IX427" s="68"/>
      <c r="IY427" s="68"/>
      <c r="IZ427" s="68"/>
      <c r="JA427" s="68"/>
      <c r="JB427" s="68"/>
      <c r="JC427" s="68"/>
      <c r="JD427" s="10"/>
      <c r="JG427" s="338"/>
      <c r="JH427" s="338"/>
      <c r="JI427" s="338"/>
      <c r="JM427" s="338"/>
      <c r="JN427" s="338"/>
      <c r="JQ427" s="338"/>
      <c r="JR427" s="338"/>
      <c r="JS427" s="338"/>
      <c r="JW427" s="358"/>
      <c r="JX427" s="336"/>
      <c r="JY427" s="336"/>
      <c r="JZ427" s="336"/>
      <c r="KA427" s="336"/>
      <c r="KB427" s="336"/>
      <c r="KC427" s="336"/>
      <c r="KD427" s="336"/>
      <c r="KE427" s="336"/>
      <c r="KF427" s="336"/>
      <c r="KG427" s="337"/>
      <c r="KH427" s="338"/>
      <c r="KI427" s="338"/>
      <c r="KJ427" s="338"/>
      <c r="KK427" s="338"/>
      <c r="KL427" s="338"/>
      <c r="KM427" s="338"/>
      <c r="KN427" s="338"/>
      <c r="KO427" s="338"/>
      <c r="KP427" s="338"/>
      <c r="KQ427" s="338"/>
      <c r="KR427" s="338"/>
      <c r="KS427" s="338"/>
      <c r="KT427" s="338"/>
      <c r="KU427" s="338"/>
      <c r="KV427" s="338"/>
      <c r="KW427" s="337"/>
      <c r="KX427" s="336"/>
      <c r="KY427" s="336"/>
      <c r="KZ427" s="336"/>
      <c r="LA427" s="336"/>
      <c r="LB427" s="336"/>
      <c r="LC427" s="336"/>
      <c r="LD427" s="336"/>
      <c r="LE427" s="336"/>
      <c r="LF427" s="336"/>
      <c r="LG427" s="336"/>
      <c r="LH427" s="336"/>
      <c r="LI427" s="336"/>
      <c r="LJ427" s="336"/>
      <c r="LK427" s="336"/>
      <c r="LL427" s="336"/>
      <c r="LM427" s="336"/>
      <c r="LN427" s="336"/>
      <c r="LO427" s="336"/>
      <c r="LP427" s="336"/>
      <c r="LQ427" s="337"/>
      <c r="MN427" s="10"/>
      <c r="OA427" s="10"/>
    </row>
    <row r="428" spans="1:391" s="370" customFormat="1" x14ac:dyDescent="0.25">
      <c r="A428" s="68"/>
      <c r="B428" s="10"/>
      <c r="C428" s="68"/>
      <c r="D428" s="68"/>
      <c r="E428" s="68"/>
      <c r="F428" s="68"/>
      <c r="G428" s="68"/>
      <c r="H428" s="68"/>
      <c r="I428" s="68"/>
      <c r="J428" s="68"/>
      <c r="K428" s="68"/>
      <c r="L428" s="68"/>
      <c r="M428" s="68"/>
      <c r="N428" s="68"/>
      <c r="O428" s="68"/>
      <c r="P428" s="68"/>
      <c r="Q428" s="68"/>
      <c r="R428" s="68"/>
      <c r="S428" s="68"/>
      <c r="T428" s="70"/>
      <c r="AC428" s="68"/>
      <c r="AD428" s="70"/>
      <c r="AM428" s="68"/>
      <c r="AN428" s="70"/>
      <c r="AU428" s="68"/>
      <c r="AV428" s="70"/>
      <c r="BB428" s="68"/>
      <c r="BC428" s="70"/>
      <c r="BD428" s="68"/>
      <c r="BE428" s="68"/>
      <c r="BF428" s="68"/>
      <c r="BG428" s="68"/>
      <c r="BH428" s="68"/>
      <c r="BI428" s="68"/>
      <c r="BJ428" s="70"/>
      <c r="BM428" s="68"/>
      <c r="BN428" s="70"/>
      <c r="BT428" s="68"/>
      <c r="BU428" s="70"/>
      <c r="BZ428" s="10"/>
      <c r="CF428" s="10"/>
      <c r="CI428" s="389"/>
      <c r="CJ428" s="389"/>
      <c r="CK428" s="68"/>
      <c r="CL428" s="70"/>
      <c r="CO428" s="10"/>
      <c r="CU428" s="10"/>
      <c r="DA428" s="10"/>
      <c r="DB428" s="70"/>
      <c r="DC428" s="70"/>
      <c r="DF428" s="68"/>
      <c r="DG428" s="70"/>
      <c r="DH428" s="68"/>
      <c r="DI428" s="386"/>
      <c r="DJ428" s="425"/>
      <c r="DL428" s="68"/>
      <c r="DM428" s="70"/>
      <c r="DQ428" s="68"/>
      <c r="DR428" s="70"/>
      <c r="DS428" s="338"/>
      <c r="DT428" s="338"/>
      <c r="DU428" s="338"/>
      <c r="DW428" s="338"/>
      <c r="DX428" s="338"/>
      <c r="DY428" s="338"/>
      <c r="EA428" s="338"/>
      <c r="EB428" s="338"/>
      <c r="EC428" s="338"/>
      <c r="EE428" s="338"/>
      <c r="EF428" s="338"/>
      <c r="EG428" s="338"/>
      <c r="EI428" s="336"/>
      <c r="EJ428" s="336"/>
      <c r="EK428" s="336"/>
      <c r="EL428" s="336"/>
      <c r="EM428" s="336"/>
      <c r="EN428" s="336"/>
      <c r="EO428" s="337"/>
      <c r="EP428" s="342"/>
      <c r="EQ428" s="336"/>
      <c r="ER428" s="342"/>
      <c r="ES428" s="336"/>
      <c r="ET428" s="342"/>
      <c r="EU428" s="336"/>
      <c r="EV428" s="342"/>
      <c r="EW428" s="336"/>
      <c r="EX428" s="342"/>
      <c r="EY428" s="342"/>
      <c r="EZ428" s="342"/>
      <c r="FA428" s="337"/>
      <c r="FE428" s="338"/>
      <c r="FH428" s="338"/>
      <c r="FI428" s="338"/>
      <c r="FJ428" s="338"/>
      <c r="FK428" s="338"/>
      <c r="FL428" s="338"/>
      <c r="FM428" s="337"/>
      <c r="FN428" s="336"/>
      <c r="FO428" s="336"/>
      <c r="FP428" s="336"/>
      <c r="FQ428" s="336"/>
      <c r="FR428" s="336"/>
      <c r="FS428" s="336"/>
      <c r="FT428" s="336"/>
      <c r="FU428" s="336"/>
      <c r="FV428" s="336"/>
      <c r="FW428" s="337"/>
      <c r="FX428" s="532"/>
      <c r="FY428" s="341"/>
      <c r="FZ428" s="341"/>
      <c r="GA428" s="336"/>
      <c r="GB428" s="341"/>
      <c r="GC428" s="341"/>
      <c r="GD428" s="341"/>
      <c r="GE428" s="336"/>
      <c r="GF428" s="336"/>
      <c r="GG428" s="336"/>
      <c r="GH428" s="336"/>
      <c r="GI428" s="336"/>
      <c r="GJ428" s="337"/>
      <c r="GM428" s="338"/>
      <c r="GN428" s="338"/>
      <c r="GO428" s="338"/>
      <c r="GS428" s="338"/>
      <c r="GT428" s="338"/>
      <c r="GU428" s="338"/>
      <c r="GY428" s="338"/>
      <c r="GZ428" s="338"/>
      <c r="HA428" s="338"/>
      <c r="HE428" s="338"/>
      <c r="HF428" s="338"/>
      <c r="HG428" s="338"/>
      <c r="HN428" s="68"/>
      <c r="HO428" s="68"/>
      <c r="HP428" s="68"/>
      <c r="HQ428" s="336"/>
      <c r="HR428" s="68"/>
      <c r="HS428" s="68"/>
      <c r="HT428" s="10"/>
      <c r="HW428" s="338"/>
      <c r="HX428" s="338"/>
      <c r="HY428" s="338"/>
      <c r="IC428" s="338"/>
      <c r="ID428" s="338"/>
      <c r="IE428" s="338"/>
      <c r="II428" s="338"/>
      <c r="IJ428" s="338"/>
      <c r="IK428" s="338"/>
      <c r="IO428" s="338"/>
      <c r="IP428" s="338"/>
      <c r="IQ428" s="338"/>
      <c r="IX428" s="68"/>
      <c r="IY428" s="68"/>
      <c r="IZ428" s="68"/>
      <c r="JA428" s="68"/>
      <c r="JB428" s="68"/>
      <c r="JC428" s="68"/>
      <c r="JD428" s="10"/>
      <c r="JG428" s="338"/>
      <c r="JH428" s="338"/>
      <c r="JI428" s="338"/>
      <c r="JM428" s="338"/>
      <c r="JN428" s="338"/>
      <c r="JQ428" s="338"/>
      <c r="JR428" s="338"/>
      <c r="JS428" s="338"/>
      <c r="JW428" s="358"/>
      <c r="JX428" s="336"/>
      <c r="JY428" s="336"/>
      <c r="JZ428" s="336"/>
      <c r="KA428" s="336"/>
      <c r="KB428" s="336"/>
      <c r="KC428" s="336"/>
      <c r="KD428" s="336"/>
      <c r="KE428" s="336"/>
      <c r="KF428" s="336"/>
      <c r="KG428" s="337"/>
      <c r="KH428" s="338"/>
      <c r="KI428" s="338"/>
      <c r="KJ428" s="338"/>
      <c r="KK428" s="338"/>
      <c r="KL428" s="338"/>
      <c r="KM428" s="338"/>
      <c r="KN428" s="338"/>
      <c r="KO428" s="338"/>
      <c r="KP428" s="338"/>
      <c r="KQ428" s="338"/>
      <c r="KR428" s="338"/>
      <c r="KS428" s="338"/>
      <c r="KT428" s="338"/>
      <c r="KU428" s="338"/>
      <c r="KV428" s="338"/>
      <c r="KW428" s="337"/>
      <c r="KX428" s="336"/>
      <c r="KY428" s="336"/>
      <c r="KZ428" s="336"/>
      <c r="LA428" s="336"/>
      <c r="LB428" s="336"/>
      <c r="LC428" s="336"/>
      <c r="LD428" s="336"/>
      <c r="LE428" s="336"/>
      <c r="LF428" s="336"/>
      <c r="LG428" s="336"/>
      <c r="LH428" s="336"/>
      <c r="LI428" s="336"/>
      <c r="LJ428" s="336"/>
      <c r="LK428" s="336"/>
      <c r="LL428" s="336"/>
      <c r="LM428" s="336"/>
      <c r="LN428" s="336"/>
      <c r="LO428" s="336"/>
      <c r="LP428" s="336"/>
      <c r="LQ428" s="337"/>
      <c r="MN428" s="10"/>
      <c r="OA428" s="10"/>
    </row>
    <row r="429" spans="1:391" s="370" customFormat="1" x14ac:dyDescent="0.25">
      <c r="A429" s="68"/>
      <c r="B429" s="10"/>
      <c r="C429" s="68"/>
      <c r="D429" s="68"/>
      <c r="E429" s="68"/>
      <c r="F429" s="68"/>
      <c r="G429" s="68"/>
      <c r="H429" s="68"/>
      <c r="I429" s="68"/>
      <c r="J429" s="68"/>
      <c r="K429" s="68"/>
      <c r="L429" s="68"/>
      <c r="M429" s="68"/>
      <c r="N429" s="68"/>
      <c r="O429" s="68"/>
      <c r="P429" s="68"/>
      <c r="Q429" s="68"/>
      <c r="R429" s="68"/>
      <c r="S429" s="68"/>
      <c r="T429" s="70"/>
      <c r="AC429" s="68"/>
      <c r="AD429" s="70"/>
      <c r="AM429" s="68"/>
      <c r="AN429" s="70"/>
      <c r="AU429" s="68"/>
      <c r="AV429" s="70"/>
      <c r="BB429" s="68"/>
      <c r="BC429" s="70"/>
      <c r="BD429" s="68"/>
      <c r="BE429" s="68"/>
      <c r="BF429" s="68"/>
      <c r="BG429" s="68"/>
      <c r="BH429" s="68"/>
      <c r="BI429" s="68"/>
      <c r="BJ429" s="70"/>
      <c r="BM429" s="68"/>
      <c r="BN429" s="70"/>
      <c r="BT429" s="68"/>
      <c r="BU429" s="70"/>
      <c r="BZ429" s="10"/>
      <c r="CF429" s="10"/>
      <c r="CI429" s="389"/>
      <c r="CJ429" s="389"/>
      <c r="CK429" s="68"/>
      <c r="CL429" s="70"/>
      <c r="CO429" s="10"/>
      <c r="CU429" s="10"/>
      <c r="DA429" s="10"/>
      <c r="DB429" s="70"/>
      <c r="DC429" s="70"/>
      <c r="DF429" s="68"/>
      <c r="DG429" s="70"/>
      <c r="DH429" s="68"/>
      <c r="DI429" s="386"/>
      <c r="DJ429" s="425"/>
      <c r="DL429" s="68"/>
      <c r="DM429" s="70"/>
      <c r="DQ429" s="68"/>
      <c r="DR429" s="70"/>
      <c r="DS429" s="338"/>
      <c r="DT429" s="338"/>
      <c r="DU429" s="338"/>
      <c r="DW429" s="338"/>
      <c r="DX429" s="338"/>
      <c r="DY429" s="338"/>
      <c r="EA429" s="338"/>
      <c r="EB429" s="338"/>
      <c r="EC429" s="338"/>
      <c r="EE429" s="338"/>
      <c r="EF429" s="338"/>
      <c r="EG429" s="338"/>
      <c r="EI429" s="336"/>
      <c r="EJ429" s="336"/>
      <c r="EK429" s="336"/>
      <c r="EL429" s="336"/>
      <c r="EM429" s="336"/>
      <c r="EN429" s="336"/>
      <c r="EO429" s="337"/>
      <c r="EP429" s="342"/>
      <c r="EQ429" s="336"/>
      <c r="ER429" s="342"/>
      <c r="ES429" s="336"/>
      <c r="ET429" s="342"/>
      <c r="EU429" s="336"/>
      <c r="EV429" s="342"/>
      <c r="EW429" s="336"/>
      <c r="EX429" s="342"/>
      <c r="EY429" s="342"/>
      <c r="EZ429" s="342"/>
      <c r="FA429" s="337"/>
      <c r="FE429" s="338"/>
      <c r="FH429" s="338"/>
      <c r="FI429" s="338"/>
      <c r="FJ429" s="338"/>
      <c r="FK429" s="338"/>
      <c r="FL429" s="338"/>
      <c r="FM429" s="337"/>
      <c r="FN429" s="336"/>
      <c r="FO429" s="336"/>
      <c r="FP429" s="336"/>
      <c r="FQ429" s="336"/>
      <c r="FR429" s="336"/>
      <c r="FS429" s="336"/>
      <c r="FT429" s="336"/>
      <c r="FU429" s="336"/>
      <c r="FV429" s="336"/>
      <c r="FW429" s="337"/>
      <c r="FX429" s="532"/>
      <c r="FY429" s="341"/>
      <c r="FZ429" s="341"/>
      <c r="GA429" s="336"/>
      <c r="GB429" s="341"/>
      <c r="GC429" s="341"/>
      <c r="GD429" s="341"/>
      <c r="GE429" s="336"/>
      <c r="GF429" s="336"/>
      <c r="GG429" s="336"/>
      <c r="GH429" s="336"/>
      <c r="GI429" s="336"/>
      <c r="GJ429" s="337"/>
      <c r="GM429" s="338"/>
      <c r="GN429" s="338"/>
      <c r="GO429" s="338"/>
      <c r="GS429" s="338"/>
      <c r="GT429" s="338"/>
      <c r="GU429" s="338"/>
      <c r="GY429" s="338"/>
      <c r="GZ429" s="338"/>
      <c r="HA429" s="338"/>
      <c r="HE429" s="338"/>
      <c r="HF429" s="338"/>
      <c r="HG429" s="338"/>
      <c r="HN429" s="68"/>
      <c r="HO429" s="68"/>
      <c r="HP429" s="68"/>
      <c r="HQ429" s="336"/>
      <c r="HR429" s="68"/>
      <c r="HS429" s="68"/>
      <c r="HT429" s="10"/>
      <c r="HW429" s="338"/>
      <c r="HX429" s="338"/>
      <c r="HY429" s="338"/>
      <c r="IC429" s="338"/>
      <c r="ID429" s="338"/>
      <c r="IE429" s="338"/>
      <c r="II429" s="338"/>
      <c r="IJ429" s="338"/>
      <c r="IK429" s="338"/>
      <c r="IO429" s="338"/>
      <c r="IP429" s="338"/>
      <c r="IQ429" s="338"/>
      <c r="IX429" s="68"/>
      <c r="IY429" s="68"/>
      <c r="IZ429" s="68"/>
      <c r="JA429" s="68"/>
      <c r="JB429" s="68"/>
      <c r="JC429" s="68"/>
      <c r="JD429" s="10"/>
      <c r="JG429" s="338"/>
      <c r="JH429" s="338"/>
      <c r="JI429" s="338"/>
      <c r="JM429" s="338"/>
      <c r="JN429" s="338"/>
      <c r="JQ429" s="338"/>
      <c r="JR429" s="338"/>
      <c r="JS429" s="338"/>
      <c r="JW429" s="358"/>
      <c r="JX429" s="336"/>
      <c r="JY429" s="336"/>
      <c r="JZ429" s="336"/>
      <c r="KA429" s="336"/>
      <c r="KB429" s="336"/>
      <c r="KC429" s="336"/>
      <c r="KD429" s="336"/>
      <c r="KE429" s="336"/>
      <c r="KF429" s="336"/>
      <c r="KG429" s="337"/>
      <c r="KH429" s="338"/>
      <c r="KI429" s="338"/>
      <c r="KJ429" s="338"/>
      <c r="KK429" s="338"/>
      <c r="KL429" s="338"/>
      <c r="KM429" s="338"/>
      <c r="KN429" s="338"/>
      <c r="KO429" s="338"/>
      <c r="KP429" s="338"/>
      <c r="KQ429" s="338"/>
      <c r="KR429" s="338"/>
      <c r="KS429" s="338"/>
      <c r="KT429" s="338"/>
      <c r="KU429" s="338"/>
      <c r="KV429" s="338"/>
      <c r="KW429" s="337"/>
      <c r="KX429" s="336"/>
      <c r="KY429" s="336"/>
      <c r="KZ429" s="336"/>
      <c r="LA429" s="336"/>
      <c r="LB429" s="336"/>
      <c r="LC429" s="336"/>
      <c r="LD429" s="336"/>
      <c r="LE429" s="336"/>
      <c r="LF429" s="336"/>
      <c r="LG429" s="336"/>
      <c r="LH429" s="336"/>
      <c r="LI429" s="336"/>
      <c r="LJ429" s="336"/>
      <c r="LK429" s="336"/>
      <c r="LL429" s="336"/>
      <c r="LM429" s="336"/>
      <c r="LN429" s="336"/>
      <c r="LO429" s="336"/>
      <c r="LP429" s="336"/>
      <c r="LQ429" s="337"/>
      <c r="MN429" s="10"/>
      <c r="OA429" s="10"/>
    </row>
    <row r="430" spans="1:391" s="370" customFormat="1" x14ac:dyDescent="0.25">
      <c r="A430" s="68"/>
      <c r="B430" s="10"/>
      <c r="C430" s="68"/>
      <c r="D430" s="68"/>
      <c r="E430" s="68"/>
      <c r="F430" s="68"/>
      <c r="G430" s="68"/>
      <c r="H430" s="68"/>
      <c r="I430" s="68"/>
      <c r="J430" s="68"/>
      <c r="K430" s="68"/>
      <c r="L430" s="68"/>
      <c r="M430" s="68"/>
      <c r="N430" s="68"/>
      <c r="O430" s="68"/>
      <c r="P430" s="68"/>
      <c r="Q430" s="68"/>
      <c r="R430" s="68"/>
      <c r="S430" s="68"/>
      <c r="T430" s="70"/>
      <c r="AC430" s="68"/>
      <c r="AD430" s="70"/>
      <c r="AM430" s="68"/>
      <c r="AN430" s="70"/>
      <c r="AU430" s="68"/>
      <c r="AV430" s="70"/>
      <c r="BB430" s="68"/>
      <c r="BC430" s="70"/>
      <c r="BD430" s="68"/>
      <c r="BE430" s="68"/>
      <c r="BF430" s="68"/>
      <c r="BG430" s="68"/>
      <c r="BH430" s="68"/>
      <c r="BI430" s="68"/>
      <c r="BJ430" s="70"/>
      <c r="BM430" s="68"/>
      <c r="BN430" s="70"/>
      <c r="BT430" s="68"/>
      <c r="BU430" s="70"/>
      <c r="BZ430" s="10"/>
      <c r="CF430" s="10"/>
      <c r="CI430" s="389"/>
      <c r="CJ430" s="389"/>
      <c r="CK430" s="68"/>
      <c r="CL430" s="70"/>
      <c r="CO430" s="10"/>
      <c r="CU430" s="10"/>
      <c r="DA430" s="10"/>
      <c r="DB430" s="70"/>
      <c r="DC430" s="70"/>
      <c r="DF430" s="68"/>
      <c r="DG430" s="70"/>
      <c r="DH430" s="68"/>
      <c r="DI430" s="386"/>
      <c r="DJ430" s="425"/>
      <c r="DL430" s="68"/>
      <c r="DM430" s="70"/>
      <c r="DQ430" s="68"/>
      <c r="DR430" s="70"/>
      <c r="DS430" s="338"/>
      <c r="DT430" s="338"/>
      <c r="DU430" s="338"/>
      <c r="DW430" s="338"/>
      <c r="DX430" s="338"/>
      <c r="DY430" s="338"/>
      <c r="EA430" s="338"/>
      <c r="EB430" s="338"/>
      <c r="EC430" s="338"/>
      <c r="EE430" s="338"/>
      <c r="EF430" s="338"/>
      <c r="EG430" s="338"/>
      <c r="EI430" s="336"/>
      <c r="EJ430" s="336"/>
      <c r="EK430" s="336"/>
      <c r="EL430" s="336"/>
      <c r="EM430" s="336"/>
      <c r="EN430" s="336"/>
      <c r="EO430" s="337"/>
      <c r="EP430" s="342"/>
      <c r="EQ430" s="336"/>
      <c r="ER430" s="342"/>
      <c r="ES430" s="336"/>
      <c r="ET430" s="342"/>
      <c r="EU430" s="336"/>
      <c r="EV430" s="342"/>
      <c r="EW430" s="336"/>
      <c r="EX430" s="342"/>
      <c r="EY430" s="342"/>
      <c r="EZ430" s="342"/>
      <c r="FA430" s="337"/>
      <c r="FE430" s="338"/>
      <c r="FH430" s="338"/>
      <c r="FI430" s="338"/>
      <c r="FJ430" s="338"/>
      <c r="FK430" s="338"/>
      <c r="FL430" s="338"/>
      <c r="FM430" s="337"/>
      <c r="FN430" s="336"/>
      <c r="FO430" s="336"/>
      <c r="FP430" s="336"/>
      <c r="FQ430" s="336"/>
      <c r="FR430" s="336"/>
      <c r="FS430" s="336"/>
      <c r="FT430" s="336"/>
      <c r="FU430" s="336"/>
      <c r="FV430" s="336"/>
      <c r="FW430" s="337"/>
      <c r="FX430" s="532"/>
      <c r="FY430" s="341"/>
      <c r="FZ430" s="341"/>
      <c r="GA430" s="336"/>
      <c r="GB430" s="341"/>
      <c r="GC430" s="341"/>
      <c r="GD430" s="341"/>
      <c r="GE430" s="336"/>
      <c r="GF430" s="336"/>
      <c r="GG430" s="336"/>
      <c r="GH430" s="336"/>
      <c r="GI430" s="336"/>
      <c r="GJ430" s="337"/>
      <c r="GM430" s="338"/>
      <c r="GN430" s="338"/>
      <c r="GO430" s="338"/>
      <c r="GS430" s="338"/>
      <c r="GT430" s="338"/>
      <c r="GU430" s="338"/>
      <c r="GY430" s="338"/>
      <c r="GZ430" s="338"/>
      <c r="HA430" s="338"/>
      <c r="HE430" s="338"/>
      <c r="HF430" s="338"/>
      <c r="HG430" s="338"/>
      <c r="HN430" s="68"/>
      <c r="HO430" s="68"/>
      <c r="HP430" s="68"/>
      <c r="HQ430" s="336"/>
      <c r="HR430" s="68"/>
      <c r="HS430" s="68"/>
      <c r="HT430" s="10"/>
      <c r="HW430" s="338"/>
      <c r="HX430" s="338"/>
      <c r="HY430" s="338"/>
      <c r="IC430" s="338"/>
      <c r="ID430" s="338"/>
      <c r="IE430" s="338"/>
      <c r="II430" s="338"/>
      <c r="IJ430" s="338"/>
      <c r="IK430" s="338"/>
      <c r="IO430" s="338"/>
      <c r="IP430" s="338"/>
      <c r="IQ430" s="338"/>
      <c r="IX430" s="68"/>
      <c r="IY430" s="68"/>
      <c r="IZ430" s="68"/>
      <c r="JA430" s="68"/>
      <c r="JB430" s="68"/>
      <c r="JC430" s="68"/>
      <c r="JD430" s="10"/>
      <c r="JG430" s="338"/>
      <c r="JH430" s="338"/>
      <c r="JI430" s="338"/>
      <c r="JM430" s="338"/>
      <c r="JN430" s="338"/>
      <c r="JQ430" s="338"/>
      <c r="JR430" s="338"/>
      <c r="JS430" s="338"/>
      <c r="JW430" s="358"/>
      <c r="JX430" s="336"/>
      <c r="JY430" s="336"/>
      <c r="JZ430" s="336"/>
      <c r="KA430" s="336"/>
      <c r="KB430" s="336"/>
      <c r="KC430" s="336"/>
      <c r="KD430" s="336"/>
      <c r="KE430" s="336"/>
      <c r="KF430" s="336"/>
      <c r="KG430" s="337"/>
      <c r="KH430" s="338"/>
      <c r="KI430" s="338"/>
      <c r="KJ430" s="338"/>
      <c r="KK430" s="338"/>
      <c r="KL430" s="338"/>
      <c r="KM430" s="338"/>
      <c r="KN430" s="338"/>
      <c r="KO430" s="338"/>
      <c r="KP430" s="338"/>
      <c r="KQ430" s="338"/>
      <c r="KR430" s="338"/>
      <c r="KS430" s="338"/>
      <c r="KT430" s="338"/>
      <c r="KU430" s="338"/>
      <c r="KV430" s="338"/>
      <c r="KW430" s="337"/>
      <c r="KX430" s="336"/>
      <c r="KY430" s="336"/>
      <c r="KZ430" s="336"/>
      <c r="LA430" s="336"/>
      <c r="LB430" s="336"/>
      <c r="LC430" s="336"/>
      <c r="LD430" s="336"/>
      <c r="LE430" s="336"/>
      <c r="LF430" s="336"/>
      <c r="LG430" s="336"/>
      <c r="LH430" s="336"/>
      <c r="LI430" s="336"/>
      <c r="LJ430" s="336"/>
      <c r="LK430" s="336"/>
      <c r="LL430" s="336"/>
      <c r="LM430" s="336"/>
      <c r="LN430" s="336"/>
      <c r="LO430" s="336"/>
      <c r="LP430" s="336"/>
      <c r="LQ430" s="337"/>
      <c r="MN430" s="10"/>
      <c r="OA430" s="10"/>
    </row>
    <row r="431" spans="1:391" s="370" customFormat="1" x14ac:dyDescent="0.25">
      <c r="A431" s="68"/>
      <c r="B431" s="10"/>
      <c r="C431" s="68"/>
      <c r="D431" s="68"/>
      <c r="E431" s="68"/>
      <c r="F431" s="68"/>
      <c r="G431" s="68"/>
      <c r="H431" s="68"/>
      <c r="I431" s="68"/>
      <c r="J431" s="68"/>
      <c r="K431" s="68"/>
      <c r="L431" s="68"/>
      <c r="M431" s="68"/>
      <c r="N431" s="68"/>
      <c r="O431" s="68"/>
      <c r="P431" s="68"/>
      <c r="Q431" s="68"/>
      <c r="R431" s="68"/>
      <c r="S431" s="68"/>
      <c r="T431" s="70"/>
      <c r="AC431" s="68"/>
      <c r="AD431" s="70"/>
      <c r="AM431" s="68"/>
      <c r="AN431" s="70"/>
      <c r="AU431" s="68"/>
      <c r="AV431" s="70"/>
      <c r="BB431" s="68"/>
      <c r="BC431" s="70"/>
      <c r="BD431" s="68"/>
      <c r="BE431" s="68"/>
      <c r="BF431" s="68"/>
      <c r="BG431" s="68"/>
      <c r="BH431" s="68"/>
      <c r="BI431" s="68"/>
      <c r="BJ431" s="70"/>
      <c r="BM431" s="68"/>
      <c r="BN431" s="70"/>
      <c r="BT431" s="68"/>
      <c r="BU431" s="70"/>
      <c r="BZ431" s="10"/>
      <c r="CF431" s="10"/>
      <c r="CI431" s="389"/>
      <c r="CJ431" s="389"/>
      <c r="CK431" s="68"/>
      <c r="CL431" s="70"/>
      <c r="CO431" s="10"/>
      <c r="CU431" s="10"/>
      <c r="DA431" s="10"/>
      <c r="DB431" s="70"/>
      <c r="DC431" s="70"/>
      <c r="DF431" s="68"/>
      <c r="DG431" s="70"/>
      <c r="DH431" s="68"/>
      <c r="DI431" s="386"/>
      <c r="DJ431" s="425"/>
      <c r="DL431" s="68"/>
      <c r="DM431" s="70"/>
      <c r="DQ431" s="68"/>
      <c r="DR431" s="70"/>
      <c r="DS431" s="338"/>
      <c r="DT431" s="338"/>
      <c r="DU431" s="338"/>
      <c r="DW431" s="338"/>
      <c r="DX431" s="338"/>
      <c r="DY431" s="338"/>
      <c r="EA431" s="338"/>
      <c r="EB431" s="338"/>
      <c r="EC431" s="338"/>
      <c r="EE431" s="338"/>
      <c r="EF431" s="338"/>
      <c r="EG431" s="338"/>
      <c r="EI431" s="336"/>
      <c r="EJ431" s="336"/>
      <c r="EK431" s="336"/>
      <c r="EL431" s="336"/>
      <c r="EM431" s="336"/>
      <c r="EN431" s="336"/>
      <c r="EO431" s="337"/>
      <c r="EP431" s="342"/>
      <c r="EQ431" s="336"/>
      <c r="ER431" s="342"/>
      <c r="ES431" s="336"/>
      <c r="ET431" s="342"/>
      <c r="EU431" s="336"/>
      <c r="EV431" s="342"/>
      <c r="EW431" s="336"/>
      <c r="EX431" s="342"/>
      <c r="EY431" s="342"/>
      <c r="EZ431" s="342"/>
      <c r="FA431" s="337"/>
      <c r="FE431" s="338"/>
      <c r="FH431" s="338"/>
      <c r="FI431" s="338"/>
      <c r="FJ431" s="338"/>
      <c r="FK431" s="338"/>
      <c r="FL431" s="338"/>
      <c r="FM431" s="337"/>
      <c r="FN431" s="336"/>
      <c r="FO431" s="336"/>
      <c r="FP431" s="336"/>
      <c r="FQ431" s="336"/>
      <c r="FR431" s="336"/>
      <c r="FS431" s="336"/>
      <c r="FT431" s="336"/>
      <c r="FU431" s="336"/>
      <c r="FV431" s="336"/>
      <c r="FW431" s="337"/>
      <c r="FX431" s="532"/>
      <c r="FY431" s="341"/>
      <c r="FZ431" s="341"/>
      <c r="GA431" s="336"/>
      <c r="GB431" s="341"/>
      <c r="GC431" s="341"/>
      <c r="GD431" s="341"/>
      <c r="GE431" s="336"/>
      <c r="GF431" s="336"/>
      <c r="GG431" s="336"/>
      <c r="GH431" s="336"/>
      <c r="GI431" s="336"/>
      <c r="GJ431" s="337"/>
      <c r="GM431" s="338"/>
      <c r="GN431" s="338"/>
      <c r="GO431" s="338"/>
      <c r="GS431" s="338"/>
      <c r="GT431" s="338"/>
      <c r="GU431" s="338"/>
      <c r="GY431" s="338"/>
      <c r="GZ431" s="338"/>
      <c r="HA431" s="338"/>
      <c r="HE431" s="338"/>
      <c r="HF431" s="338"/>
      <c r="HG431" s="338"/>
      <c r="HN431" s="68"/>
      <c r="HO431" s="68"/>
      <c r="HP431" s="68"/>
      <c r="HQ431" s="336"/>
      <c r="HR431" s="68"/>
      <c r="HS431" s="68"/>
      <c r="HT431" s="10"/>
      <c r="HW431" s="338"/>
      <c r="HX431" s="338"/>
      <c r="HY431" s="338"/>
      <c r="IC431" s="338"/>
      <c r="ID431" s="338"/>
      <c r="IE431" s="338"/>
      <c r="II431" s="338"/>
      <c r="IJ431" s="338"/>
      <c r="IK431" s="338"/>
      <c r="IO431" s="338"/>
      <c r="IP431" s="338"/>
      <c r="IQ431" s="338"/>
      <c r="IX431" s="68"/>
      <c r="IY431" s="68"/>
      <c r="IZ431" s="68"/>
      <c r="JA431" s="68"/>
      <c r="JB431" s="68"/>
      <c r="JC431" s="68"/>
      <c r="JD431" s="10"/>
      <c r="JG431" s="338"/>
      <c r="JH431" s="338"/>
      <c r="JI431" s="338"/>
      <c r="JM431" s="338"/>
      <c r="JN431" s="338"/>
      <c r="JQ431" s="338"/>
      <c r="JR431" s="338"/>
      <c r="JS431" s="338"/>
      <c r="JW431" s="358"/>
      <c r="JX431" s="336"/>
      <c r="JY431" s="336"/>
      <c r="JZ431" s="336"/>
      <c r="KA431" s="336"/>
      <c r="KB431" s="336"/>
      <c r="KC431" s="336"/>
      <c r="KD431" s="336"/>
      <c r="KE431" s="336"/>
      <c r="KF431" s="336"/>
      <c r="KG431" s="337"/>
      <c r="KH431" s="338"/>
      <c r="KI431" s="338"/>
      <c r="KJ431" s="338"/>
      <c r="KK431" s="338"/>
      <c r="KL431" s="338"/>
      <c r="KM431" s="338"/>
      <c r="KN431" s="338"/>
      <c r="KO431" s="338"/>
      <c r="KP431" s="338"/>
      <c r="KQ431" s="338"/>
      <c r="KR431" s="338"/>
      <c r="KS431" s="338"/>
      <c r="KT431" s="338"/>
      <c r="KU431" s="338"/>
      <c r="KV431" s="338"/>
      <c r="KW431" s="337"/>
      <c r="KX431" s="336"/>
      <c r="KY431" s="336"/>
      <c r="KZ431" s="336"/>
      <c r="LA431" s="336"/>
      <c r="LB431" s="336"/>
      <c r="LC431" s="336"/>
      <c r="LD431" s="336"/>
      <c r="LE431" s="336"/>
      <c r="LF431" s="336"/>
      <c r="LG431" s="336"/>
      <c r="LH431" s="336"/>
      <c r="LI431" s="336"/>
      <c r="LJ431" s="336"/>
      <c r="LK431" s="336"/>
      <c r="LL431" s="336"/>
      <c r="LM431" s="336"/>
      <c r="LN431" s="336"/>
      <c r="LO431" s="336"/>
      <c r="LP431" s="336"/>
      <c r="LQ431" s="337"/>
      <c r="MN431" s="10"/>
      <c r="OA431" s="10"/>
    </row>
    <row r="432" spans="1:391" s="370" customFormat="1" x14ac:dyDescent="0.25">
      <c r="A432" s="68"/>
      <c r="B432" s="10"/>
      <c r="C432" s="68"/>
      <c r="D432" s="68"/>
      <c r="E432" s="68"/>
      <c r="F432" s="68"/>
      <c r="G432" s="68"/>
      <c r="H432" s="68"/>
      <c r="I432" s="68"/>
      <c r="J432" s="68"/>
      <c r="K432" s="68"/>
      <c r="L432" s="68"/>
      <c r="M432" s="68"/>
      <c r="N432" s="68"/>
      <c r="O432" s="68"/>
      <c r="P432" s="68"/>
      <c r="Q432" s="68"/>
      <c r="R432" s="68"/>
      <c r="S432" s="68"/>
      <c r="T432" s="70"/>
      <c r="AC432" s="68"/>
      <c r="AD432" s="70"/>
      <c r="AM432" s="68"/>
      <c r="AN432" s="70"/>
      <c r="AU432" s="68"/>
      <c r="AV432" s="70"/>
      <c r="BB432" s="68"/>
      <c r="BC432" s="70"/>
      <c r="BD432" s="68"/>
      <c r="BE432" s="68"/>
      <c r="BF432" s="68"/>
      <c r="BG432" s="68"/>
      <c r="BH432" s="68"/>
      <c r="BI432" s="68"/>
      <c r="BJ432" s="70"/>
      <c r="BM432" s="68"/>
      <c r="BN432" s="70"/>
      <c r="BT432" s="68"/>
      <c r="BU432" s="70"/>
      <c r="BZ432" s="10"/>
      <c r="CF432" s="10"/>
      <c r="CI432" s="389"/>
      <c r="CJ432" s="389"/>
      <c r="CK432" s="68"/>
      <c r="CL432" s="70"/>
      <c r="CO432" s="10"/>
      <c r="CU432" s="10"/>
      <c r="DA432" s="10"/>
      <c r="DB432" s="70"/>
      <c r="DC432" s="70"/>
      <c r="DF432" s="68"/>
      <c r="DG432" s="70"/>
      <c r="DH432" s="68"/>
      <c r="DI432" s="386"/>
      <c r="DJ432" s="425"/>
      <c r="DL432" s="68"/>
      <c r="DM432" s="70"/>
      <c r="DQ432" s="68"/>
      <c r="DR432" s="70"/>
      <c r="DS432" s="338"/>
      <c r="DT432" s="338"/>
      <c r="DU432" s="338"/>
      <c r="DW432" s="338"/>
      <c r="DX432" s="338"/>
      <c r="DY432" s="338"/>
      <c r="EA432" s="338"/>
      <c r="EB432" s="338"/>
      <c r="EC432" s="338"/>
      <c r="EE432" s="338"/>
      <c r="EF432" s="338"/>
      <c r="EG432" s="338"/>
      <c r="EI432" s="336"/>
      <c r="EJ432" s="336"/>
      <c r="EK432" s="336"/>
      <c r="EL432" s="336"/>
      <c r="EM432" s="336"/>
      <c r="EN432" s="336"/>
      <c r="EO432" s="337"/>
      <c r="EP432" s="342"/>
      <c r="EQ432" s="336"/>
      <c r="ER432" s="342"/>
      <c r="ES432" s="336"/>
      <c r="ET432" s="342"/>
      <c r="EU432" s="336"/>
      <c r="EV432" s="342"/>
      <c r="EW432" s="336"/>
      <c r="EX432" s="342"/>
      <c r="EY432" s="342"/>
      <c r="EZ432" s="342"/>
      <c r="FA432" s="337"/>
      <c r="FE432" s="338"/>
      <c r="FH432" s="338"/>
      <c r="FI432" s="338"/>
      <c r="FJ432" s="338"/>
      <c r="FK432" s="338"/>
      <c r="FL432" s="338"/>
      <c r="FM432" s="337"/>
      <c r="FN432" s="336"/>
      <c r="FO432" s="336"/>
      <c r="FP432" s="336"/>
      <c r="FQ432" s="336"/>
      <c r="FR432" s="336"/>
      <c r="FS432" s="336"/>
      <c r="FT432" s="336"/>
      <c r="FU432" s="336"/>
      <c r="FV432" s="336"/>
      <c r="FW432" s="337"/>
      <c r="FX432" s="532"/>
      <c r="FY432" s="341"/>
      <c r="FZ432" s="341"/>
      <c r="GA432" s="336"/>
      <c r="GB432" s="341"/>
      <c r="GC432" s="341"/>
      <c r="GD432" s="341"/>
      <c r="GE432" s="336"/>
      <c r="GF432" s="336"/>
      <c r="GG432" s="336"/>
      <c r="GH432" s="336"/>
      <c r="GI432" s="336"/>
      <c r="GJ432" s="337"/>
      <c r="GM432" s="338"/>
      <c r="GN432" s="338"/>
      <c r="GO432" s="338"/>
      <c r="GS432" s="338"/>
      <c r="GT432" s="338"/>
      <c r="GU432" s="338"/>
      <c r="GY432" s="338"/>
      <c r="GZ432" s="338"/>
      <c r="HA432" s="338"/>
      <c r="HE432" s="338"/>
      <c r="HF432" s="338"/>
      <c r="HG432" s="338"/>
      <c r="HN432" s="68"/>
      <c r="HO432" s="68"/>
      <c r="HP432" s="68"/>
      <c r="HQ432" s="336"/>
      <c r="HR432" s="68"/>
      <c r="HS432" s="68"/>
      <c r="HT432" s="10"/>
      <c r="HW432" s="338"/>
      <c r="HX432" s="338"/>
      <c r="HY432" s="338"/>
      <c r="IC432" s="338"/>
      <c r="ID432" s="338"/>
      <c r="IE432" s="338"/>
      <c r="II432" s="338"/>
      <c r="IJ432" s="338"/>
      <c r="IK432" s="338"/>
      <c r="IO432" s="338"/>
      <c r="IP432" s="338"/>
      <c r="IQ432" s="338"/>
      <c r="IX432" s="68"/>
      <c r="IY432" s="68"/>
      <c r="IZ432" s="68"/>
      <c r="JA432" s="68"/>
      <c r="JB432" s="68"/>
      <c r="JC432" s="68"/>
      <c r="JD432" s="10"/>
      <c r="JG432" s="338"/>
      <c r="JH432" s="338"/>
      <c r="JI432" s="338"/>
      <c r="JM432" s="338"/>
      <c r="JN432" s="338"/>
      <c r="JQ432" s="338"/>
      <c r="JR432" s="338"/>
      <c r="JS432" s="338"/>
      <c r="JW432" s="358"/>
      <c r="JX432" s="336"/>
      <c r="JY432" s="336"/>
      <c r="JZ432" s="336"/>
      <c r="KA432" s="336"/>
      <c r="KB432" s="336"/>
      <c r="KC432" s="336"/>
      <c r="KD432" s="336"/>
      <c r="KE432" s="336"/>
      <c r="KF432" s="336"/>
      <c r="KG432" s="337"/>
      <c r="KH432" s="338"/>
      <c r="KI432" s="338"/>
      <c r="KJ432" s="338"/>
      <c r="KK432" s="338"/>
      <c r="KL432" s="338"/>
      <c r="KM432" s="338"/>
      <c r="KN432" s="338"/>
      <c r="KO432" s="338"/>
      <c r="KP432" s="338"/>
      <c r="KQ432" s="338"/>
      <c r="KR432" s="338"/>
      <c r="KS432" s="338"/>
      <c r="KT432" s="338"/>
      <c r="KU432" s="338"/>
      <c r="KV432" s="338"/>
      <c r="KW432" s="337"/>
      <c r="KX432" s="336"/>
      <c r="KY432" s="336"/>
      <c r="KZ432" s="336"/>
      <c r="LA432" s="336"/>
      <c r="LB432" s="336"/>
      <c r="LC432" s="336"/>
      <c r="LD432" s="336"/>
      <c r="LE432" s="336"/>
      <c r="LF432" s="336"/>
      <c r="LG432" s="336"/>
      <c r="LH432" s="336"/>
      <c r="LI432" s="336"/>
      <c r="LJ432" s="336"/>
      <c r="LK432" s="336"/>
      <c r="LL432" s="336"/>
      <c r="LM432" s="336"/>
      <c r="LN432" s="336"/>
      <c r="LO432" s="336"/>
      <c r="LP432" s="336"/>
      <c r="LQ432" s="337"/>
      <c r="MN432" s="10"/>
      <c r="OA432" s="10"/>
    </row>
    <row r="433" spans="1:391" s="370" customFormat="1" x14ac:dyDescent="0.25">
      <c r="A433" s="68"/>
      <c r="B433" s="10"/>
      <c r="C433" s="68"/>
      <c r="D433" s="68"/>
      <c r="E433" s="68"/>
      <c r="F433" s="68"/>
      <c r="G433" s="68"/>
      <c r="H433" s="68"/>
      <c r="I433" s="68"/>
      <c r="J433" s="68"/>
      <c r="K433" s="68"/>
      <c r="L433" s="68"/>
      <c r="M433" s="68"/>
      <c r="N433" s="68"/>
      <c r="O433" s="68"/>
      <c r="P433" s="68"/>
      <c r="Q433" s="68"/>
      <c r="R433" s="68"/>
      <c r="S433" s="68"/>
      <c r="T433" s="70"/>
      <c r="AC433" s="68"/>
      <c r="AD433" s="70"/>
      <c r="AM433" s="68"/>
      <c r="AN433" s="70"/>
      <c r="AU433" s="68"/>
      <c r="AV433" s="70"/>
      <c r="BB433" s="68"/>
      <c r="BC433" s="70"/>
      <c r="BD433" s="68"/>
      <c r="BE433" s="68"/>
      <c r="BF433" s="68"/>
      <c r="BG433" s="68"/>
      <c r="BH433" s="68"/>
      <c r="BI433" s="68"/>
      <c r="BJ433" s="70"/>
      <c r="BM433" s="68"/>
      <c r="BN433" s="70"/>
      <c r="BT433" s="68"/>
      <c r="BU433" s="70"/>
      <c r="BZ433" s="10"/>
      <c r="CF433" s="10"/>
      <c r="CI433" s="389"/>
      <c r="CJ433" s="389"/>
      <c r="CK433" s="68"/>
      <c r="CL433" s="70"/>
      <c r="CO433" s="10"/>
      <c r="CU433" s="10"/>
      <c r="DA433" s="10"/>
      <c r="DB433" s="70"/>
      <c r="DC433" s="70"/>
      <c r="DF433" s="68"/>
      <c r="DG433" s="70"/>
      <c r="DH433" s="68"/>
      <c r="DI433" s="386"/>
      <c r="DJ433" s="425"/>
      <c r="DL433" s="68"/>
      <c r="DM433" s="70"/>
      <c r="DQ433" s="68"/>
      <c r="DR433" s="70"/>
      <c r="DS433" s="338"/>
      <c r="DT433" s="338"/>
      <c r="DU433" s="338"/>
      <c r="DW433" s="338"/>
      <c r="DX433" s="338"/>
      <c r="DY433" s="338"/>
      <c r="EA433" s="338"/>
      <c r="EB433" s="338"/>
      <c r="EC433" s="338"/>
      <c r="EE433" s="338"/>
      <c r="EF433" s="338"/>
      <c r="EG433" s="338"/>
      <c r="EI433" s="336"/>
      <c r="EJ433" s="336"/>
      <c r="EK433" s="336"/>
      <c r="EL433" s="336"/>
      <c r="EM433" s="336"/>
      <c r="EN433" s="336"/>
      <c r="EO433" s="337"/>
      <c r="EP433" s="342"/>
      <c r="EQ433" s="336"/>
      <c r="ER433" s="342"/>
      <c r="ES433" s="336"/>
      <c r="ET433" s="342"/>
      <c r="EU433" s="336"/>
      <c r="EV433" s="342"/>
      <c r="EW433" s="336"/>
      <c r="EX433" s="342"/>
      <c r="EY433" s="342"/>
      <c r="EZ433" s="342"/>
      <c r="FA433" s="337"/>
      <c r="FE433" s="338"/>
      <c r="FH433" s="338"/>
      <c r="FI433" s="338"/>
      <c r="FJ433" s="338"/>
      <c r="FK433" s="338"/>
      <c r="FL433" s="338"/>
      <c r="FM433" s="337"/>
      <c r="FN433" s="336"/>
      <c r="FO433" s="336"/>
      <c r="FP433" s="336"/>
      <c r="FQ433" s="336"/>
      <c r="FR433" s="336"/>
      <c r="FS433" s="336"/>
      <c r="FT433" s="336"/>
      <c r="FU433" s="336"/>
      <c r="FV433" s="336"/>
      <c r="FW433" s="337"/>
      <c r="FX433" s="532"/>
      <c r="FY433" s="341"/>
      <c r="FZ433" s="341"/>
      <c r="GA433" s="336"/>
      <c r="GB433" s="341"/>
      <c r="GC433" s="341"/>
      <c r="GD433" s="341"/>
      <c r="GE433" s="336"/>
      <c r="GF433" s="336"/>
      <c r="GG433" s="336"/>
      <c r="GH433" s="336"/>
      <c r="GI433" s="336"/>
      <c r="GJ433" s="337"/>
      <c r="GM433" s="338"/>
      <c r="GN433" s="338"/>
      <c r="GO433" s="338"/>
      <c r="GS433" s="338"/>
      <c r="GT433" s="338"/>
      <c r="GU433" s="338"/>
      <c r="GY433" s="338"/>
      <c r="GZ433" s="338"/>
      <c r="HA433" s="338"/>
      <c r="HE433" s="338"/>
      <c r="HF433" s="338"/>
      <c r="HG433" s="338"/>
      <c r="HN433" s="68"/>
      <c r="HO433" s="68"/>
      <c r="HP433" s="68"/>
      <c r="HQ433" s="336"/>
      <c r="HR433" s="68"/>
      <c r="HS433" s="68"/>
      <c r="HT433" s="10"/>
      <c r="HW433" s="338"/>
      <c r="HX433" s="338"/>
      <c r="HY433" s="338"/>
      <c r="IC433" s="338"/>
      <c r="ID433" s="338"/>
      <c r="IE433" s="338"/>
      <c r="II433" s="338"/>
      <c r="IJ433" s="338"/>
      <c r="IK433" s="338"/>
      <c r="IO433" s="338"/>
      <c r="IP433" s="338"/>
      <c r="IQ433" s="338"/>
      <c r="IX433" s="68"/>
      <c r="IY433" s="68"/>
      <c r="IZ433" s="68"/>
      <c r="JA433" s="68"/>
      <c r="JB433" s="68"/>
      <c r="JC433" s="68"/>
      <c r="JD433" s="10"/>
      <c r="JG433" s="338"/>
      <c r="JH433" s="338"/>
      <c r="JI433" s="338"/>
      <c r="JM433" s="338"/>
      <c r="JN433" s="338"/>
      <c r="JQ433" s="338"/>
      <c r="JR433" s="338"/>
      <c r="JS433" s="338"/>
      <c r="JW433" s="358"/>
      <c r="JX433" s="336"/>
      <c r="JY433" s="336"/>
      <c r="JZ433" s="336"/>
      <c r="KA433" s="336"/>
      <c r="KB433" s="336"/>
      <c r="KC433" s="336"/>
      <c r="KD433" s="336"/>
      <c r="KE433" s="336"/>
      <c r="KF433" s="336"/>
      <c r="KG433" s="337"/>
      <c r="KH433" s="338"/>
      <c r="KI433" s="338"/>
      <c r="KJ433" s="338"/>
      <c r="KK433" s="338"/>
      <c r="KL433" s="338"/>
      <c r="KM433" s="338"/>
      <c r="KN433" s="338"/>
      <c r="KO433" s="338"/>
      <c r="KP433" s="338"/>
      <c r="KQ433" s="338"/>
      <c r="KR433" s="338"/>
      <c r="KS433" s="338"/>
      <c r="KT433" s="338"/>
      <c r="KU433" s="338"/>
      <c r="KV433" s="338"/>
      <c r="KW433" s="337"/>
      <c r="KX433" s="336"/>
      <c r="KY433" s="336"/>
      <c r="KZ433" s="336"/>
      <c r="LA433" s="336"/>
      <c r="LB433" s="336"/>
      <c r="LC433" s="336"/>
      <c r="LD433" s="336"/>
      <c r="LE433" s="336"/>
      <c r="LF433" s="336"/>
      <c r="LG433" s="336"/>
      <c r="LH433" s="336"/>
      <c r="LI433" s="336"/>
      <c r="LJ433" s="336"/>
      <c r="LK433" s="336"/>
      <c r="LL433" s="336"/>
      <c r="LM433" s="336"/>
      <c r="LN433" s="336"/>
      <c r="LO433" s="336"/>
      <c r="LP433" s="336"/>
      <c r="LQ433" s="337"/>
      <c r="MN433" s="10"/>
      <c r="OA433" s="10"/>
    </row>
    <row r="434" spans="1:391" s="370" customFormat="1" x14ac:dyDescent="0.25">
      <c r="A434" s="68"/>
      <c r="B434" s="10"/>
      <c r="C434" s="68"/>
      <c r="D434" s="68"/>
      <c r="E434" s="68"/>
      <c r="F434" s="68"/>
      <c r="G434" s="68"/>
      <c r="H434" s="68"/>
      <c r="I434" s="68"/>
      <c r="J434" s="68"/>
      <c r="K434" s="68"/>
      <c r="L434" s="68"/>
      <c r="M434" s="68"/>
      <c r="N434" s="68"/>
      <c r="O434" s="68"/>
      <c r="P434" s="68"/>
      <c r="Q434" s="68"/>
      <c r="R434" s="68"/>
      <c r="S434" s="68"/>
      <c r="T434" s="70"/>
      <c r="AC434" s="68"/>
      <c r="AD434" s="70"/>
      <c r="AM434" s="68"/>
      <c r="AN434" s="70"/>
      <c r="AU434" s="68"/>
      <c r="AV434" s="70"/>
      <c r="BB434" s="68"/>
      <c r="BC434" s="70"/>
      <c r="BD434" s="68"/>
      <c r="BE434" s="68"/>
      <c r="BF434" s="68"/>
      <c r="BG434" s="68"/>
      <c r="BH434" s="68"/>
      <c r="BI434" s="68"/>
      <c r="BJ434" s="70"/>
      <c r="BM434" s="68"/>
      <c r="BN434" s="70"/>
      <c r="BT434" s="68"/>
      <c r="BU434" s="70"/>
      <c r="BZ434" s="10"/>
      <c r="CF434" s="10"/>
      <c r="CI434" s="389"/>
      <c r="CJ434" s="389"/>
      <c r="CK434" s="68"/>
      <c r="CL434" s="70"/>
      <c r="CO434" s="10"/>
      <c r="CU434" s="10"/>
      <c r="DA434" s="10"/>
      <c r="DB434" s="70"/>
      <c r="DC434" s="70"/>
      <c r="DF434" s="68"/>
      <c r="DG434" s="70"/>
      <c r="DH434" s="68"/>
      <c r="DI434" s="386"/>
      <c r="DJ434" s="425"/>
      <c r="DL434" s="68"/>
      <c r="DM434" s="70"/>
      <c r="DQ434" s="68"/>
      <c r="DR434" s="70"/>
      <c r="DS434" s="338"/>
      <c r="DT434" s="338"/>
      <c r="DU434" s="338"/>
      <c r="DW434" s="338"/>
      <c r="DX434" s="338"/>
      <c r="DY434" s="338"/>
      <c r="EA434" s="338"/>
      <c r="EB434" s="338"/>
      <c r="EC434" s="338"/>
      <c r="EE434" s="338"/>
      <c r="EF434" s="338"/>
      <c r="EG434" s="338"/>
      <c r="EI434" s="336"/>
      <c r="EJ434" s="336"/>
      <c r="EK434" s="336"/>
      <c r="EL434" s="336"/>
      <c r="EM434" s="336"/>
      <c r="EN434" s="336"/>
      <c r="EO434" s="337"/>
      <c r="EP434" s="342"/>
      <c r="EQ434" s="336"/>
      <c r="ER434" s="342"/>
      <c r="ES434" s="336"/>
      <c r="ET434" s="342"/>
      <c r="EU434" s="336"/>
      <c r="EV434" s="342"/>
      <c r="EW434" s="336"/>
      <c r="EX434" s="342"/>
      <c r="EY434" s="342"/>
      <c r="EZ434" s="342"/>
      <c r="FA434" s="337"/>
      <c r="FE434" s="338"/>
      <c r="FH434" s="338"/>
      <c r="FI434" s="338"/>
      <c r="FJ434" s="338"/>
      <c r="FK434" s="338"/>
      <c r="FL434" s="338"/>
      <c r="FM434" s="337"/>
      <c r="FN434" s="336"/>
      <c r="FO434" s="336"/>
      <c r="FP434" s="336"/>
      <c r="FQ434" s="336"/>
      <c r="FR434" s="336"/>
      <c r="FS434" s="336"/>
      <c r="FT434" s="336"/>
      <c r="FU434" s="336"/>
      <c r="FV434" s="336"/>
      <c r="FW434" s="337"/>
      <c r="FX434" s="532"/>
      <c r="FY434" s="341"/>
      <c r="FZ434" s="341"/>
      <c r="GA434" s="336"/>
      <c r="GB434" s="341"/>
      <c r="GC434" s="341"/>
      <c r="GD434" s="341"/>
      <c r="GE434" s="336"/>
      <c r="GF434" s="336"/>
      <c r="GG434" s="336"/>
      <c r="GH434" s="336"/>
      <c r="GI434" s="336"/>
      <c r="GJ434" s="337"/>
      <c r="GM434" s="338"/>
      <c r="GN434" s="338"/>
      <c r="GO434" s="338"/>
      <c r="GS434" s="338"/>
      <c r="GT434" s="338"/>
      <c r="GU434" s="338"/>
      <c r="GY434" s="338"/>
      <c r="GZ434" s="338"/>
      <c r="HA434" s="338"/>
      <c r="HE434" s="338"/>
      <c r="HF434" s="338"/>
      <c r="HG434" s="338"/>
      <c r="HN434" s="68"/>
      <c r="HO434" s="68"/>
      <c r="HP434" s="68"/>
      <c r="HQ434" s="336"/>
      <c r="HR434" s="68"/>
      <c r="HS434" s="68"/>
      <c r="HT434" s="10"/>
      <c r="HW434" s="338"/>
      <c r="HX434" s="338"/>
      <c r="HY434" s="338"/>
      <c r="IC434" s="338"/>
      <c r="ID434" s="338"/>
      <c r="IE434" s="338"/>
      <c r="II434" s="338"/>
      <c r="IJ434" s="338"/>
      <c r="IK434" s="338"/>
      <c r="IO434" s="338"/>
      <c r="IP434" s="338"/>
      <c r="IQ434" s="338"/>
      <c r="IX434" s="68"/>
      <c r="IY434" s="68"/>
      <c r="IZ434" s="68"/>
      <c r="JA434" s="68"/>
      <c r="JB434" s="68"/>
      <c r="JC434" s="68"/>
      <c r="JD434" s="10"/>
      <c r="JG434" s="338"/>
      <c r="JH434" s="338"/>
      <c r="JI434" s="338"/>
      <c r="JM434" s="338"/>
      <c r="JN434" s="338"/>
      <c r="JQ434" s="338"/>
      <c r="JR434" s="338"/>
      <c r="JS434" s="338"/>
      <c r="JW434" s="358"/>
      <c r="JX434" s="336"/>
      <c r="JY434" s="336"/>
      <c r="JZ434" s="336"/>
      <c r="KA434" s="336"/>
      <c r="KB434" s="336"/>
      <c r="KC434" s="336"/>
      <c r="KD434" s="336"/>
      <c r="KE434" s="336"/>
      <c r="KF434" s="336"/>
      <c r="KG434" s="337"/>
      <c r="KH434" s="338"/>
      <c r="KI434" s="338"/>
      <c r="KJ434" s="338"/>
      <c r="KK434" s="338"/>
      <c r="KL434" s="338"/>
      <c r="KM434" s="338"/>
      <c r="KN434" s="338"/>
      <c r="KO434" s="338"/>
      <c r="KP434" s="338"/>
      <c r="KQ434" s="338"/>
      <c r="KR434" s="338"/>
      <c r="KS434" s="338"/>
      <c r="KT434" s="338"/>
      <c r="KU434" s="338"/>
      <c r="KV434" s="338"/>
      <c r="KW434" s="337"/>
      <c r="KX434" s="336"/>
      <c r="KY434" s="336"/>
      <c r="KZ434" s="336"/>
      <c r="LA434" s="336"/>
      <c r="LB434" s="336"/>
      <c r="LC434" s="336"/>
      <c r="LD434" s="336"/>
      <c r="LE434" s="336"/>
      <c r="LF434" s="336"/>
      <c r="LG434" s="336"/>
      <c r="LH434" s="336"/>
      <c r="LI434" s="336"/>
      <c r="LJ434" s="336"/>
      <c r="LK434" s="336"/>
      <c r="LL434" s="336"/>
      <c r="LM434" s="336"/>
      <c r="LN434" s="336"/>
      <c r="LO434" s="336"/>
      <c r="LP434" s="336"/>
      <c r="LQ434" s="337"/>
      <c r="MN434" s="10"/>
      <c r="OA434" s="10"/>
    </row>
    <row r="435" spans="1:391" s="370" customFormat="1" x14ac:dyDescent="0.25">
      <c r="A435" s="68"/>
      <c r="B435" s="10"/>
      <c r="C435" s="68"/>
      <c r="D435" s="68"/>
      <c r="E435" s="68"/>
      <c r="F435" s="68"/>
      <c r="G435" s="68"/>
      <c r="H435" s="68"/>
      <c r="I435" s="68"/>
      <c r="J435" s="68"/>
      <c r="K435" s="68"/>
      <c r="L435" s="68"/>
      <c r="M435" s="68"/>
      <c r="N435" s="68"/>
      <c r="O435" s="68"/>
      <c r="P435" s="68"/>
      <c r="Q435" s="68"/>
      <c r="R435" s="68"/>
      <c r="S435" s="68"/>
      <c r="T435" s="70"/>
      <c r="AC435" s="68"/>
      <c r="AD435" s="70"/>
      <c r="AM435" s="68"/>
      <c r="AN435" s="70"/>
      <c r="AU435" s="68"/>
      <c r="AV435" s="70"/>
      <c r="BB435" s="68"/>
      <c r="BC435" s="70"/>
      <c r="BD435" s="68"/>
      <c r="BE435" s="68"/>
      <c r="BF435" s="68"/>
      <c r="BG435" s="68"/>
      <c r="BH435" s="68"/>
      <c r="BI435" s="68"/>
      <c r="BJ435" s="70"/>
      <c r="BM435" s="68"/>
      <c r="BN435" s="70"/>
      <c r="BT435" s="68"/>
      <c r="BU435" s="70"/>
      <c r="BZ435" s="10"/>
      <c r="CF435" s="10"/>
      <c r="CI435" s="389"/>
      <c r="CJ435" s="389"/>
      <c r="CK435" s="68"/>
      <c r="CL435" s="70"/>
      <c r="CO435" s="10"/>
      <c r="CU435" s="10"/>
      <c r="DA435" s="10"/>
      <c r="DB435" s="70"/>
      <c r="DC435" s="70"/>
      <c r="DF435" s="68"/>
      <c r="DG435" s="70"/>
      <c r="DH435" s="68"/>
      <c r="DI435" s="386"/>
      <c r="DJ435" s="425"/>
      <c r="DL435" s="68"/>
      <c r="DM435" s="70"/>
      <c r="DQ435" s="68"/>
      <c r="DR435" s="70"/>
      <c r="DS435" s="338"/>
      <c r="DT435" s="338"/>
      <c r="DU435" s="338"/>
      <c r="DW435" s="338"/>
      <c r="DX435" s="338"/>
      <c r="DY435" s="338"/>
      <c r="EA435" s="338"/>
      <c r="EB435" s="338"/>
      <c r="EC435" s="338"/>
      <c r="EE435" s="338"/>
      <c r="EF435" s="338"/>
      <c r="EG435" s="338"/>
      <c r="EI435" s="336"/>
      <c r="EJ435" s="336"/>
      <c r="EK435" s="336"/>
      <c r="EL435" s="336"/>
      <c r="EM435" s="336"/>
      <c r="EN435" s="336"/>
      <c r="EO435" s="337"/>
      <c r="EP435" s="342"/>
      <c r="EQ435" s="336"/>
      <c r="ER435" s="342"/>
      <c r="ES435" s="336"/>
      <c r="ET435" s="342"/>
      <c r="EU435" s="336"/>
      <c r="EV435" s="342"/>
      <c r="EW435" s="336"/>
      <c r="EX435" s="342"/>
      <c r="EY435" s="342"/>
      <c r="EZ435" s="342"/>
      <c r="FA435" s="337"/>
      <c r="FE435" s="338"/>
      <c r="FH435" s="338"/>
      <c r="FI435" s="338"/>
      <c r="FJ435" s="338"/>
      <c r="FK435" s="338"/>
      <c r="FL435" s="338"/>
      <c r="FM435" s="337"/>
      <c r="FN435" s="336"/>
      <c r="FO435" s="336"/>
      <c r="FP435" s="336"/>
      <c r="FQ435" s="336"/>
      <c r="FR435" s="336"/>
      <c r="FS435" s="336"/>
      <c r="FT435" s="336"/>
      <c r="FU435" s="336"/>
      <c r="FV435" s="336"/>
      <c r="FW435" s="337"/>
      <c r="FX435" s="532"/>
      <c r="FY435" s="341"/>
      <c r="FZ435" s="341"/>
      <c r="GA435" s="336"/>
      <c r="GB435" s="341"/>
      <c r="GC435" s="341"/>
      <c r="GD435" s="341"/>
      <c r="GE435" s="336"/>
      <c r="GF435" s="336"/>
      <c r="GG435" s="336"/>
      <c r="GH435" s="336"/>
      <c r="GI435" s="336"/>
      <c r="GJ435" s="337"/>
      <c r="GM435" s="338"/>
      <c r="GN435" s="338"/>
      <c r="GO435" s="338"/>
      <c r="GS435" s="338"/>
      <c r="GT435" s="338"/>
      <c r="GU435" s="338"/>
      <c r="GY435" s="338"/>
      <c r="GZ435" s="338"/>
      <c r="HA435" s="338"/>
      <c r="HE435" s="338"/>
      <c r="HF435" s="338"/>
      <c r="HG435" s="338"/>
      <c r="HN435" s="68"/>
      <c r="HO435" s="68"/>
      <c r="HP435" s="68"/>
      <c r="HQ435" s="336"/>
      <c r="HR435" s="68"/>
      <c r="HS435" s="68"/>
      <c r="HT435" s="10"/>
      <c r="HW435" s="338"/>
      <c r="HX435" s="338"/>
      <c r="HY435" s="338"/>
      <c r="IC435" s="338"/>
      <c r="ID435" s="338"/>
      <c r="IE435" s="338"/>
      <c r="II435" s="338"/>
      <c r="IJ435" s="338"/>
      <c r="IK435" s="338"/>
      <c r="IO435" s="338"/>
      <c r="IP435" s="338"/>
      <c r="IQ435" s="338"/>
      <c r="IX435" s="68"/>
      <c r="IY435" s="68"/>
      <c r="IZ435" s="68"/>
      <c r="JA435" s="68"/>
      <c r="JB435" s="68"/>
      <c r="JC435" s="68"/>
      <c r="JD435" s="10"/>
      <c r="JG435" s="338"/>
      <c r="JH435" s="338"/>
      <c r="JI435" s="338"/>
      <c r="JM435" s="338"/>
      <c r="JN435" s="338"/>
      <c r="JQ435" s="338"/>
      <c r="JR435" s="338"/>
      <c r="JS435" s="338"/>
      <c r="JW435" s="358"/>
      <c r="JX435" s="336"/>
      <c r="JY435" s="336"/>
      <c r="JZ435" s="336"/>
      <c r="KA435" s="336"/>
      <c r="KB435" s="336"/>
      <c r="KC435" s="336"/>
      <c r="KD435" s="336"/>
      <c r="KE435" s="336"/>
      <c r="KF435" s="336"/>
      <c r="KG435" s="337"/>
      <c r="KH435" s="338"/>
      <c r="KI435" s="338"/>
      <c r="KJ435" s="338"/>
      <c r="KK435" s="338"/>
      <c r="KL435" s="338"/>
      <c r="KM435" s="338"/>
      <c r="KN435" s="338"/>
      <c r="KO435" s="338"/>
      <c r="KP435" s="338"/>
      <c r="KQ435" s="338"/>
      <c r="KR435" s="338"/>
      <c r="KS435" s="338"/>
      <c r="KT435" s="338"/>
      <c r="KU435" s="338"/>
      <c r="KV435" s="338"/>
      <c r="KW435" s="337"/>
      <c r="KX435" s="336"/>
      <c r="KY435" s="336"/>
      <c r="KZ435" s="336"/>
      <c r="LA435" s="336"/>
      <c r="LB435" s="336"/>
      <c r="LC435" s="336"/>
      <c r="LD435" s="336"/>
      <c r="LE435" s="336"/>
      <c r="LF435" s="336"/>
      <c r="LG435" s="336"/>
      <c r="LH435" s="336"/>
      <c r="LI435" s="336"/>
      <c r="LJ435" s="336"/>
      <c r="LK435" s="336"/>
      <c r="LL435" s="336"/>
      <c r="LM435" s="336"/>
      <c r="LN435" s="336"/>
      <c r="LO435" s="336"/>
      <c r="LP435" s="336"/>
      <c r="LQ435" s="337"/>
      <c r="MN435" s="10"/>
      <c r="OA435" s="10"/>
    </row>
    <row r="436" spans="1:391" s="370" customFormat="1" x14ac:dyDescent="0.25">
      <c r="A436" s="68"/>
      <c r="B436" s="10"/>
      <c r="C436" s="68"/>
      <c r="D436" s="68"/>
      <c r="E436" s="68"/>
      <c r="F436" s="68"/>
      <c r="G436" s="68"/>
      <c r="H436" s="68"/>
      <c r="I436" s="68"/>
      <c r="J436" s="68"/>
      <c r="K436" s="68"/>
      <c r="L436" s="68"/>
      <c r="M436" s="68"/>
      <c r="N436" s="68"/>
      <c r="O436" s="68"/>
      <c r="P436" s="68"/>
      <c r="Q436" s="68"/>
      <c r="R436" s="68"/>
      <c r="S436" s="68"/>
      <c r="T436" s="70"/>
      <c r="AC436" s="68"/>
      <c r="AD436" s="70"/>
      <c r="AM436" s="68"/>
      <c r="AN436" s="70"/>
      <c r="AU436" s="68"/>
      <c r="AV436" s="70"/>
      <c r="BB436" s="68"/>
      <c r="BC436" s="70"/>
      <c r="BD436" s="68"/>
      <c r="BE436" s="68"/>
      <c r="BF436" s="68"/>
      <c r="BG436" s="68"/>
      <c r="BH436" s="68"/>
      <c r="BI436" s="68"/>
      <c r="BJ436" s="70"/>
      <c r="BM436" s="68"/>
      <c r="BN436" s="70"/>
      <c r="BT436" s="68"/>
      <c r="BU436" s="70"/>
      <c r="BZ436" s="10"/>
      <c r="CF436" s="10"/>
      <c r="CI436" s="389"/>
      <c r="CJ436" s="389"/>
      <c r="CK436" s="68"/>
      <c r="CL436" s="70"/>
      <c r="CO436" s="10"/>
      <c r="CU436" s="10"/>
      <c r="DA436" s="10"/>
      <c r="DB436" s="70"/>
      <c r="DC436" s="70"/>
      <c r="DF436" s="68"/>
      <c r="DG436" s="70"/>
      <c r="DH436" s="68"/>
      <c r="DI436" s="386"/>
      <c r="DJ436" s="425"/>
      <c r="DL436" s="68"/>
      <c r="DM436" s="70"/>
      <c r="DQ436" s="68"/>
      <c r="DR436" s="70"/>
      <c r="DS436" s="338"/>
      <c r="DT436" s="338"/>
      <c r="DU436" s="338"/>
      <c r="DW436" s="338"/>
      <c r="DX436" s="338"/>
      <c r="DY436" s="338"/>
      <c r="EA436" s="338"/>
      <c r="EB436" s="338"/>
      <c r="EC436" s="338"/>
      <c r="EE436" s="338"/>
      <c r="EF436" s="338"/>
      <c r="EG436" s="338"/>
      <c r="EI436" s="336"/>
      <c r="EJ436" s="336"/>
      <c r="EK436" s="336"/>
      <c r="EL436" s="336"/>
      <c r="EM436" s="336"/>
      <c r="EN436" s="336"/>
      <c r="EO436" s="337"/>
      <c r="EP436" s="342"/>
      <c r="EQ436" s="336"/>
      <c r="ER436" s="342"/>
      <c r="ES436" s="336"/>
      <c r="ET436" s="342"/>
      <c r="EU436" s="336"/>
      <c r="EV436" s="342"/>
      <c r="EW436" s="336"/>
      <c r="EX436" s="342"/>
      <c r="EY436" s="342"/>
      <c r="EZ436" s="342"/>
      <c r="FA436" s="337"/>
      <c r="FE436" s="338"/>
      <c r="FH436" s="338"/>
      <c r="FI436" s="338"/>
      <c r="FJ436" s="338"/>
      <c r="FK436" s="338"/>
      <c r="FL436" s="338"/>
      <c r="FM436" s="337"/>
      <c r="FN436" s="336"/>
      <c r="FO436" s="336"/>
      <c r="FP436" s="336"/>
      <c r="FQ436" s="336"/>
      <c r="FR436" s="336"/>
      <c r="FS436" s="336"/>
      <c r="FT436" s="336"/>
      <c r="FU436" s="336"/>
      <c r="FV436" s="336"/>
      <c r="FW436" s="337"/>
      <c r="FX436" s="532"/>
      <c r="FY436" s="341"/>
      <c r="FZ436" s="341"/>
      <c r="GA436" s="336"/>
      <c r="GB436" s="341"/>
      <c r="GC436" s="341"/>
      <c r="GD436" s="341"/>
      <c r="GE436" s="336"/>
      <c r="GF436" s="336"/>
      <c r="GG436" s="336"/>
      <c r="GH436" s="336"/>
      <c r="GI436" s="336"/>
      <c r="GJ436" s="337"/>
      <c r="GM436" s="338"/>
      <c r="GN436" s="338"/>
      <c r="GO436" s="338"/>
      <c r="GS436" s="338"/>
      <c r="GT436" s="338"/>
      <c r="GU436" s="338"/>
      <c r="GY436" s="338"/>
      <c r="GZ436" s="338"/>
      <c r="HA436" s="338"/>
      <c r="HE436" s="338"/>
      <c r="HF436" s="338"/>
      <c r="HG436" s="338"/>
      <c r="HN436" s="68"/>
      <c r="HO436" s="68"/>
      <c r="HP436" s="68"/>
      <c r="HQ436" s="336"/>
      <c r="HR436" s="68"/>
      <c r="HS436" s="68"/>
      <c r="HT436" s="10"/>
      <c r="HW436" s="338"/>
      <c r="HX436" s="338"/>
      <c r="HY436" s="338"/>
      <c r="IC436" s="338"/>
      <c r="ID436" s="338"/>
      <c r="IE436" s="338"/>
      <c r="II436" s="338"/>
      <c r="IJ436" s="338"/>
      <c r="IK436" s="338"/>
      <c r="IO436" s="338"/>
      <c r="IP436" s="338"/>
      <c r="IQ436" s="338"/>
      <c r="IX436" s="68"/>
      <c r="IY436" s="68"/>
      <c r="IZ436" s="68"/>
      <c r="JA436" s="68"/>
      <c r="JB436" s="68"/>
      <c r="JC436" s="68"/>
      <c r="JD436" s="10"/>
      <c r="JG436" s="338"/>
      <c r="JH436" s="338"/>
      <c r="JI436" s="338"/>
      <c r="JM436" s="338"/>
      <c r="JN436" s="338"/>
      <c r="JQ436" s="338"/>
      <c r="JR436" s="338"/>
      <c r="JS436" s="338"/>
      <c r="JW436" s="358"/>
      <c r="JX436" s="336"/>
      <c r="JY436" s="336"/>
      <c r="JZ436" s="336"/>
      <c r="KA436" s="336"/>
      <c r="KB436" s="336"/>
      <c r="KC436" s="336"/>
      <c r="KD436" s="336"/>
      <c r="KE436" s="336"/>
      <c r="KF436" s="336"/>
      <c r="KG436" s="337"/>
      <c r="KH436" s="338"/>
      <c r="KI436" s="338"/>
      <c r="KJ436" s="338"/>
      <c r="KK436" s="338"/>
      <c r="KL436" s="338"/>
      <c r="KM436" s="338"/>
      <c r="KN436" s="338"/>
      <c r="KO436" s="338"/>
      <c r="KP436" s="338"/>
      <c r="KQ436" s="338"/>
      <c r="KR436" s="338"/>
      <c r="KS436" s="338"/>
      <c r="KT436" s="338"/>
      <c r="KU436" s="338"/>
      <c r="KV436" s="338"/>
      <c r="KW436" s="337"/>
      <c r="KX436" s="336"/>
      <c r="KY436" s="336"/>
      <c r="KZ436" s="336"/>
      <c r="LA436" s="336"/>
      <c r="LB436" s="336"/>
      <c r="LC436" s="336"/>
      <c r="LD436" s="336"/>
      <c r="LE436" s="336"/>
      <c r="LF436" s="336"/>
      <c r="LG436" s="336"/>
      <c r="LH436" s="336"/>
      <c r="LI436" s="336"/>
      <c r="LJ436" s="336"/>
      <c r="LK436" s="336"/>
      <c r="LL436" s="336"/>
      <c r="LM436" s="336"/>
      <c r="LN436" s="336"/>
      <c r="LO436" s="336"/>
      <c r="LP436" s="336"/>
      <c r="LQ436" s="337"/>
      <c r="MN436" s="10"/>
      <c r="OA436" s="10"/>
    </row>
    <row r="437" spans="1:391" s="370" customFormat="1" x14ac:dyDescent="0.25">
      <c r="A437" s="68"/>
      <c r="B437" s="10"/>
      <c r="C437" s="68"/>
      <c r="D437" s="68"/>
      <c r="E437" s="68"/>
      <c r="F437" s="68"/>
      <c r="G437" s="68"/>
      <c r="H437" s="68"/>
      <c r="I437" s="68"/>
      <c r="J437" s="68"/>
      <c r="K437" s="68"/>
      <c r="L437" s="68"/>
      <c r="M437" s="68"/>
      <c r="N437" s="68"/>
      <c r="O437" s="68"/>
      <c r="P437" s="68"/>
      <c r="Q437" s="68"/>
      <c r="R437" s="68"/>
      <c r="S437" s="68"/>
      <c r="T437" s="70"/>
      <c r="AC437" s="68"/>
      <c r="AD437" s="70"/>
      <c r="AM437" s="68"/>
      <c r="AN437" s="70"/>
      <c r="AU437" s="68"/>
      <c r="AV437" s="70"/>
      <c r="BB437" s="68"/>
      <c r="BC437" s="70"/>
      <c r="BD437" s="68"/>
      <c r="BE437" s="68"/>
      <c r="BF437" s="68"/>
      <c r="BG437" s="68"/>
      <c r="BH437" s="68"/>
      <c r="BI437" s="68"/>
      <c r="BJ437" s="70"/>
      <c r="BM437" s="68"/>
      <c r="BN437" s="70"/>
      <c r="BT437" s="68"/>
      <c r="BU437" s="70"/>
      <c r="BZ437" s="10"/>
      <c r="CF437" s="10"/>
      <c r="CI437" s="389"/>
      <c r="CJ437" s="389"/>
      <c r="CK437" s="68"/>
      <c r="CL437" s="70"/>
      <c r="CO437" s="10"/>
      <c r="CU437" s="10"/>
      <c r="DA437" s="10"/>
      <c r="DB437" s="70"/>
      <c r="DC437" s="70"/>
      <c r="DF437" s="68"/>
      <c r="DG437" s="70"/>
      <c r="DH437" s="68"/>
      <c r="DI437" s="386"/>
      <c r="DJ437" s="425"/>
      <c r="DL437" s="68"/>
      <c r="DM437" s="70"/>
      <c r="DQ437" s="68"/>
      <c r="DR437" s="70"/>
      <c r="DS437" s="338"/>
      <c r="DT437" s="338"/>
      <c r="DU437" s="338"/>
      <c r="DW437" s="338"/>
      <c r="DX437" s="338"/>
      <c r="DY437" s="338"/>
      <c r="EA437" s="338"/>
      <c r="EB437" s="338"/>
      <c r="EC437" s="338"/>
      <c r="EE437" s="338"/>
      <c r="EF437" s="338"/>
      <c r="EG437" s="338"/>
      <c r="EI437" s="336"/>
      <c r="EJ437" s="336"/>
      <c r="EK437" s="336"/>
      <c r="EL437" s="336"/>
      <c r="EM437" s="336"/>
      <c r="EN437" s="336"/>
      <c r="EO437" s="337"/>
      <c r="EP437" s="342"/>
      <c r="EQ437" s="336"/>
      <c r="ER437" s="342"/>
      <c r="ES437" s="336"/>
      <c r="ET437" s="342"/>
      <c r="EU437" s="336"/>
      <c r="EV437" s="342"/>
      <c r="EW437" s="336"/>
      <c r="EX437" s="342"/>
      <c r="EY437" s="342"/>
      <c r="EZ437" s="342"/>
      <c r="FA437" s="337"/>
      <c r="FE437" s="338"/>
      <c r="FH437" s="338"/>
      <c r="FI437" s="338"/>
      <c r="FJ437" s="338"/>
      <c r="FK437" s="338"/>
      <c r="FL437" s="338"/>
      <c r="FM437" s="337"/>
      <c r="FN437" s="336"/>
      <c r="FO437" s="336"/>
      <c r="FP437" s="336"/>
      <c r="FQ437" s="336"/>
      <c r="FR437" s="336"/>
      <c r="FS437" s="336"/>
      <c r="FT437" s="336"/>
      <c r="FU437" s="336"/>
      <c r="FV437" s="336"/>
      <c r="FW437" s="337"/>
      <c r="FX437" s="532"/>
      <c r="FY437" s="341"/>
      <c r="FZ437" s="341"/>
      <c r="GA437" s="336"/>
      <c r="GB437" s="341"/>
      <c r="GC437" s="341"/>
      <c r="GD437" s="341"/>
      <c r="GE437" s="336"/>
      <c r="GF437" s="336"/>
      <c r="GG437" s="336"/>
      <c r="GH437" s="336"/>
      <c r="GI437" s="336"/>
      <c r="GJ437" s="337"/>
      <c r="GM437" s="338"/>
      <c r="GN437" s="338"/>
      <c r="GO437" s="338"/>
      <c r="GS437" s="338"/>
      <c r="GT437" s="338"/>
      <c r="GU437" s="338"/>
      <c r="GY437" s="338"/>
      <c r="GZ437" s="338"/>
      <c r="HA437" s="338"/>
      <c r="HE437" s="338"/>
      <c r="HF437" s="338"/>
      <c r="HG437" s="338"/>
      <c r="HN437" s="68"/>
      <c r="HO437" s="68"/>
      <c r="HP437" s="68"/>
      <c r="HQ437" s="336"/>
      <c r="HR437" s="68"/>
      <c r="HS437" s="68"/>
      <c r="HT437" s="10"/>
      <c r="HW437" s="338"/>
      <c r="HX437" s="338"/>
      <c r="HY437" s="338"/>
      <c r="IC437" s="338"/>
      <c r="ID437" s="338"/>
      <c r="IE437" s="338"/>
      <c r="II437" s="338"/>
      <c r="IJ437" s="338"/>
      <c r="IK437" s="338"/>
      <c r="IO437" s="338"/>
      <c r="IP437" s="338"/>
      <c r="IQ437" s="338"/>
      <c r="IX437" s="68"/>
      <c r="IY437" s="68"/>
      <c r="IZ437" s="68"/>
      <c r="JA437" s="68"/>
      <c r="JB437" s="68"/>
      <c r="JC437" s="68"/>
      <c r="JD437" s="10"/>
      <c r="JG437" s="338"/>
      <c r="JH437" s="338"/>
      <c r="JI437" s="338"/>
      <c r="JM437" s="338"/>
      <c r="JN437" s="338"/>
      <c r="JQ437" s="338"/>
      <c r="JR437" s="338"/>
      <c r="JS437" s="338"/>
      <c r="JW437" s="358"/>
      <c r="JX437" s="336"/>
      <c r="JY437" s="336"/>
      <c r="JZ437" s="336"/>
      <c r="KA437" s="336"/>
      <c r="KB437" s="336"/>
      <c r="KC437" s="336"/>
      <c r="KD437" s="336"/>
      <c r="KE437" s="336"/>
      <c r="KF437" s="336"/>
      <c r="KG437" s="337"/>
      <c r="KH437" s="338"/>
      <c r="KI437" s="338"/>
      <c r="KJ437" s="338"/>
      <c r="KK437" s="338"/>
      <c r="KL437" s="338"/>
      <c r="KM437" s="338"/>
      <c r="KN437" s="338"/>
      <c r="KO437" s="338"/>
      <c r="KP437" s="338"/>
      <c r="KQ437" s="338"/>
      <c r="KR437" s="338"/>
      <c r="KS437" s="338"/>
      <c r="KT437" s="338"/>
      <c r="KU437" s="338"/>
      <c r="KV437" s="338"/>
      <c r="KW437" s="337"/>
      <c r="KX437" s="336"/>
      <c r="KY437" s="336"/>
      <c r="KZ437" s="336"/>
      <c r="LA437" s="336"/>
      <c r="LB437" s="336"/>
      <c r="LC437" s="336"/>
      <c r="LD437" s="336"/>
      <c r="LE437" s="336"/>
      <c r="LF437" s="336"/>
      <c r="LG437" s="336"/>
      <c r="LH437" s="336"/>
      <c r="LI437" s="336"/>
      <c r="LJ437" s="336"/>
      <c r="LK437" s="336"/>
      <c r="LL437" s="336"/>
      <c r="LM437" s="336"/>
      <c r="LN437" s="336"/>
      <c r="LO437" s="336"/>
      <c r="LP437" s="336"/>
      <c r="LQ437" s="337"/>
      <c r="MN437" s="10"/>
      <c r="OA437" s="10"/>
    </row>
    <row r="438" spans="1:391" s="370" customFormat="1" x14ac:dyDescent="0.25">
      <c r="A438" s="68"/>
      <c r="B438" s="10"/>
      <c r="C438" s="68"/>
      <c r="D438" s="68"/>
      <c r="E438" s="68"/>
      <c r="F438" s="68"/>
      <c r="G438" s="68"/>
      <c r="H438" s="68"/>
      <c r="I438" s="68"/>
      <c r="J438" s="68"/>
      <c r="K438" s="68"/>
      <c r="L438" s="68"/>
      <c r="M438" s="68"/>
      <c r="N438" s="68"/>
      <c r="O438" s="68"/>
      <c r="P438" s="68"/>
      <c r="Q438" s="68"/>
      <c r="R438" s="68"/>
      <c r="S438" s="68"/>
      <c r="T438" s="70"/>
      <c r="AC438" s="68"/>
      <c r="AD438" s="70"/>
      <c r="AM438" s="68"/>
      <c r="AN438" s="70"/>
      <c r="AU438" s="68"/>
      <c r="AV438" s="70"/>
      <c r="BB438" s="68"/>
      <c r="BC438" s="70"/>
      <c r="BD438" s="68"/>
      <c r="BE438" s="68"/>
      <c r="BF438" s="68"/>
      <c r="BG438" s="68"/>
      <c r="BH438" s="68"/>
      <c r="BI438" s="68"/>
      <c r="BJ438" s="70"/>
      <c r="BM438" s="68"/>
      <c r="BN438" s="70"/>
      <c r="BT438" s="68"/>
      <c r="BU438" s="70"/>
      <c r="BZ438" s="10"/>
      <c r="CF438" s="10"/>
      <c r="CI438" s="389"/>
      <c r="CJ438" s="389"/>
      <c r="CK438" s="68"/>
      <c r="CL438" s="70"/>
      <c r="CO438" s="10"/>
      <c r="CU438" s="10"/>
      <c r="DA438" s="10"/>
      <c r="DB438" s="70"/>
      <c r="DC438" s="70"/>
      <c r="DF438" s="68"/>
      <c r="DG438" s="70"/>
      <c r="DH438" s="68"/>
      <c r="DI438" s="386"/>
      <c r="DJ438" s="425"/>
      <c r="DL438" s="68"/>
      <c r="DM438" s="70"/>
      <c r="DQ438" s="68"/>
      <c r="DR438" s="70"/>
      <c r="DS438" s="338"/>
      <c r="DT438" s="338"/>
      <c r="DU438" s="338"/>
      <c r="DW438" s="338"/>
      <c r="DX438" s="338"/>
      <c r="DY438" s="338"/>
      <c r="EA438" s="338"/>
      <c r="EB438" s="338"/>
      <c r="EC438" s="338"/>
      <c r="EE438" s="338"/>
      <c r="EF438" s="338"/>
      <c r="EG438" s="338"/>
      <c r="EI438" s="336"/>
      <c r="EJ438" s="336"/>
      <c r="EK438" s="336"/>
      <c r="EL438" s="336"/>
      <c r="EM438" s="336"/>
      <c r="EN438" s="336"/>
      <c r="EO438" s="337"/>
      <c r="EP438" s="342"/>
      <c r="EQ438" s="336"/>
      <c r="ER438" s="342"/>
      <c r="ES438" s="336"/>
      <c r="ET438" s="342"/>
      <c r="EU438" s="336"/>
      <c r="EV438" s="342"/>
      <c r="EW438" s="336"/>
      <c r="EX438" s="342"/>
      <c r="EY438" s="342"/>
      <c r="EZ438" s="342"/>
      <c r="FA438" s="337"/>
      <c r="FE438" s="338"/>
      <c r="FH438" s="338"/>
      <c r="FI438" s="338"/>
      <c r="FJ438" s="338"/>
      <c r="FK438" s="338"/>
      <c r="FL438" s="338"/>
      <c r="FM438" s="337"/>
      <c r="FN438" s="336"/>
      <c r="FO438" s="336"/>
      <c r="FP438" s="336"/>
      <c r="FQ438" s="336"/>
      <c r="FR438" s="336"/>
      <c r="FS438" s="336"/>
      <c r="FT438" s="336"/>
      <c r="FU438" s="336"/>
      <c r="FV438" s="336"/>
      <c r="FW438" s="337"/>
      <c r="FX438" s="532"/>
      <c r="FY438" s="341"/>
      <c r="FZ438" s="341"/>
      <c r="GA438" s="336"/>
      <c r="GB438" s="341"/>
      <c r="GC438" s="341"/>
      <c r="GD438" s="341"/>
      <c r="GE438" s="336"/>
      <c r="GF438" s="336"/>
      <c r="GG438" s="336"/>
      <c r="GH438" s="336"/>
      <c r="GI438" s="336"/>
      <c r="GJ438" s="337"/>
      <c r="GM438" s="338"/>
      <c r="GN438" s="338"/>
      <c r="GO438" s="338"/>
      <c r="GS438" s="338"/>
      <c r="GT438" s="338"/>
      <c r="GU438" s="338"/>
      <c r="GY438" s="338"/>
      <c r="GZ438" s="338"/>
      <c r="HA438" s="338"/>
      <c r="HE438" s="338"/>
      <c r="HF438" s="338"/>
      <c r="HG438" s="338"/>
      <c r="HN438" s="68"/>
      <c r="HO438" s="68"/>
      <c r="HP438" s="68"/>
      <c r="HQ438" s="336"/>
      <c r="HR438" s="68"/>
      <c r="HS438" s="68"/>
      <c r="HT438" s="10"/>
      <c r="HW438" s="338"/>
      <c r="HX438" s="338"/>
      <c r="HY438" s="338"/>
      <c r="IC438" s="338"/>
      <c r="ID438" s="338"/>
      <c r="IE438" s="338"/>
      <c r="II438" s="338"/>
      <c r="IJ438" s="338"/>
      <c r="IK438" s="338"/>
      <c r="IO438" s="338"/>
      <c r="IP438" s="338"/>
      <c r="IQ438" s="338"/>
      <c r="IX438" s="68"/>
      <c r="IY438" s="68"/>
      <c r="IZ438" s="68"/>
      <c r="JA438" s="68"/>
      <c r="JB438" s="68"/>
      <c r="JC438" s="68"/>
      <c r="JD438" s="10"/>
      <c r="JG438" s="338"/>
      <c r="JH438" s="338"/>
      <c r="JI438" s="338"/>
      <c r="JM438" s="338"/>
      <c r="JN438" s="338"/>
      <c r="JQ438" s="338"/>
      <c r="JR438" s="338"/>
      <c r="JS438" s="338"/>
      <c r="JW438" s="358"/>
      <c r="JX438" s="336"/>
      <c r="JY438" s="336"/>
      <c r="JZ438" s="336"/>
      <c r="KA438" s="336"/>
      <c r="KB438" s="336"/>
      <c r="KC438" s="336"/>
      <c r="KD438" s="336"/>
      <c r="KE438" s="336"/>
      <c r="KF438" s="336"/>
      <c r="KG438" s="337"/>
      <c r="KH438" s="338"/>
      <c r="KI438" s="338"/>
      <c r="KJ438" s="338"/>
      <c r="KK438" s="338"/>
      <c r="KL438" s="338"/>
      <c r="KM438" s="338"/>
      <c r="KN438" s="338"/>
      <c r="KO438" s="338"/>
      <c r="KP438" s="338"/>
      <c r="KQ438" s="338"/>
      <c r="KR438" s="338"/>
      <c r="KS438" s="338"/>
      <c r="KT438" s="338"/>
      <c r="KU438" s="338"/>
      <c r="KV438" s="338"/>
      <c r="KW438" s="337"/>
      <c r="KX438" s="336"/>
      <c r="KY438" s="336"/>
      <c r="KZ438" s="336"/>
      <c r="LA438" s="336"/>
      <c r="LB438" s="336"/>
      <c r="LC438" s="336"/>
      <c r="LD438" s="336"/>
      <c r="LE438" s="336"/>
      <c r="LF438" s="336"/>
      <c r="LG438" s="336"/>
      <c r="LH438" s="336"/>
      <c r="LI438" s="336"/>
      <c r="LJ438" s="336"/>
      <c r="LK438" s="336"/>
      <c r="LL438" s="336"/>
      <c r="LM438" s="336"/>
      <c r="LN438" s="336"/>
      <c r="LO438" s="336"/>
      <c r="LP438" s="336"/>
      <c r="LQ438" s="337"/>
      <c r="MN438" s="10"/>
      <c r="OA438" s="10"/>
    </row>
    <row r="439" spans="1:391" s="370" customFormat="1" x14ac:dyDescent="0.25">
      <c r="A439" s="68"/>
      <c r="B439" s="10"/>
      <c r="C439" s="68"/>
      <c r="D439" s="68"/>
      <c r="E439" s="68"/>
      <c r="F439" s="68"/>
      <c r="G439" s="68"/>
      <c r="H439" s="68"/>
      <c r="I439" s="68"/>
      <c r="J439" s="68"/>
      <c r="K439" s="68"/>
      <c r="L439" s="68"/>
      <c r="M439" s="68"/>
      <c r="N439" s="68"/>
      <c r="O439" s="68"/>
      <c r="P439" s="68"/>
      <c r="Q439" s="68"/>
      <c r="R439" s="68"/>
      <c r="S439" s="68"/>
      <c r="T439" s="70"/>
      <c r="AC439" s="68"/>
      <c r="AD439" s="70"/>
      <c r="AM439" s="68"/>
      <c r="AN439" s="70"/>
      <c r="AU439" s="68"/>
      <c r="AV439" s="70"/>
      <c r="BB439" s="68"/>
      <c r="BC439" s="70"/>
      <c r="BD439" s="68"/>
      <c r="BE439" s="68"/>
      <c r="BF439" s="68"/>
      <c r="BG439" s="68"/>
      <c r="BH439" s="68"/>
      <c r="BI439" s="68"/>
      <c r="BJ439" s="70"/>
      <c r="BM439" s="68"/>
      <c r="BN439" s="70"/>
      <c r="BT439" s="68"/>
      <c r="BU439" s="70"/>
      <c r="BZ439" s="10"/>
      <c r="CF439" s="10"/>
      <c r="CI439" s="389"/>
      <c r="CJ439" s="389"/>
      <c r="CK439" s="68"/>
      <c r="CL439" s="70"/>
      <c r="CO439" s="10"/>
      <c r="CU439" s="10"/>
      <c r="DA439" s="10"/>
      <c r="DB439" s="70"/>
      <c r="DC439" s="70"/>
      <c r="DF439" s="68"/>
      <c r="DG439" s="70"/>
      <c r="DH439" s="68"/>
      <c r="DI439" s="386"/>
      <c r="DJ439" s="425"/>
      <c r="DL439" s="68"/>
      <c r="DM439" s="70"/>
      <c r="DQ439" s="68"/>
      <c r="DR439" s="70"/>
      <c r="DS439" s="338"/>
      <c r="DT439" s="338"/>
      <c r="DU439" s="338"/>
      <c r="DW439" s="338"/>
      <c r="DX439" s="338"/>
      <c r="DY439" s="338"/>
      <c r="EA439" s="338"/>
      <c r="EB439" s="338"/>
      <c r="EC439" s="338"/>
      <c r="EE439" s="338"/>
      <c r="EF439" s="338"/>
      <c r="EG439" s="338"/>
      <c r="EI439" s="336"/>
      <c r="EJ439" s="336"/>
      <c r="EK439" s="336"/>
      <c r="EL439" s="336"/>
      <c r="EM439" s="336"/>
      <c r="EN439" s="336"/>
      <c r="EO439" s="337"/>
      <c r="EP439" s="342"/>
      <c r="EQ439" s="336"/>
      <c r="ER439" s="342"/>
      <c r="ES439" s="336"/>
      <c r="ET439" s="342"/>
      <c r="EU439" s="336"/>
      <c r="EV439" s="342"/>
      <c r="EW439" s="336"/>
      <c r="EX439" s="342"/>
      <c r="EY439" s="342"/>
      <c r="EZ439" s="342"/>
      <c r="FA439" s="337"/>
      <c r="FE439" s="338"/>
      <c r="FH439" s="338"/>
      <c r="FI439" s="338"/>
      <c r="FJ439" s="338"/>
      <c r="FK439" s="338"/>
      <c r="FL439" s="338"/>
      <c r="FM439" s="337"/>
      <c r="FN439" s="336"/>
      <c r="FO439" s="336"/>
      <c r="FP439" s="336"/>
      <c r="FQ439" s="336"/>
      <c r="FR439" s="336"/>
      <c r="FS439" s="336"/>
      <c r="FT439" s="336"/>
      <c r="FU439" s="336"/>
      <c r="FV439" s="336"/>
      <c r="FW439" s="337"/>
      <c r="FX439" s="532"/>
      <c r="FY439" s="341"/>
      <c r="FZ439" s="341"/>
      <c r="GA439" s="336"/>
      <c r="GB439" s="341"/>
      <c r="GC439" s="341"/>
      <c r="GD439" s="341"/>
      <c r="GE439" s="336"/>
      <c r="GF439" s="336"/>
      <c r="GG439" s="336"/>
      <c r="GH439" s="336"/>
      <c r="GI439" s="336"/>
      <c r="GJ439" s="337"/>
      <c r="GM439" s="338"/>
      <c r="GN439" s="338"/>
      <c r="GO439" s="338"/>
      <c r="GS439" s="338"/>
      <c r="GT439" s="338"/>
      <c r="GU439" s="338"/>
      <c r="GY439" s="338"/>
      <c r="GZ439" s="338"/>
      <c r="HA439" s="338"/>
      <c r="HE439" s="338"/>
      <c r="HF439" s="338"/>
      <c r="HG439" s="338"/>
      <c r="HN439" s="68"/>
      <c r="HO439" s="68"/>
      <c r="HP439" s="68"/>
      <c r="HQ439" s="336"/>
      <c r="HR439" s="68"/>
      <c r="HS439" s="68"/>
      <c r="HT439" s="10"/>
      <c r="HW439" s="338"/>
      <c r="HX439" s="338"/>
      <c r="HY439" s="338"/>
      <c r="IC439" s="338"/>
      <c r="ID439" s="338"/>
      <c r="IE439" s="338"/>
      <c r="II439" s="338"/>
      <c r="IJ439" s="338"/>
      <c r="IK439" s="338"/>
      <c r="IO439" s="338"/>
      <c r="IP439" s="338"/>
      <c r="IQ439" s="338"/>
      <c r="IX439" s="68"/>
      <c r="IY439" s="68"/>
      <c r="IZ439" s="68"/>
      <c r="JA439" s="68"/>
      <c r="JB439" s="68"/>
      <c r="JC439" s="68"/>
      <c r="JD439" s="10"/>
      <c r="JG439" s="338"/>
      <c r="JH439" s="338"/>
      <c r="JI439" s="338"/>
      <c r="JM439" s="338"/>
      <c r="JN439" s="338"/>
      <c r="JQ439" s="338"/>
      <c r="JR439" s="338"/>
      <c r="JS439" s="338"/>
      <c r="JW439" s="358"/>
      <c r="JX439" s="336"/>
      <c r="JY439" s="336"/>
      <c r="JZ439" s="336"/>
      <c r="KA439" s="336"/>
      <c r="KB439" s="336"/>
      <c r="KC439" s="336"/>
      <c r="KD439" s="336"/>
      <c r="KE439" s="336"/>
      <c r="KF439" s="336"/>
      <c r="KG439" s="337"/>
      <c r="KH439" s="338"/>
      <c r="KI439" s="338"/>
      <c r="KJ439" s="338"/>
      <c r="KK439" s="338"/>
      <c r="KL439" s="338"/>
      <c r="KM439" s="338"/>
      <c r="KN439" s="338"/>
      <c r="KO439" s="338"/>
      <c r="KP439" s="338"/>
      <c r="KQ439" s="338"/>
      <c r="KR439" s="338"/>
      <c r="KS439" s="338"/>
      <c r="KT439" s="338"/>
      <c r="KU439" s="338"/>
      <c r="KV439" s="338"/>
      <c r="KW439" s="337"/>
      <c r="KX439" s="336"/>
      <c r="KY439" s="336"/>
      <c r="KZ439" s="336"/>
      <c r="LA439" s="336"/>
      <c r="LB439" s="336"/>
      <c r="LC439" s="336"/>
      <c r="LD439" s="336"/>
      <c r="LE439" s="336"/>
      <c r="LF439" s="336"/>
      <c r="LG439" s="336"/>
      <c r="LH439" s="336"/>
      <c r="LI439" s="336"/>
      <c r="LJ439" s="336"/>
      <c r="LK439" s="336"/>
      <c r="LL439" s="336"/>
      <c r="LM439" s="336"/>
      <c r="LN439" s="336"/>
      <c r="LO439" s="336"/>
      <c r="LP439" s="336"/>
      <c r="LQ439" s="337"/>
      <c r="MN439" s="10"/>
      <c r="OA439" s="10"/>
    </row>
    <row r="440" spans="1:391" s="370" customFormat="1" x14ac:dyDescent="0.25">
      <c r="A440" s="68"/>
      <c r="B440" s="10"/>
      <c r="C440" s="68"/>
      <c r="D440" s="68"/>
      <c r="E440" s="68"/>
      <c r="F440" s="68"/>
      <c r="G440" s="68"/>
      <c r="H440" s="68"/>
      <c r="I440" s="68"/>
      <c r="J440" s="68"/>
      <c r="K440" s="68"/>
      <c r="L440" s="68"/>
      <c r="M440" s="68"/>
      <c r="N440" s="68"/>
      <c r="O440" s="68"/>
      <c r="P440" s="68"/>
      <c r="Q440" s="68"/>
      <c r="R440" s="68"/>
      <c r="S440" s="68"/>
      <c r="T440" s="70"/>
      <c r="AC440" s="68"/>
      <c r="AD440" s="70"/>
      <c r="AM440" s="68"/>
      <c r="AN440" s="70"/>
      <c r="AU440" s="68"/>
      <c r="AV440" s="70"/>
      <c r="BB440" s="68"/>
      <c r="BC440" s="70"/>
      <c r="BD440" s="68"/>
      <c r="BE440" s="68"/>
      <c r="BF440" s="68"/>
      <c r="BG440" s="68"/>
      <c r="BH440" s="68"/>
      <c r="BI440" s="68"/>
      <c r="BJ440" s="70"/>
      <c r="BM440" s="68"/>
      <c r="BN440" s="70"/>
      <c r="BT440" s="68"/>
      <c r="BU440" s="70"/>
      <c r="BZ440" s="10"/>
      <c r="CF440" s="10"/>
      <c r="CI440" s="389"/>
      <c r="CJ440" s="389"/>
      <c r="CK440" s="68"/>
      <c r="CL440" s="70"/>
      <c r="CO440" s="10"/>
      <c r="CU440" s="10"/>
      <c r="DA440" s="10"/>
      <c r="DB440" s="70"/>
      <c r="DC440" s="70"/>
      <c r="DF440" s="68"/>
      <c r="DG440" s="70"/>
      <c r="DH440" s="68"/>
      <c r="DI440" s="386"/>
      <c r="DJ440" s="425"/>
      <c r="DL440" s="68"/>
      <c r="DM440" s="70"/>
      <c r="DQ440" s="68"/>
      <c r="DR440" s="70"/>
      <c r="DS440" s="338"/>
      <c r="DT440" s="338"/>
      <c r="DU440" s="338"/>
      <c r="DW440" s="338"/>
      <c r="DX440" s="338"/>
      <c r="DY440" s="338"/>
      <c r="EA440" s="338"/>
      <c r="EB440" s="338"/>
      <c r="EC440" s="338"/>
      <c r="EE440" s="338"/>
      <c r="EF440" s="338"/>
      <c r="EG440" s="338"/>
      <c r="EI440" s="336"/>
      <c r="EJ440" s="336"/>
      <c r="EK440" s="336"/>
      <c r="EL440" s="336"/>
      <c r="EM440" s="336"/>
      <c r="EN440" s="336"/>
      <c r="EO440" s="337"/>
      <c r="EP440" s="342"/>
      <c r="EQ440" s="336"/>
      <c r="ER440" s="342"/>
      <c r="ES440" s="336"/>
      <c r="ET440" s="342"/>
      <c r="EU440" s="336"/>
      <c r="EV440" s="342"/>
      <c r="EW440" s="336"/>
      <c r="EX440" s="342"/>
      <c r="EY440" s="342"/>
      <c r="EZ440" s="342"/>
      <c r="FA440" s="337"/>
      <c r="FE440" s="338"/>
      <c r="FH440" s="338"/>
      <c r="FI440" s="338"/>
      <c r="FJ440" s="338"/>
      <c r="FK440" s="338"/>
      <c r="FL440" s="338"/>
      <c r="FM440" s="337"/>
      <c r="FN440" s="336"/>
      <c r="FO440" s="336"/>
      <c r="FP440" s="336"/>
      <c r="FQ440" s="336"/>
      <c r="FR440" s="336"/>
      <c r="FS440" s="336"/>
      <c r="FT440" s="336"/>
      <c r="FU440" s="336"/>
      <c r="FV440" s="336"/>
      <c r="FW440" s="337"/>
      <c r="FX440" s="532"/>
      <c r="FY440" s="341"/>
      <c r="FZ440" s="341"/>
      <c r="GA440" s="336"/>
      <c r="GB440" s="341"/>
      <c r="GC440" s="341"/>
      <c r="GD440" s="341"/>
      <c r="GE440" s="336"/>
      <c r="GF440" s="336"/>
      <c r="GG440" s="336"/>
      <c r="GH440" s="336"/>
      <c r="GI440" s="336"/>
      <c r="GJ440" s="337"/>
      <c r="GM440" s="338"/>
      <c r="GN440" s="338"/>
      <c r="GO440" s="338"/>
      <c r="GS440" s="338"/>
      <c r="GT440" s="338"/>
      <c r="GU440" s="338"/>
      <c r="GY440" s="338"/>
      <c r="GZ440" s="338"/>
      <c r="HA440" s="338"/>
      <c r="HE440" s="338"/>
      <c r="HF440" s="338"/>
      <c r="HG440" s="338"/>
      <c r="HN440" s="68"/>
      <c r="HO440" s="68"/>
      <c r="HP440" s="68"/>
      <c r="HQ440" s="336"/>
      <c r="HR440" s="68"/>
      <c r="HS440" s="68"/>
      <c r="HT440" s="10"/>
      <c r="HW440" s="338"/>
      <c r="HX440" s="338"/>
      <c r="HY440" s="338"/>
      <c r="IC440" s="338"/>
      <c r="ID440" s="338"/>
      <c r="IE440" s="338"/>
      <c r="II440" s="338"/>
      <c r="IJ440" s="338"/>
      <c r="IK440" s="338"/>
      <c r="IO440" s="338"/>
      <c r="IP440" s="338"/>
      <c r="IQ440" s="338"/>
      <c r="IX440" s="68"/>
      <c r="IY440" s="68"/>
      <c r="IZ440" s="68"/>
      <c r="JA440" s="68"/>
      <c r="JB440" s="68"/>
      <c r="JC440" s="68"/>
      <c r="JD440" s="10"/>
      <c r="JG440" s="338"/>
      <c r="JH440" s="338"/>
      <c r="JI440" s="338"/>
      <c r="JM440" s="338"/>
      <c r="JN440" s="338"/>
      <c r="JQ440" s="338"/>
      <c r="JR440" s="338"/>
      <c r="JS440" s="338"/>
      <c r="JW440" s="358"/>
      <c r="JX440" s="336"/>
      <c r="JY440" s="336"/>
      <c r="JZ440" s="336"/>
      <c r="KA440" s="336"/>
      <c r="KB440" s="336"/>
      <c r="KC440" s="336"/>
      <c r="KD440" s="336"/>
      <c r="KE440" s="336"/>
      <c r="KF440" s="336"/>
      <c r="KG440" s="337"/>
      <c r="KH440" s="338"/>
      <c r="KI440" s="338"/>
      <c r="KJ440" s="338"/>
      <c r="KK440" s="338"/>
      <c r="KL440" s="338"/>
      <c r="KM440" s="338"/>
      <c r="KN440" s="338"/>
      <c r="KO440" s="338"/>
      <c r="KP440" s="338"/>
      <c r="KQ440" s="338"/>
      <c r="KR440" s="338"/>
      <c r="KS440" s="338"/>
      <c r="KT440" s="338"/>
      <c r="KU440" s="338"/>
      <c r="KV440" s="338"/>
      <c r="KW440" s="337"/>
      <c r="KX440" s="336"/>
      <c r="KY440" s="336"/>
      <c r="KZ440" s="336"/>
      <c r="LA440" s="336"/>
      <c r="LB440" s="336"/>
      <c r="LC440" s="336"/>
      <c r="LD440" s="336"/>
      <c r="LE440" s="336"/>
      <c r="LF440" s="336"/>
      <c r="LG440" s="336"/>
      <c r="LH440" s="336"/>
      <c r="LI440" s="336"/>
      <c r="LJ440" s="336"/>
      <c r="LK440" s="336"/>
      <c r="LL440" s="336"/>
      <c r="LM440" s="336"/>
      <c r="LN440" s="336"/>
      <c r="LO440" s="336"/>
      <c r="LP440" s="336"/>
      <c r="LQ440" s="337"/>
      <c r="MN440" s="10"/>
      <c r="OA440" s="10"/>
    </row>
    <row r="441" spans="1:391" s="370" customFormat="1" x14ac:dyDescent="0.25">
      <c r="A441" s="68"/>
      <c r="B441" s="10"/>
      <c r="C441" s="68"/>
      <c r="D441" s="68"/>
      <c r="E441" s="68"/>
      <c r="F441" s="68"/>
      <c r="G441" s="68"/>
      <c r="H441" s="68"/>
      <c r="I441" s="68"/>
      <c r="J441" s="68"/>
      <c r="K441" s="68"/>
      <c r="L441" s="68"/>
      <c r="M441" s="68"/>
      <c r="N441" s="68"/>
      <c r="O441" s="68"/>
      <c r="P441" s="68"/>
      <c r="Q441" s="68"/>
      <c r="R441" s="68"/>
      <c r="S441" s="68"/>
      <c r="T441" s="70"/>
      <c r="AC441" s="68"/>
      <c r="AD441" s="70"/>
      <c r="AM441" s="68"/>
      <c r="AN441" s="70"/>
      <c r="AU441" s="68"/>
      <c r="AV441" s="70"/>
      <c r="BB441" s="68"/>
      <c r="BC441" s="70"/>
      <c r="BD441" s="68"/>
      <c r="BE441" s="68"/>
      <c r="BF441" s="68"/>
      <c r="BG441" s="68"/>
      <c r="BH441" s="68"/>
      <c r="BI441" s="68"/>
      <c r="BJ441" s="70"/>
      <c r="BM441" s="68"/>
      <c r="BN441" s="70"/>
      <c r="BT441" s="68"/>
      <c r="BU441" s="70"/>
      <c r="BZ441" s="10"/>
      <c r="CF441" s="10"/>
      <c r="CI441" s="389"/>
      <c r="CJ441" s="389"/>
      <c r="CK441" s="68"/>
      <c r="CL441" s="70"/>
      <c r="CO441" s="10"/>
      <c r="CU441" s="10"/>
      <c r="DA441" s="10"/>
      <c r="DB441" s="70"/>
      <c r="DC441" s="70"/>
      <c r="DF441" s="68"/>
      <c r="DG441" s="70"/>
      <c r="DH441" s="68"/>
      <c r="DI441" s="386"/>
      <c r="DJ441" s="425"/>
      <c r="DL441" s="68"/>
      <c r="DM441" s="70"/>
      <c r="DQ441" s="68"/>
      <c r="DR441" s="70"/>
      <c r="DS441" s="338"/>
      <c r="DT441" s="338"/>
      <c r="DU441" s="338"/>
      <c r="DW441" s="338"/>
      <c r="DX441" s="338"/>
      <c r="DY441" s="338"/>
      <c r="EA441" s="338"/>
      <c r="EB441" s="338"/>
      <c r="EC441" s="338"/>
      <c r="EE441" s="338"/>
      <c r="EF441" s="338"/>
      <c r="EG441" s="338"/>
      <c r="EI441" s="336"/>
      <c r="EJ441" s="336"/>
      <c r="EK441" s="336"/>
      <c r="EL441" s="336"/>
      <c r="EM441" s="336"/>
      <c r="EN441" s="336"/>
      <c r="EO441" s="337"/>
      <c r="EP441" s="342"/>
      <c r="EQ441" s="336"/>
      <c r="ER441" s="342"/>
      <c r="ES441" s="336"/>
      <c r="ET441" s="342"/>
      <c r="EU441" s="336"/>
      <c r="EV441" s="342"/>
      <c r="EW441" s="336"/>
      <c r="EX441" s="342"/>
      <c r="EY441" s="342"/>
      <c r="EZ441" s="342"/>
      <c r="FA441" s="337"/>
      <c r="FE441" s="338"/>
      <c r="FH441" s="338"/>
      <c r="FI441" s="338"/>
      <c r="FJ441" s="338"/>
      <c r="FK441" s="338"/>
      <c r="FL441" s="338"/>
      <c r="FM441" s="337"/>
      <c r="FN441" s="336"/>
      <c r="FO441" s="336"/>
      <c r="FP441" s="336"/>
      <c r="FQ441" s="336"/>
      <c r="FR441" s="336"/>
      <c r="FS441" s="336"/>
      <c r="FT441" s="336"/>
      <c r="FU441" s="336"/>
      <c r="FV441" s="336"/>
      <c r="FW441" s="337"/>
      <c r="FX441" s="532"/>
      <c r="FY441" s="341"/>
      <c r="FZ441" s="341"/>
      <c r="GA441" s="336"/>
      <c r="GB441" s="341"/>
      <c r="GC441" s="341"/>
      <c r="GD441" s="341"/>
      <c r="GE441" s="336"/>
      <c r="GF441" s="336"/>
      <c r="GG441" s="336"/>
      <c r="GH441" s="336"/>
      <c r="GI441" s="336"/>
      <c r="GJ441" s="337"/>
      <c r="GM441" s="338"/>
      <c r="GN441" s="338"/>
      <c r="GO441" s="338"/>
      <c r="GS441" s="338"/>
      <c r="GT441" s="338"/>
      <c r="GU441" s="338"/>
      <c r="GY441" s="338"/>
      <c r="GZ441" s="338"/>
      <c r="HA441" s="338"/>
      <c r="HE441" s="338"/>
      <c r="HF441" s="338"/>
      <c r="HG441" s="338"/>
      <c r="HN441" s="68"/>
      <c r="HO441" s="68"/>
      <c r="HP441" s="68"/>
      <c r="HQ441" s="336"/>
      <c r="HR441" s="68"/>
      <c r="HS441" s="68"/>
      <c r="HT441" s="10"/>
      <c r="HW441" s="338"/>
      <c r="HX441" s="338"/>
      <c r="HY441" s="338"/>
      <c r="IC441" s="338"/>
      <c r="ID441" s="338"/>
      <c r="IE441" s="338"/>
      <c r="II441" s="338"/>
      <c r="IJ441" s="338"/>
      <c r="IK441" s="338"/>
      <c r="IO441" s="338"/>
      <c r="IP441" s="338"/>
      <c r="IQ441" s="338"/>
      <c r="IX441" s="68"/>
      <c r="IY441" s="68"/>
      <c r="IZ441" s="68"/>
      <c r="JA441" s="68"/>
      <c r="JB441" s="68"/>
      <c r="JC441" s="68"/>
      <c r="JD441" s="10"/>
      <c r="JG441" s="338"/>
      <c r="JH441" s="338"/>
      <c r="JI441" s="338"/>
      <c r="JM441" s="338"/>
      <c r="JN441" s="338"/>
      <c r="JQ441" s="338"/>
      <c r="JR441" s="338"/>
      <c r="JS441" s="338"/>
      <c r="JW441" s="358"/>
      <c r="JX441" s="336"/>
      <c r="JY441" s="336"/>
      <c r="JZ441" s="336"/>
      <c r="KA441" s="336"/>
      <c r="KB441" s="336"/>
      <c r="KC441" s="336"/>
      <c r="KD441" s="336"/>
      <c r="KE441" s="336"/>
      <c r="KF441" s="336"/>
      <c r="KG441" s="337"/>
      <c r="KH441" s="338"/>
      <c r="KI441" s="338"/>
      <c r="KJ441" s="338"/>
      <c r="KK441" s="338"/>
      <c r="KL441" s="338"/>
      <c r="KM441" s="338"/>
      <c r="KN441" s="338"/>
      <c r="KO441" s="338"/>
      <c r="KP441" s="338"/>
      <c r="KQ441" s="338"/>
      <c r="KR441" s="338"/>
      <c r="KS441" s="338"/>
      <c r="KT441" s="338"/>
      <c r="KU441" s="338"/>
      <c r="KV441" s="338"/>
      <c r="KW441" s="337"/>
      <c r="KX441" s="336"/>
      <c r="KY441" s="336"/>
      <c r="KZ441" s="336"/>
      <c r="LA441" s="336"/>
      <c r="LB441" s="336"/>
      <c r="LC441" s="336"/>
      <c r="LD441" s="336"/>
      <c r="LE441" s="336"/>
      <c r="LF441" s="336"/>
      <c r="LG441" s="336"/>
      <c r="LH441" s="336"/>
      <c r="LI441" s="336"/>
      <c r="LJ441" s="336"/>
      <c r="LK441" s="336"/>
      <c r="LL441" s="336"/>
      <c r="LM441" s="336"/>
      <c r="LN441" s="336"/>
      <c r="LO441" s="336"/>
      <c r="LP441" s="336"/>
      <c r="LQ441" s="337"/>
      <c r="MN441" s="10"/>
      <c r="OA441" s="10"/>
    </row>
    <row r="442" spans="1:391" s="370" customFormat="1" x14ac:dyDescent="0.25">
      <c r="A442" s="68"/>
      <c r="B442" s="10"/>
      <c r="C442" s="68"/>
      <c r="D442" s="68"/>
      <c r="E442" s="68"/>
      <c r="F442" s="68"/>
      <c r="G442" s="68"/>
      <c r="H442" s="68"/>
      <c r="I442" s="68"/>
      <c r="J442" s="68"/>
      <c r="K442" s="68"/>
      <c r="L442" s="68"/>
      <c r="M442" s="68"/>
      <c r="N442" s="68"/>
      <c r="O442" s="68"/>
      <c r="P442" s="68"/>
      <c r="Q442" s="68"/>
      <c r="R442" s="68"/>
      <c r="S442" s="68"/>
      <c r="T442" s="70"/>
      <c r="AC442" s="68"/>
      <c r="AD442" s="70"/>
      <c r="AM442" s="68"/>
      <c r="AN442" s="70"/>
      <c r="AU442" s="68"/>
      <c r="AV442" s="70"/>
      <c r="BB442" s="68"/>
      <c r="BC442" s="70"/>
      <c r="BD442" s="68"/>
      <c r="BE442" s="68"/>
      <c r="BF442" s="68"/>
      <c r="BG442" s="68"/>
      <c r="BH442" s="68"/>
      <c r="BI442" s="68"/>
      <c r="BJ442" s="70"/>
      <c r="BM442" s="68"/>
      <c r="BN442" s="70"/>
      <c r="BT442" s="68"/>
      <c r="BU442" s="70"/>
      <c r="BZ442" s="10"/>
      <c r="CF442" s="10"/>
      <c r="CI442" s="389"/>
      <c r="CJ442" s="389"/>
      <c r="CK442" s="68"/>
      <c r="CL442" s="70"/>
      <c r="CO442" s="10"/>
      <c r="CU442" s="10"/>
      <c r="DA442" s="10"/>
      <c r="DB442" s="70"/>
      <c r="DC442" s="70"/>
      <c r="DF442" s="68"/>
      <c r="DG442" s="70"/>
      <c r="DH442" s="68"/>
      <c r="DI442" s="386"/>
      <c r="DJ442" s="425"/>
      <c r="DL442" s="68"/>
      <c r="DM442" s="70"/>
      <c r="DQ442" s="68"/>
      <c r="DR442" s="70"/>
      <c r="DS442" s="338"/>
      <c r="DT442" s="338"/>
      <c r="DU442" s="338"/>
      <c r="DW442" s="338"/>
      <c r="DX442" s="338"/>
      <c r="DY442" s="338"/>
      <c r="EA442" s="338"/>
      <c r="EB442" s="338"/>
      <c r="EC442" s="338"/>
      <c r="EE442" s="338"/>
      <c r="EF442" s="338"/>
      <c r="EG442" s="338"/>
      <c r="EI442" s="336"/>
      <c r="EJ442" s="336"/>
      <c r="EK442" s="336"/>
      <c r="EL442" s="336"/>
      <c r="EM442" s="336"/>
      <c r="EN442" s="336"/>
      <c r="EO442" s="337"/>
      <c r="EP442" s="342"/>
      <c r="EQ442" s="336"/>
      <c r="ER442" s="342"/>
      <c r="ES442" s="336"/>
      <c r="ET442" s="342"/>
      <c r="EU442" s="336"/>
      <c r="EV442" s="342"/>
      <c r="EW442" s="336"/>
      <c r="EX442" s="342"/>
      <c r="EY442" s="342"/>
      <c r="EZ442" s="342"/>
      <c r="FA442" s="337"/>
      <c r="FE442" s="338"/>
      <c r="FH442" s="338"/>
      <c r="FI442" s="338"/>
      <c r="FJ442" s="338"/>
      <c r="FK442" s="338"/>
      <c r="FL442" s="338"/>
      <c r="FM442" s="337"/>
      <c r="FN442" s="336"/>
      <c r="FO442" s="336"/>
      <c r="FP442" s="336"/>
      <c r="FQ442" s="336"/>
      <c r="FR442" s="336"/>
      <c r="FS442" s="336"/>
      <c r="FT442" s="336"/>
      <c r="FU442" s="336"/>
      <c r="FV442" s="336"/>
      <c r="FW442" s="337"/>
      <c r="FX442" s="532"/>
      <c r="FY442" s="341"/>
      <c r="FZ442" s="341"/>
      <c r="GA442" s="336"/>
      <c r="GB442" s="341"/>
      <c r="GC442" s="341"/>
      <c r="GD442" s="341"/>
      <c r="GE442" s="336"/>
      <c r="GF442" s="336"/>
      <c r="GG442" s="336"/>
      <c r="GH442" s="336"/>
      <c r="GI442" s="336"/>
      <c r="GJ442" s="337"/>
      <c r="GM442" s="338"/>
      <c r="GN442" s="338"/>
      <c r="GO442" s="338"/>
      <c r="GS442" s="338"/>
      <c r="GT442" s="338"/>
      <c r="GU442" s="338"/>
      <c r="GY442" s="338"/>
      <c r="GZ442" s="338"/>
      <c r="HA442" s="338"/>
      <c r="HE442" s="338"/>
      <c r="HF442" s="338"/>
      <c r="HG442" s="338"/>
      <c r="HN442" s="68"/>
      <c r="HO442" s="68"/>
      <c r="HP442" s="68"/>
      <c r="HQ442" s="336"/>
      <c r="HR442" s="68"/>
      <c r="HS442" s="68"/>
      <c r="HT442" s="10"/>
      <c r="HW442" s="338"/>
      <c r="HX442" s="338"/>
      <c r="HY442" s="338"/>
      <c r="IC442" s="338"/>
      <c r="ID442" s="338"/>
      <c r="IE442" s="338"/>
      <c r="II442" s="338"/>
      <c r="IJ442" s="338"/>
      <c r="IK442" s="338"/>
      <c r="IO442" s="338"/>
      <c r="IP442" s="338"/>
      <c r="IQ442" s="338"/>
      <c r="IX442" s="68"/>
      <c r="IY442" s="68"/>
      <c r="IZ442" s="68"/>
      <c r="JA442" s="68"/>
      <c r="JB442" s="68"/>
      <c r="JC442" s="68"/>
      <c r="JD442" s="10"/>
      <c r="JG442" s="338"/>
      <c r="JH442" s="338"/>
      <c r="JI442" s="338"/>
      <c r="JM442" s="338"/>
      <c r="JN442" s="338"/>
      <c r="JQ442" s="338"/>
      <c r="JR442" s="338"/>
      <c r="JS442" s="338"/>
      <c r="JW442" s="358"/>
      <c r="JX442" s="336"/>
      <c r="JY442" s="336"/>
      <c r="JZ442" s="336"/>
      <c r="KA442" s="336"/>
      <c r="KB442" s="336"/>
      <c r="KC442" s="336"/>
      <c r="KD442" s="336"/>
      <c r="KE442" s="336"/>
      <c r="KF442" s="336"/>
      <c r="KG442" s="337"/>
      <c r="KH442" s="338"/>
      <c r="KI442" s="338"/>
      <c r="KJ442" s="338"/>
      <c r="KK442" s="338"/>
      <c r="KL442" s="338"/>
      <c r="KM442" s="338"/>
      <c r="KN442" s="338"/>
      <c r="KO442" s="338"/>
      <c r="KP442" s="338"/>
      <c r="KQ442" s="338"/>
      <c r="KR442" s="338"/>
      <c r="KS442" s="338"/>
      <c r="KT442" s="338"/>
      <c r="KU442" s="338"/>
      <c r="KV442" s="338"/>
      <c r="KW442" s="337"/>
      <c r="KX442" s="336"/>
      <c r="KY442" s="336"/>
      <c r="KZ442" s="336"/>
      <c r="LA442" s="336"/>
      <c r="LB442" s="336"/>
      <c r="LC442" s="336"/>
      <c r="LD442" s="336"/>
      <c r="LE442" s="336"/>
      <c r="LF442" s="336"/>
      <c r="LG442" s="336"/>
      <c r="LH442" s="336"/>
      <c r="LI442" s="336"/>
      <c r="LJ442" s="336"/>
      <c r="LK442" s="336"/>
      <c r="LL442" s="336"/>
      <c r="LM442" s="336"/>
      <c r="LN442" s="336"/>
      <c r="LO442" s="336"/>
      <c r="LP442" s="336"/>
      <c r="LQ442" s="337"/>
      <c r="MN442" s="10"/>
      <c r="OA442" s="10"/>
    </row>
    <row r="443" spans="1:391" s="370" customFormat="1" x14ac:dyDescent="0.25">
      <c r="A443" s="68"/>
      <c r="B443" s="10"/>
      <c r="C443" s="68"/>
      <c r="D443" s="68"/>
      <c r="E443" s="68"/>
      <c r="F443" s="68"/>
      <c r="G443" s="68"/>
      <c r="H443" s="68"/>
      <c r="I443" s="68"/>
      <c r="J443" s="68"/>
      <c r="K443" s="68"/>
      <c r="L443" s="68"/>
      <c r="M443" s="68"/>
      <c r="N443" s="68"/>
      <c r="O443" s="68"/>
      <c r="P443" s="68"/>
      <c r="Q443" s="68"/>
      <c r="R443" s="68"/>
      <c r="S443" s="68"/>
      <c r="T443" s="70"/>
      <c r="AC443" s="68"/>
      <c r="AD443" s="70"/>
      <c r="AM443" s="68"/>
      <c r="AN443" s="70"/>
      <c r="AU443" s="68"/>
      <c r="AV443" s="70"/>
      <c r="BB443" s="68"/>
      <c r="BC443" s="70"/>
      <c r="BD443" s="68"/>
      <c r="BE443" s="68"/>
      <c r="BF443" s="68"/>
      <c r="BG443" s="68"/>
      <c r="BH443" s="68"/>
      <c r="BI443" s="68"/>
      <c r="BJ443" s="70"/>
      <c r="BM443" s="68"/>
      <c r="BN443" s="70"/>
      <c r="BT443" s="68"/>
      <c r="BU443" s="70"/>
      <c r="BZ443" s="10"/>
      <c r="CF443" s="10"/>
      <c r="CI443" s="389"/>
      <c r="CJ443" s="389"/>
      <c r="CK443" s="68"/>
      <c r="CL443" s="70"/>
      <c r="CO443" s="10"/>
      <c r="CU443" s="10"/>
      <c r="DA443" s="10"/>
      <c r="DB443" s="70"/>
      <c r="DC443" s="70"/>
      <c r="DF443" s="68"/>
      <c r="DG443" s="70"/>
      <c r="DH443" s="68"/>
      <c r="DI443" s="386"/>
      <c r="DJ443" s="425"/>
      <c r="DL443" s="68"/>
      <c r="DM443" s="70"/>
      <c r="DQ443" s="68"/>
      <c r="DR443" s="70"/>
      <c r="DS443" s="338"/>
      <c r="DT443" s="338"/>
      <c r="DU443" s="338"/>
      <c r="DW443" s="338"/>
      <c r="DX443" s="338"/>
      <c r="DY443" s="338"/>
      <c r="EA443" s="338"/>
      <c r="EB443" s="338"/>
      <c r="EC443" s="338"/>
      <c r="EE443" s="338"/>
      <c r="EF443" s="338"/>
      <c r="EG443" s="338"/>
      <c r="EI443" s="336"/>
      <c r="EJ443" s="336"/>
      <c r="EK443" s="336"/>
      <c r="EL443" s="336"/>
      <c r="EM443" s="336"/>
      <c r="EN443" s="336"/>
      <c r="EO443" s="337"/>
      <c r="EP443" s="342"/>
      <c r="EQ443" s="336"/>
      <c r="ER443" s="342"/>
      <c r="ES443" s="336"/>
      <c r="ET443" s="342"/>
      <c r="EU443" s="336"/>
      <c r="EV443" s="342"/>
      <c r="EW443" s="336"/>
      <c r="EX443" s="342"/>
      <c r="EY443" s="342"/>
      <c r="EZ443" s="342"/>
      <c r="FA443" s="337"/>
      <c r="FE443" s="338"/>
      <c r="FH443" s="338"/>
      <c r="FI443" s="338"/>
      <c r="FJ443" s="338"/>
      <c r="FK443" s="338"/>
      <c r="FL443" s="338"/>
      <c r="FM443" s="337"/>
      <c r="FN443" s="336"/>
      <c r="FO443" s="336"/>
      <c r="FP443" s="336"/>
      <c r="FQ443" s="336"/>
      <c r="FR443" s="336"/>
      <c r="FS443" s="336"/>
      <c r="FT443" s="336"/>
      <c r="FU443" s="336"/>
      <c r="FV443" s="336"/>
      <c r="FW443" s="337"/>
      <c r="FX443" s="532"/>
      <c r="FY443" s="341"/>
      <c r="FZ443" s="341"/>
      <c r="GA443" s="336"/>
      <c r="GB443" s="341"/>
      <c r="GC443" s="341"/>
      <c r="GD443" s="341"/>
      <c r="GE443" s="336"/>
      <c r="GF443" s="336"/>
      <c r="GG443" s="336"/>
      <c r="GH443" s="336"/>
      <c r="GI443" s="336"/>
      <c r="GJ443" s="337"/>
      <c r="GM443" s="338"/>
      <c r="GN443" s="338"/>
      <c r="GO443" s="338"/>
      <c r="GS443" s="338"/>
      <c r="GT443" s="338"/>
      <c r="GU443" s="338"/>
      <c r="GY443" s="338"/>
      <c r="GZ443" s="338"/>
      <c r="HA443" s="338"/>
      <c r="HE443" s="338"/>
      <c r="HF443" s="338"/>
      <c r="HG443" s="338"/>
      <c r="HN443" s="68"/>
      <c r="HO443" s="68"/>
      <c r="HP443" s="68"/>
      <c r="HQ443" s="336"/>
      <c r="HR443" s="68"/>
      <c r="HS443" s="68"/>
      <c r="HT443" s="10"/>
      <c r="HW443" s="338"/>
      <c r="HX443" s="338"/>
      <c r="HY443" s="338"/>
      <c r="IC443" s="338"/>
      <c r="ID443" s="338"/>
      <c r="IE443" s="338"/>
      <c r="II443" s="338"/>
      <c r="IJ443" s="338"/>
      <c r="IK443" s="338"/>
      <c r="IO443" s="338"/>
      <c r="IP443" s="338"/>
      <c r="IQ443" s="338"/>
      <c r="IX443" s="68"/>
      <c r="IY443" s="68"/>
      <c r="IZ443" s="68"/>
      <c r="JA443" s="68"/>
      <c r="JB443" s="68"/>
      <c r="JC443" s="68"/>
      <c r="JD443" s="10"/>
      <c r="JG443" s="338"/>
      <c r="JH443" s="338"/>
      <c r="JI443" s="338"/>
      <c r="JM443" s="338"/>
      <c r="JN443" s="338"/>
      <c r="JQ443" s="338"/>
      <c r="JR443" s="338"/>
      <c r="JS443" s="338"/>
      <c r="JW443" s="358"/>
      <c r="JX443" s="336"/>
      <c r="JY443" s="336"/>
      <c r="JZ443" s="336"/>
      <c r="KA443" s="336"/>
      <c r="KB443" s="336"/>
      <c r="KC443" s="336"/>
      <c r="KD443" s="336"/>
      <c r="KE443" s="336"/>
      <c r="KF443" s="336"/>
      <c r="KG443" s="337"/>
      <c r="KH443" s="338"/>
      <c r="KI443" s="338"/>
      <c r="KJ443" s="338"/>
      <c r="KK443" s="338"/>
      <c r="KL443" s="338"/>
      <c r="KM443" s="338"/>
      <c r="KN443" s="338"/>
      <c r="KO443" s="338"/>
      <c r="KP443" s="338"/>
      <c r="KQ443" s="338"/>
      <c r="KR443" s="338"/>
      <c r="KS443" s="338"/>
      <c r="KT443" s="338"/>
      <c r="KU443" s="338"/>
      <c r="KV443" s="338"/>
      <c r="KW443" s="337"/>
      <c r="KX443" s="336"/>
      <c r="KY443" s="336"/>
      <c r="KZ443" s="336"/>
      <c r="LA443" s="336"/>
      <c r="LB443" s="336"/>
      <c r="LC443" s="336"/>
      <c r="LD443" s="336"/>
      <c r="LE443" s="336"/>
      <c r="LF443" s="336"/>
      <c r="LG443" s="336"/>
      <c r="LH443" s="336"/>
      <c r="LI443" s="336"/>
      <c r="LJ443" s="336"/>
      <c r="LK443" s="336"/>
      <c r="LL443" s="336"/>
      <c r="LM443" s="336"/>
      <c r="LN443" s="336"/>
      <c r="LO443" s="336"/>
      <c r="LP443" s="336"/>
      <c r="LQ443" s="337"/>
      <c r="MN443" s="10"/>
      <c r="OA443" s="10"/>
    </row>
    <row r="444" spans="1:391" s="370" customFormat="1" x14ac:dyDescent="0.25">
      <c r="A444" s="68"/>
      <c r="B444" s="10"/>
      <c r="C444" s="68"/>
      <c r="D444" s="68"/>
      <c r="E444" s="68"/>
      <c r="F444" s="68"/>
      <c r="G444" s="68"/>
      <c r="H444" s="68"/>
      <c r="I444" s="68"/>
      <c r="J444" s="68"/>
      <c r="K444" s="68"/>
      <c r="L444" s="68"/>
      <c r="M444" s="68"/>
      <c r="N444" s="68"/>
      <c r="O444" s="68"/>
      <c r="P444" s="68"/>
      <c r="Q444" s="68"/>
      <c r="R444" s="68"/>
      <c r="S444" s="68"/>
      <c r="T444" s="70"/>
      <c r="AC444" s="68"/>
      <c r="AD444" s="70"/>
      <c r="AM444" s="68"/>
      <c r="AN444" s="70"/>
      <c r="AU444" s="68"/>
      <c r="AV444" s="70"/>
      <c r="BB444" s="68"/>
      <c r="BC444" s="70"/>
      <c r="BD444" s="68"/>
      <c r="BE444" s="68"/>
      <c r="BF444" s="68"/>
      <c r="BG444" s="68"/>
      <c r="BH444" s="68"/>
      <c r="BI444" s="68"/>
      <c r="BJ444" s="70"/>
      <c r="BM444" s="68"/>
      <c r="BN444" s="70"/>
      <c r="BT444" s="68"/>
      <c r="BU444" s="70"/>
      <c r="BZ444" s="10"/>
      <c r="CF444" s="10"/>
      <c r="CI444" s="389"/>
      <c r="CJ444" s="389"/>
      <c r="CK444" s="68"/>
      <c r="CL444" s="70"/>
      <c r="CO444" s="10"/>
      <c r="CU444" s="10"/>
      <c r="DA444" s="10"/>
      <c r="DB444" s="70"/>
      <c r="DC444" s="70"/>
      <c r="DF444" s="68"/>
      <c r="DG444" s="70"/>
      <c r="DH444" s="68"/>
      <c r="DI444" s="386"/>
      <c r="DJ444" s="425"/>
      <c r="DL444" s="68"/>
      <c r="DM444" s="70"/>
      <c r="DQ444" s="68"/>
      <c r="DR444" s="70"/>
      <c r="DS444" s="338"/>
      <c r="DT444" s="338"/>
      <c r="DU444" s="338"/>
      <c r="DW444" s="338"/>
      <c r="DX444" s="338"/>
      <c r="DY444" s="338"/>
      <c r="EA444" s="338"/>
      <c r="EB444" s="338"/>
      <c r="EC444" s="338"/>
      <c r="EE444" s="338"/>
      <c r="EF444" s="338"/>
      <c r="EG444" s="338"/>
      <c r="EI444" s="336"/>
      <c r="EJ444" s="336"/>
      <c r="EK444" s="336"/>
      <c r="EL444" s="336"/>
      <c r="EM444" s="336"/>
      <c r="EN444" s="336"/>
      <c r="EO444" s="337"/>
      <c r="EP444" s="342"/>
      <c r="EQ444" s="336"/>
      <c r="ER444" s="342"/>
      <c r="ES444" s="336"/>
      <c r="ET444" s="342"/>
      <c r="EU444" s="336"/>
      <c r="EV444" s="342"/>
      <c r="EW444" s="336"/>
      <c r="EX444" s="342"/>
      <c r="EY444" s="342"/>
      <c r="EZ444" s="342"/>
      <c r="FA444" s="337"/>
      <c r="FE444" s="338"/>
      <c r="FH444" s="338"/>
      <c r="FI444" s="338"/>
      <c r="FJ444" s="338"/>
      <c r="FK444" s="338"/>
      <c r="FL444" s="338"/>
      <c r="FM444" s="337"/>
      <c r="FN444" s="336"/>
      <c r="FO444" s="336"/>
      <c r="FP444" s="336"/>
      <c r="FQ444" s="336"/>
      <c r="FR444" s="336"/>
      <c r="FS444" s="336"/>
      <c r="FT444" s="336"/>
      <c r="FU444" s="336"/>
      <c r="FV444" s="336"/>
      <c r="FW444" s="337"/>
      <c r="FX444" s="532"/>
      <c r="FY444" s="341"/>
      <c r="FZ444" s="341"/>
      <c r="GA444" s="336"/>
      <c r="GB444" s="341"/>
      <c r="GC444" s="341"/>
      <c r="GD444" s="341"/>
      <c r="GE444" s="336"/>
      <c r="GF444" s="336"/>
      <c r="GG444" s="336"/>
      <c r="GH444" s="336"/>
      <c r="GI444" s="336"/>
      <c r="GJ444" s="337"/>
      <c r="GM444" s="338"/>
      <c r="GN444" s="338"/>
      <c r="GO444" s="338"/>
      <c r="GS444" s="338"/>
      <c r="GT444" s="338"/>
      <c r="GU444" s="338"/>
      <c r="GY444" s="338"/>
      <c r="GZ444" s="338"/>
      <c r="HA444" s="338"/>
      <c r="HE444" s="338"/>
      <c r="HF444" s="338"/>
      <c r="HG444" s="338"/>
      <c r="HN444" s="68"/>
      <c r="HO444" s="68"/>
      <c r="HP444" s="68"/>
      <c r="HQ444" s="336"/>
      <c r="HR444" s="68"/>
      <c r="HS444" s="68"/>
      <c r="HT444" s="10"/>
      <c r="HW444" s="338"/>
      <c r="HX444" s="338"/>
      <c r="HY444" s="338"/>
      <c r="IC444" s="338"/>
      <c r="ID444" s="338"/>
      <c r="IE444" s="338"/>
      <c r="II444" s="338"/>
      <c r="IJ444" s="338"/>
      <c r="IK444" s="338"/>
      <c r="IO444" s="338"/>
      <c r="IP444" s="338"/>
      <c r="IQ444" s="338"/>
      <c r="IX444" s="68"/>
      <c r="IY444" s="68"/>
      <c r="IZ444" s="68"/>
      <c r="JA444" s="68"/>
      <c r="JB444" s="68"/>
      <c r="JC444" s="68"/>
      <c r="JD444" s="10"/>
      <c r="JG444" s="338"/>
      <c r="JH444" s="338"/>
      <c r="JI444" s="338"/>
      <c r="JM444" s="338"/>
      <c r="JN444" s="338"/>
      <c r="JQ444" s="338"/>
      <c r="JR444" s="338"/>
      <c r="JS444" s="338"/>
      <c r="JW444" s="358"/>
      <c r="JX444" s="336"/>
      <c r="JY444" s="336"/>
      <c r="JZ444" s="336"/>
      <c r="KA444" s="336"/>
      <c r="KB444" s="336"/>
      <c r="KC444" s="336"/>
      <c r="KD444" s="336"/>
      <c r="KE444" s="336"/>
      <c r="KF444" s="336"/>
      <c r="KG444" s="337"/>
      <c r="KH444" s="338"/>
      <c r="KI444" s="338"/>
      <c r="KJ444" s="338"/>
      <c r="KK444" s="338"/>
      <c r="KL444" s="338"/>
      <c r="KM444" s="338"/>
      <c r="KN444" s="338"/>
      <c r="KO444" s="338"/>
      <c r="KP444" s="338"/>
      <c r="KQ444" s="338"/>
      <c r="KR444" s="338"/>
      <c r="KS444" s="338"/>
      <c r="KT444" s="338"/>
      <c r="KU444" s="338"/>
      <c r="KV444" s="338"/>
      <c r="KW444" s="337"/>
      <c r="KX444" s="336"/>
      <c r="KY444" s="336"/>
      <c r="KZ444" s="336"/>
      <c r="LA444" s="336"/>
      <c r="LB444" s="336"/>
      <c r="LC444" s="336"/>
      <c r="LD444" s="336"/>
      <c r="LE444" s="336"/>
      <c r="LF444" s="336"/>
      <c r="LG444" s="336"/>
      <c r="LH444" s="336"/>
      <c r="LI444" s="336"/>
      <c r="LJ444" s="336"/>
      <c r="LK444" s="336"/>
      <c r="LL444" s="336"/>
      <c r="LM444" s="336"/>
      <c r="LN444" s="336"/>
      <c r="LO444" s="336"/>
      <c r="LP444" s="336"/>
      <c r="LQ444" s="337"/>
      <c r="MN444" s="10"/>
      <c r="OA444" s="10"/>
    </row>
    <row r="445" spans="1:391" s="370" customFormat="1" x14ac:dyDescent="0.25">
      <c r="A445" s="68"/>
      <c r="B445" s="10"/>
      <c r="C445" s="68"/>
      <c r="D445" s="68"/>
      <c r="E445" s="68"/>
      <c r="F445" s="68"/>
      <c r="G445" s="68"/>
      <c r="H445" s="68"/>
      <c r="I445" s="68"/>
      <c r="J445" s="68"/>
      <c r="K445" s="68"/>
      <c r="L445" s="68"/>
      <c r="M445" s="68"/>
      <c r="N445" s="68"/>
      <c r="O445" s="68"/>
      <c r="P445" s="68"/>
      <c r="Q445" s="68"/>
      <c r="R445" s="68"/>
      <c r="S445" s="68"/>
      <c r="T445" s="70"/>
      <c r="AC445" s="68"/>
      <c r="AD445" s="70"/>
      <c r="AM445" s="68"/>
      <c r="AN445" s="70"/>
      <c r="AU445" s="68"/>
      <c r="AV445" s="70"/>
      <c r="BB445" s="68"/>
      <c r="BC445" s="70"/>
      <c r="BD445" s="68"/>
      <c r="BE445" s="68"/>
      <c r="BF445" s="68"/>
      <c r="BG445" s="68"/>
      <c r="BH445" s="68"/>
      <c r="BI445" s="68"/>
      <c r="BJ445" s="70"/>
      <c r="BM445" s="68"/>
      <c r="BN445" s="70"/>
      <c r="BT445" s="68"/>
      <c r="BU445" s="70"/>
      <c r="BZ445" s="10"/>
      <c r="CF445" s="10"/>
      <c r="CI445" s="389"/>
      <c r="CJ445" s="389"/>
      <c r="CK445" s="68"/>
      <c r="CL445" s="70"/>
      <c r="CO445" s="10"/>
      <c r="CU445" s="10"/>
      <c r="DA445" s="10"/>
      <c r="DB445" s="70"/>
      <c r="DC445" s="70"/>
      <c r="DF445" s="68"/>
      <c r="DG445" s="70"/>
      <c r="DH445" s="68"/>
      <c r="DI445" s="386"/>
      <c r="DJ445" s="425"/>
      <c r="DL445" s="68"/>
      <c r="DM445" s="70"/>
      <c r="DQ445" s="68"/>
      <c r="DR445" s="70"/>
      <c r="DS445" s="338"/>
      <c r="DT445" s="338"/>
      <c r="DU445" s="338"/>
      <c r="DW445" s="338"/>
      <c r="DX445" s="338"/>
      <c r="DY445" s="338"/>
      <c r="EA445" s="338"/>
      <c r="EB445" s="338"/>
      <c r="EC445" s="338"/>
      <c r="EE445" s="338"/>
      <c r="EF445" s="338"/>
      <c r="EG445" s="338"/>
      <c r="EI445" s="336"/>
      <c r="EJ445" s="336"/>
      <c r="EK445" s="336"/>
      <c r="EL445" s="336"/>
      <c r="EM445" s="336"/>
      <c r="EN445" s="336"/>
      <c r="EO445" s="337"/>
      <c r="EP445" s="342"/>
      <c r="EQ445" s="336"/>
      <c r="ER445" s="342"/>
      <c r="ES445" s="336"/>
      <c r="ET445" s="342"/>
      <c r="EU445" s="336"/>
      <c r="EV445" s="342"/>
      <c r="EW445" s="336"/>
      <c r="EX445" s="342"/>
      <c r="EY445" s="342"/>
      <c r="EZ445" s="342"/>
      <c r="FA445" s="337"/>
      <c r="FE445" s="338"/>
      <c r="FH445" s="338"/>
      <c r="FI445" s="338"/>
      <c r="FJ445" s="338"/>
      <c r="FK445" s="338"/>
      <c r="FL445" s="338"/>
      <c r="FM445" s="337"/>
      <c r="FN445" s="336"/>
      <c r="FO445" s="336"/>
      <c r="FP445" s="336"/>
      <c r="FQ445" s="336"/>
      <c r="FR445" s="336"/>
      <c r="FS445" s="336"/>
      <c r="FT445" s="336"/>
      <c r="FU445" s="336"/>
      <c r="FV445" s="336"/>
      <c r="FW445" s="337"/>
      <c r="FX445" s="532"/>
      <c r="FY445" s="341"/>
      <c r="FZ445" s="341"/>
      <c r="GA445" s="336"/>
      <c r="GB445" s="341"/>
      <c r="GC445" s="341"/>
      <c r="GD445" s="341"/>
      <c r="GE445" s="336"/>
      <c r="GF445" s="336"/>
      <c r="GG445" s="336"/>
      <c r="GH445" s="336"/>
      <c r="GI445" s="336"/>
      <c r="GJ445" s="337"/>
      <c r="GM445" s="338"/>
      <c r="GN445" s="338"/>
      <c r="GO445" s="338"/>
      <c r="GS445" s="338"/>
      <c r="GT445" s="338"/>
      <c r="GU445" s="338"/>
      <c r="GY445" s="338"/>
      <c r="GZ445" s="338"/>
      <c r="HA445" s="338"/>
      <c r="HE445" s="338"/>
      <c r="HF445" s="338"/>
      <c r="HG445" s="338"/>
      <c r="HN445" s="68"/>
      <c r="HO445" s="68"/>
      <c r="HP445" s="68"/>
      <c r="HQ445" s="336"/>
      <c r="HR445" s="68"/>
      <c r="HS445" s="68"/>
      <c r="HT445" s="10"/>
      <c r="HW445" s="338"/>
      <c r="HX445" s="338"/>
      <c r="HY445" s="338"/>
      <c r="IC445" s="338"/>
      <c r="ID445" s="338"/>
      <c r="IE445" s="338"/>
      <c r="II445" s="338"/>
      <c r="IJ445" s="338"/>
      <c r="IK445" s="338"/>
      <c r="IO445" s="338"/>
      <c r="IP445" s="338"/>
      <c r="IQ445" s="338"/>
      <c r="IX445" s="68"/>
      <c r="IY445" s="68"/>
      <c r="IZ445" s="68"/>
      <c r="JA445" s="68"/>
      <c r="JB445" s="68"/>
      <c r="JC445" s="68"/>
      <c r="JD445" s="10"/>
      <c r="JG445" s="338"/>
      <c r="JH445" s="338"/>
      <c r="JI445" s="338"/>
      <c r="JM445" s="338"/>
      <c r="JN445" s="338"/>
      <c r="JQ445" s="338"/>
      <c r="JR445" s="338"/>
      <c r="JS445" s="338"/>
      <c r="JW445" s="358"/>
      <c r="JX445" s="336"/>
      <c r="JY445" s="336"/>
      <c r="JZ445" s="336"/>
      <c r="KA445" s="336"/>
      <c r="KB445" s="336"/>
      <c r="KC445" s="336"/>
      <c r="KD445" s="336"/>
      <c r="KE445" s="336"/>
      <c r="KF445" s="336"/>
      <c r="KG445" s="337"/>
      <c r="KH445" s="338"/>
      <c r="KI445" s="338"/>
      <c r="KJ445" s="338"/>
      <c r="KK445" s="338"/>
      <c r="KL445" s="338"/>
      <c r="KM445" s="338"/>
      <c r="KN445" s="338"/>
      <c r="KO445" s="338"/>
      <c r="KP445" s="338"/>
      <c r="KQ445" s="338"/>
      <c r="KR445" s="338"/>
      <c r="KS445" s="338"/>
      <c r="KT445" s="338"/>
      <c r="KU445" s="338"/>
      <c r="KV445" s="338"/>
      <c r="KW445" s="337"/>
      <c r="KX445" s="336"/>
      <c r="KY445" s="336"/>
      <c r="KZ445" s="336"/>
      <c r="LA445" s="336"/>
      <c r="LB445" s="336"/>
      <c r="LC445" s="336"/>
      <c r="LD445" s="336"/>
      <c r="LE445" s="336"/>
      <c r="LF445" s="336"/>
      <c r="LG445" s="336"/>
      <c r="LH445" s="336"/>
      <c r="LI445" s="336"/>
      <c r="LJ445" s="336"/>
      <c r="LK445" s="336"/>
      <c r="LL445" s="336"/>
      <c r="LM445" s="336"/>
      <c r="LN445" s="336"/>
      <c r="LO445" s="336"/>
      <c r="LP445" s="336"/>
      <c r="LQ445" s="337"/>
      <c r="MN445" s="10"/>
      <c r="OA445" s="10"/>
    </row>
    <row r="446" spans="1:391" s="370" customFormat="1" x14ac:dyDescent="0.25">
      <c r="A446" s="68"/>
      <c r="B446" s="10"/>
      <c r="C446" s="68"/>
      <c r="D446" s="68"/>
      <c r="E446" s="68"/>
      <c r="F446" s="68"/>
      <c r="G446" s="68"/>
      <c r="H446" s="68"/>
      <c r="I446" s="68"/>
      <c r="J446" s="68"/>
      <c r="K446" s="68"/>
      <c r="L446" s="68"/>
      <c r="M446" s="68"/>
      <c r="N446" s="68"/>
      <c r="O446" s="68"/>
      <c r="P446" s="68"/>
      <c r="Q446" s="68"/>
      <c r="R446" s="68"/>
      <c r="S446" s="68"/>
      <c r="T446" s="70"/>
      <c r="AC446" s="68"/>
      <c r="AD446" s="70"/>
      <c r="AM446" s="68"/>
      <c r="AN446" s="70"/>
      <c r="AU446" s="68"/>
      <c r="AV446" s="70"/>
      <c r="BB446" s="68"/>
      <c r="BC446" s="70"/>
      <c r="BD446" s="68"/>
      <c r="BE446" s="68"/>
      <c r="BF446" s="68"/>
      <c r="BG446" s="68"/>
      <c r="BH446" s="68"/>
      <c r="BI446" s="68"/>
      <c r="BJ446" s="70"/>
      <c r="BM446" s="68"/>
      <c r="BN446" s="70"/>
      <c r="BT446" s="68"/>
      <c r="BU446" s="70"/>
      <c r="BZ446" s="10"/>
      <c r="CF446" s="10"/>
      <c r="CI446" s="389"/>
      <c r="CJ446" s="389"/>
      <c r="CK446" s="68"/>
      <c r="CL446" s="70"/>
      <c r="CO446" s="10"/>
      <c r="CU446" s="10"/>
      <c r="DA446" s="10"/>
      <c r="DB446" s="70"/>
      <c r="DC446" s="70"/>
      <c r="DF446" s="68"/>
      <c r="DG446" s="70"/>
      <c r="DH446" s="68"/>
      <c r="DI446" s="386"/>
      <c r="DJ446" s="425"/>
      <c r="DL446" s="68"/>
      <c r="DM446" s="70"/>
      <c r="DQ446" s="68"/>
      <c r="DR446" s="70"/>
      <c r="DS446" s="338"/>
      <c r="DT446" s="338"/>
      <c r="DU446" s="338"/>
      <c r="DW446" s="338"/>
      <c r="DX446" s="338"/>
      <c r="DY446" s="338"/>
      <c r="EA446" s="338"/>
      <c r="EB446" s="338"/>
      <c r="EC446" s="338"/>
      <c r="EE446" s="338"/>
      <c r="EF446" s="338"/>
      <c r="EG446" s="338"/>
      <c r="EI446" s="336"/>
      <c r="EJ446" s="336"/>
      <c r="EK446" s="336"/>
      <c r="EL446" s="336"/>
      <c r="EM446" s="336"/>
      <c r="EN446" s="336"/>
      <c r="EO446" s="337"/>
      <c r="EP446" s="342"/>
      <c r="EQ446" s="336"/>
      <c r="ER446" s="342"/>
      <c r="ES446" s="336"/>
      <c r="ET446" s="342"/>
      <c r="EU446" s="336"/>
      <c r="EV446" s="342"/>
      <c r="EW446" s="336"/>
      <c r="EX446" s="342"/>
      <c r="EY446" s="342"/>
      <c r="EZ446" s="342"/>
      <c r="FA446" s="337"/>
      <c r="FE446" s="338"/>
      <c r="FH446" s="338"/>
      <c r="FI446" s="338"/>
      <c r="FJ446" s="338"/>
      <c r="FK446" s="338"/>
      <c r="FL446" s="338"/>
      <c r="FM446" s="337"/>
      <c r="FN446" s="336"/>
      <c r="FO446" s="336"/>
      <c r="FP446" s="336"/>
      <c r="FQ446" s="336"/>
      <c r="FR446" s="336"/>
      <c r="FS446" s="336"/>
      <c r="FT446" s="336"/>
      <c r="FU446" s="336"/>
      <c r="FV446" s="336"/>
      <c r="FW446" s="337"/>
      <c r="FX446" s="532"/>
      <c r="FY446" s="341"/>
      <c r="FZ446" s="341"/>
      <c r="GA446" s="336"/>
      <c r="GB446" s="341"/>
      <c r="GC446" s="341"/>
      <c r="GD446" s="341"/>
      <c r="GE446" s="336"/>
      <c r="GF446" s="336"/>
      <c r="GG446" s="336"/>
      <c r="GH446" s="336"/>
      <c r="GI446" s="336"/>
      <c r="GJ446" s="337"/>
      <c r="GM446" s="338"/>
      <c r="GN446" s="338"/>
      <c r="GO446" s="338"/>
      <c r="GS446" s="338"/>
      <c r="GT446" s="338"/>
      <c r="GU446" s="338"/>
      <c r="GY446" s="338"/>
      <c r="GZ446" s="338"/>
      <c r="HA446" s="338"/>
      <c r="HE446" s="338"/>
      <c r="HF446" s="338"/>
      <c r="HG446" s="338"/>
      <c r="HN446" s="68"/>
      <c r="HO446" s="68"/>
      <c r="HP446" s="68"/>
      <c r="HQ446" s="336"/>
      <c r="HR446" s="68"/>
      <c r="HS446" s="68"/>
      <c r="HT446" s="10"/>
      <c r="HW446" s="338"/>
      <c r="HX446" s="338"/>
      <c r="HY446" s="338"/>
      <c r="IC446" s="338"/>
      <c r="ID446" s="338"/>
      <c r="IE446" s="338"/>
      <c r="II446" s="338"/>
      <c r="IJ446" s="338"/>
      <c r="IK446" s="338"/>
      <c r="IO446" s="338"/>
      <c r="IP446" s="338"/>
      <c r="IQ446" s="338"/>
      <c r="IX446" s="68"/>
      <c r="IY446" s="68"/>
      <c r="IZ446" s="68"/>
      <c r="JA446" s="68"/>
      <c r="JB446" s="68"/>
      <c r="JC446" s="68"/>
      <c r="JD446" s="10"/>
      <c r="JG446" s="338"/>
      <c r="JH446" s="338"/>
      <c r="JI446" s="338"/>
      <c r="JM446" s="338"/>
      <c r="JN446" s="338"/>
      <c r="JQ446" s="338"/>
      <c r="JR446" s="338"/>
      <c r="JS446" s="338"/>
      <c r="JW446" s="358"/>
      <c r="JX446" s="336"/>
      <c r="JY446" s="336"/>
      <c r="JZ446" s="336"/>
      <c r="KA446" s="336"/>
      <c r="KB446" s="336"/>
      <c r="KC446" s="336"/>
      <c r="KD446" s="336"/>
      <c r="KE446" s="336"/>
      <c r="KF446" s="336"/>
      <c r="KG446" s="337"/>
      <c r="KH446" s="338"/>
      <c r="KI446" s="338"/>
      <c r="KJ446" s="338"/>
      <c r="KK446" s="338"/>
      <c r="KL446" s="338"/>
      <c r="KM446" s="338"/>
      <c r="KN446" s="338"/>
      <c r="KO446" s="338"/>
      <c r="KP446" s="338"/>
      <c r="KQ446" s="338"/>
      <c r="KR446" s="338"/>
      <c r="KS446" s="338"/>
      <c r="KT446" s="338"/>
      <c r="KU446" s="338"/>
      <c r="KV446" s="338"/>
      <c r="KW446" s="337"/>
      <c r="KX446" s="336"/>
      <c r="KY446" s="336"/>
      <c r="KZ446" s="336"/>
      <c r="LA446" s="336"/>
      <c r="LB446" s="336"/>
      <c r="LC446" s="336"/>
      <c r="LD446" s="336"/>
      <c r="LE446" s="336"/>
      <c r="LF446" s="336"/>
      <c r="LG446" s="336"/>
      <c r="LH446" s="336"/>
      <c r="LI446" s="336"/>
      <c r="LJ446" s="336"/>
      <c r="LK446" s="336"/>
      <c r="LL446" s="336"/>
      <c r="LM446" s="336"/>
      <c r="LN446" s="336"/>
      <c r="LO446" s="336"/>
      <c r="LP446" s="336"/>
      <c r="LQ446" s="337"/>
      <c r="MN446" s="10"/>
      <c r="OA446" s="10"/>
    </row>
    <row r="447" spans="1:391" s="370" customFormat="1" x14ac:dyDescent="0.25">
      <c r="A447" s="68"/>
      <c r="B447" s="10"/>
      <c r="C447" s="68"/>
      <c r="D447" s="68"/>
      <c r="E447" s="68"/>
      <c r="F447" s="68"/>
      <c r="G447" s="68"/>
      <c r="H447" s="68"/>
      <c r="I447" s="68"/>
      <c r="J447" s="68"/>
      <c r="K447" s="68"/>
      <c r="L447" s="68"/>
      <c r="M447" s="68"/>
      <c r="N447" s="68"/>
      <c r="O447" s="68"/>
      <c r="P447" s="68"/>
      <c r="Q447" s="68"/>
      <c r="R447" s="68"/>
      <c r="S447" s="68"/>
      <c r="T447" s="70"/>
      <c r="AC447" s="68"/>
      <c r="AD447" s="70"/>
      <c r="AM447" s="68"/>
      <c r="AN447" s="70"/>
      <c r="AU447" s="68"/>
      <c r="AV447" s="70"/>
      <c r="BB447" s="68"/>
      <c r="BC447" s="70"/>
      <c r="BD447" s="68"/>
      <c r="BE447" s="68"/>
      <c r="BF447" s="68"/>
      <c r="BG447" s="68"/>
      <c r="BH447" s="68"/>
      <c r="BI447" s="68"/>
      <c r="BJ447" s="70"/>
      <c r="BM447" s="68"/>
      <c r="BN447" s="70"/>
      <c r="BT447" s="68"/>
      <c r="BU447" s="70"/>
      <c r="BZ447" s="10"/>
      <c r="CF447" s="10"/>
      <c r="CI447" s="389"/>
      <c r="CJ447" s="389"/>
      <c r="CK447" s="68"/>
      <c r="CL447" s="70"/>
      <c r="CO447" s="10"/>
      <c r="CU447" s="10"/>
      <c r="DA447" s="10"/>
      <c r="DB447" s="70"/>
      <c r="DC447" s="70"/>
      <c r="DF447" s="68"/>
      <c r="DG447" s="70"/>
      <c r="DH447" s="68"/>
      <c r="DI447" s="386"/>
      <c r="DJ447" s="425"/>
      <c r="DL447" s="68"/>
      <c r="DM447" s="70"/>
      <c r="DQ447" s="68"/>
      <c r="DR447" s="70"/>
      <c r="DS447" s="338"/>
      <c r="DT447" s="338"/>
      <c r="DU447" s="338"/>
      <c r="DW447" s="338"/>
      <c r="DX447" s="338"/>
      <c r="DY447" s="338"/>
      <c r="EA447" s="338"/>
      <c r="EB447" s="338"/>
      <c r="EC447" s="338"/>
      <c r="EE447" s="338"/>
      <c r="EF447" s="338"/>
      <c r="EG447" s="338"/>
      <c r="EI447" s="336"/>
      <c r="EJ447" s="336"/>
      <c r="EK447" s="336"/>
      <c r="EL447" s="336"/>
      <c r="EM447" s="336"/>
      <c r="EN447" s="336"/>
      <c r="EO447" s="337"/>
      <c r="EP447" s="342"/>
      <c r="EQ447" s="336"/>
      <c r="ER447" s="342"/>
      <c r="ES447" s="336"/>
      <c r="ET447" s="342"/>
      <c r="EU447" s="336"/>
      <c r="EV447" s="342"/>
      <c r="EW447" s="336"/>
      <c r="EX447" s="342"/>
      <c r="EY447" s="342"/>
      <c r="EZ447" s="342"/>
      <c r="FA447" s="337"/>
      <c r="FE447" s="338"/>
      <c r="FH447" s="338"/>
      <c r="FI447" s="338"/>
      <c r="FJ447" s="338"/>
      <c r="FK447" s="338"/>
      <c r="FL447" s="338"/>
      <c r="FM447" s="337"/>
      <c r="FN447" s="336"/>
      <c r="FO447" s="336"/>
      <c r="FP447" s="336"/>
      <c r="FQ447" s="336"/>
      <c r="FR447" s="336"/>
      <c r="FS447" s="336"/>
      <c r="FT447" s="336"/>
      <c r="FU447" s="336"/>
      <c r="FV447" s="336"/>
      <c r="FW447" s="337"/>
      <c r="FX447" s="532"/>
      <c r="FY447" s="341"/>
      <c r="FZ447" s="341"/>
      <c r="GA447" s="336"/>
      <c r="GB447" s="341"/>
      <c r="GC447" s="341"/>
      <c r="GD447" s="341"/>
      <c r="GE447" s="336"/>
      <c r="GF447" s="336"/>
      <c r="GG447" s="336"/>
      <c r="GH447" s="336"/>
      <c r="GI447" s="336"/>
      <c r="GJ447" s="337"/>
      <c r="GM447" s="338"/>
      <c r="GN447" s="338"/>
      <c r="GO447" s="338"/>
      <c r="GS447" s="338"/>
      <c r="GT447" s="338"/>
      <c r="GU447" s="338"/>
      <c r="GY447" s="338"/>
      <c r="GZ447" s="338"/>
      <c r="HA447" s="338"/>
      <c r="HE447" s="338"/>
      <c r="HF447" s="338"/>
      <c r="HG447" s="338"/>
      <c r="HN447" s="68"/>
      <c r="HO447" s="68"/>
      <c r="HP447" s="68"/>
      <c r="HQ447" s="336"/>
      <c r="HR447" s="68"/>
      <c r="HS447" s="68"/>
      <c r="HT447" s="10"/>
      <c r="HW447" s="338"/>
      <c r="HX447" s="338"/>
      <c r="HY447" s="338"/>
      <c r="IC447" s="338"/>
      <c r="ID447" s="338"/>
      <c r="IE447" s="338"/>
      <c r="II447" s="338"/>
      <c r="IJ447" s="338"/>
      <c r="IK447" s="338"/>
      <c r="IO447" s="338"/>
      <c r="IP447" s="338"/>
      <c r="IQ447" s="338"/>
      <c r="IX447" s="68"/>
      <c r="IY447" s="68"/>
      <c r="IZ447" s="68"/>
      <c r="JA447" s="68"/>
      <c r="JB447" s="68"/>
      <c r="JC447" s="68"/>
      <c r="JD447" s="10"/>
      <c r="JG447" s="338"/>
      <c r="JH447" s="338"/>
      <c r="JI447" s="338"/>
      <c r="JM447" s="338"/>
      <c r="JN447" s="338"/>
      <c r="JQ447" s="338"/>
      <c r="JR447" s="338"/>
      <c r="JS447" s="338"/>
      <c r="JW447" s="358"/>
      <c r="JX447" s="336"/>
      <c r="JY447" s="336"/>
      <c r="JZ447" s="336"/>
      <c r="KA447" s="336"/>
      <c r="KB447" s="336"/>
      <c r="KC447" s="336"/>
      <c r="KD447" s="336"/>
      <c r="KE447" s="336"/>
      <c r="KF447" s="336"/>
      <c r="KG447" s="337"/>
      <c r="KH447" s="338"/>
      <c r="KI447" s="338"/>
      <c r="KJ447" s="338"/>
      <c r="KK447" s="338"/>
      <c r="KL447" s="338"/>
      <c r="KM447" s="338"/>
      <c r="KN447" s="338"/>
      <c r="KO447" s="338"/>
      <c r="KP447" s="338"/>
      <c r="KQ447" s="338"/>
      <c r="KR447" s="338"/>
      <c r="KS447" s="338"/>
      <c r="KT447" s="338"/>
      <c r="KU447" s="338"/>
      <c r="KV447" s="338"/>
      <c r="KW447" s="337"/>
      <c r="KX447" s="336"/>
      <c r="KY447" s="336"/>
      <c r="KZ447" s="336"/>
      <c r="LA447" s="336"/>
      <c r="LB447" s="336"/>
      <c r="LC447" s="336"/>
      <c r="LD447" s="336"/>
      <c r="LE447" s="336"/>
      <c r="LF447" s="336"/>
      <c r="LG447" s="336"/>
      <c r="LH447" s="336"/>
      <c r="LI447" s="336"/>
      <c r="LJ447" s="336"/>
      <c r="LK447" s="336"/>
      <c r="LL447" s="336"/>
      <c r="LM447" s="336"/>
      <c r="LN447" s="336"/>
      <c r="LO447" s="336"/>
      <c r="LP447" s="336"/>
      <c r="LQ447" s="337"/>
      <c r="MN447" s="10"/>
      <c r="OA447" s="10"/>
    </row>
    <row r="448" spans="1:391" s="370" customFormat="1" x14ac:dyDescent="0.25">
      <c r="A448" s="68"/>
      <c r="B448" s="10"/>
      <c r="C448" s="68"/>
      <c r="D448" s="68"/>
      <c r="E448" s="68"/>
      <c r="F448" s="68"/>
      <c r="G448" s="68"/>
      <c r="H448" s="68"/>
      <c r="I448" s="68"/>
      <c r="J448" s="68"/>
      <c r="K448" s="68"/>
      <c r="L448" s="68"/>
      <c r="M448" s="68"/>
      <c r="N448" s="68"/>
      <c r="O448" s="68"/>
      <c r="P448" s="68"/>
      <c r="Q448" s="68"/>
      <c r="R448" s="68"/>
      <c r="S448" s="68"/>
      <c r="T448" s="70"/>
      <c r="AC448" s="68"/>
      <c r="AD448" s="70"/>
      <c r="AM448" s="68"/>
      <c r="AN448" s="70"/>
      <c r="AU448" s="68"/>
      <c r="AV448" s="70"/>
      <c r="BB448" s="68"/>
      <c r="BC448" s="70"/>
      <c r="BD448" s="68"/>
      <c r="BE448" s="68"/>
      <c r="BF448" s="68"/>
      <c r="BG448" s="68"/>
      <c r="BH448" s="68"/>
      <c r="BI448" s="68"/>
      <c r="BJ448" s="70"/>
      <c r="BM448" s="68"/>
      <c r="BN448" s="70"/>
      <c r="BT448" s="68"/>
      <c r="BU448" s="70"/>
      <c r="BZ448" s="10"/>
      <c r="CF448" s="10"/>
      <c r="CI448" s="389"/>
      <c r="CJ448" s="389"/>
      <c r="CK448" s="68"/>
      <c r="CL448" s="70"/>
      <c r="CO448" s="10"/>
      <c r="CU448" s="10"/>
      <c r="DA448" s="10"/>
      <c r="DB448" s="70"/>
      <c r="DC448" s="70"/>
      <c r="DF448" s="68"/>
      <c r="DG448" s="70"/>
      <c r="DH448" s="68"/>
      <c r="DI448" s="386"/>
      <c r="DJ448" s="425"/>
      <c r="DL448" s="68"/>
      <c r="DM448" s="70"/>
      <c r="DQ448" s="68"/>
      <c r="DR448" s="70"/>
      <c r="DS448" s="338"/>
      <c r="DT448" s="338"/>
      <c r="DU448" s="338"/>
      <c r="DW448" s="338"/>
      <c r="DX448" s="338"/>
      <c r="DY448" s="338"/>
      <c r="EA448" s="338"/>
      <c r="EB448" s="338"/>
      <c r="EC448" s="338"/>
      <c r="EE448" s="338"/>
      <c r="EF448" s="338"/>
      <c r="EG448" s="338"/>
      <c r="EI448" s="336"/>
      <c r="EJ448" s="336"/>
      <c r="EK448" s="336"/>
      <c r="EL448" s="336"/>
      <c r="EM448" s="336"/>
      <c r="EN448" s="336"/>
      <c r="EO448" s="337"/>
      <c r="EP448" s="342"/>
      <c r="EQ448" s="336"/>
      <c r="ER448" s="342"/>
      <c r="ES448" s="336"/>
      <c r="ET448" s="342"/>
      <c r="EU448" s="336"/>
      <c r="EV448" s="342"/>
      <c r="EW448" s="336"/>
      <c r="EX448" s="342"/>
      <c r="EY448" s="342"/>
      <c r="EZ448" s="342"/>
      <c r="FA448" s="337"/>
      <c r="FE448" s="338"/>
      <c r="FH448" s="338"/>
      <c r="FI448" s="338"/>
      <c r="FJ448" s="338"/>
      <c r="FK448" s="338"/>
      <c r="FL448" s="338"/>
      <c r="FM448" s="337"/>
      <c r="FN448" s="336"/>
      <c r="FO448" s="336"/>
      <c r="FP448" s="336"/>
      <c r="FQ448" s="336"/>
      <c r="FR448" s="336"/>
      <c r="FS448" s="336"/>
      <c r="FT448" s="336"/>
      <c r="FU448" s="336"/>
      <c r="FV448" s="336"/>
      <c r="FW448" s="337"/>
      <c r="FX448" s="532"/>
      <c r="FY448" s="341"/>
      <c r="FZ448" s="341"/>
      <c r="GA448" s="336"/>
      <c r="GB448" s="341"/>
      <c r="GC448" s="341"/>
      <c r="GD448" s="341"/>
      <c r="GE448" s="336"/>
      <c r="GF448" s="336"/>
      <c r="GG448" s="336"/>
      <c r="GH448" s="336"/>
      <c r="GI448" s="336"/>
      <c r="GJ448" s="337"/>
      <c r="GM448" s="338"/>
      <c r="GN448" s="338"/>
      <c r="GO448" s="338"/>
      <c r="GS448" s="338"/>
      <c r="GT448" s="338"/>
      <c r="GU448" s="338"/>
      <c r="GY448" s="338"/>
      <c r="GZ448" s="338"/>
      <c r="HA448" s="338"/>
      <c r="HE448" s="338"/>
      <c r="HF448" s="338"/>
      <c r="HG448" s="338"/>
      <c r="HN448" s="68"/>
      <c r="HO448" s="68"/>
      <c r="HP448" s="68"/>
      <c r="HQ448" s="336"/>
      <c r="HR448" s="68"/>
      <c r="HS448" s="68"/>
      <c r="HT448" s="10"/>
      <c r="HW448" s="338"/>
      <c r="HX448" s="338"/>
      <c r="HY448" s="338"/>
      <c r="IC448" s="338"/>
      <c r="ID448" s="338"/>
      <c r="IE448" s="338"/>
      <c r="II448" s="338"/>
      <c r="IJ448" s="338"/>
      <c r="IK448" s="338"/>
      <c r="IO448" s="338"/>
      <c r="IP448" s="338"/>
      <c r="IQ448" s="338"/>
      <c r="IX448" s="68"/>
      <c r="IY448" s="68"/>
      <c r="IZ448" s="68"/>
      <c r="JA448" s="68"/>
      <c r="JB448" s="68"/>
      <c r="JC448" s="68"/>
      <c r="JD448" s="10"/>
      <c r="JG448" s="338"/>
      <c r="JH448" s="338"/>
      <c r="JI448" s="338"/>
      <c r="JM448" s="338"/>
      <c r="JN448" s="338"/>
      <c r="JQ448" s="338"/>
      <c r="JR448" s="338"/>
      <c r="JS448" s="338"/>
      <c r="JW448" s="358"/>
      <c r="JX448" s="336"/>
      <c r="JY448" s="336"/>
      <c r="JZ448" s="336"/>
      <c r="KA448" s="336"/>
      <c r="KB448" s="336"/>
      <c r="KC448" s="336"/>
      <c r="KD448" s="336"/>
      <c r="KE448" s="336"/>
      <c r="KF448" s="336"/>
      <c r="KG448" s="337"/>
      <c r="KH448" s="338"/>
      <c r="KI448" s="338"/>
      <c r="KJ448" s="338"/>
      <c r="KK448" s="338"/>
      <c r="KL448" s="338"/>
      <c r="KM448" s="338"/>
      <c r="KN448" s="338"/>
      <c r="KO448" s="338"/>
      <c r="KP448" s="338"/>
      <c r="KQ448" s="338"/>
      <c r="KR448" s="338"/>
      <c r="KS448" s="338"/>
      <c r="KT448" s="338"/>
      <c r="KU448" s="338"/>
      <c r="KV448" s="338"/>
      <c r="KW448" s="337"/>
      <c r="KX448" s="336"/>
      <c r="KY448" s="336"/>
      <c r="KZ448" s="336"/>
      <c r="LA448" s="336"/>
      <c r="LB448" s="336"/>
      <c r="LC448" s="336"/>
      <c r="LD448" s="336"/>
      <c r="LE448" s="336"/>
      <c r="LF448" s="336"/>
      <c r="LG448" s="336"/>
      <c r="LH448" s="336"/>
      <c r="LI448" s="336"/>
      <c r="LJ448" s="336"/>
      <c r="LK448" s="336"/>
      <c r="LL448" s="336"/>
      <c r="LM448" s="336"/>
      <c r="LN448" s="336"/>
      <c r="LO448" s="336"/>
      <c r="LP448" s="336"/>
      <c r="LQ448" s="337"/>
      <c r="MN448" s="10"/>
      <c r="OA448" s="10"/>
    </row>
    <row r="449" spans="1:391" s="370" customFormat="1" x14ac:dyDescent="0.25">
      <c r="A449" s="68"/>
      <c r="B449" s="10"/>
      <c r="C449" s="68"/>
      <c r="D449" s="68"/>
      <c r="E449" s="68"/>
      <c r="F449" s="68"/>
      <c r="G449" s="68"/>
      <c r="H449" s="68"/>
      <c r="I449" s="68"/>
      <c r="J449" s="68"/>
      <c r="K449" s="68"/>
      <c r="L449" s="68"/>
      <c r="M449" s="68"/>
      <c r="N449" s="68"/>
      <c r="O449" s="68"/>
      <c r="P449" s="68"/>
      <c r="Q449" s="68"/>
      <c r="R449" s="68"/>
      <c r="S449" s="68"/>
      <c r="T449" s="70"/>
      <c r="AC449" s="68"/>
      <c r="AD449" s="70"/>
      <c r="AM449" s="68"/>
      <c r="AN449" s="70"/>
      <c r="AU449" s="68"/>
      <c r="AV449" s="70"/>
      <c r="BB449" s="68"/>
      <c r="BC449" s="70"/>
      <c r="BD449" s="68"/>
      <c r="BE449" s="68"/>
      <c r="BF449" s="68"/>
      <c r="BG449" s="68"/>
      <c r="BH449" s="68"/>
      <c r="BI449" s="68"/>
      <c r="BJ449" s="70"/>
      <c r="BM449" s="68"/>
      <c r="BN449" s="70"/>
      <c r="BT449" s="68"/>
      <c r="BU449" s="70"/>
      <c r="BZ449" s="10"/>
      <c r="CF449" s="10"/>
      <c r="CI449" s="389"/>
      <c r="CJ449" s="389"/>
      <c r="CK449" s="68"/>
      <c r="CL449" s="70"/>
      <c r="CO449" s="10"/>
      <c r="CU449" s="10"/>
      <c r="DA449" s="10"/>
      <c r="DB449" s="70"/>
      <c r="DC449" s="70"/>
      <c r="DF449" s="68"/>
      <c r="DG449" s="70"/>
      <c r="DH449" s="68"/>
      <c r="DI449" s="386"/>
      <c r="DJ449" s="425"/>
      <c r="DL449" s="68"/>
      <c r="DM449" s="70"/>
      <c r="DQ449" s="68"/>
      <c r="DR449" s="70"/>
      <c r="DS449" s="338"/>
      <c r="DT449" s="338"/>
      <c r="DU449" s="338"/>
      <c r="DW449" s="338"/>
      <c r="DX449" s="338"/>
      <c r="DY449" s="338"/>
      <c r="EA449" s="338"/>
      <c r="EB449" s="338"/>
      <c r="EC449" s="338"/>
      <c r="EE449" s="338"/>
      <c r="EF449" s="338"/>
      <c r="EG449" s="338"/>
      <c r="EI449" s="336"/>
      <c r="EJ449" s="336"/>
      <c r="EK449" s="336"/>
      <c r="EL449" s="336"/>
      <c r="EM449" s="336"/>
      <c r="EN449" s="336"/>
      <c r="EO449" s="337"/>
      <c r="EP449" s="342"/>
      <c r="EQ449" s="336"/>
      <c r="ER449" s="342"/>
      <c r="ES449" s="336"/>
      <c r="ET449" s="342"/>
      <c r="EU449" s="336"/>
      <c r="EV449" s="342"/>
      <c r="EW449" s="336"/>
      <c r="EX449" s="342"/>
      <c r="EY449" s="342"/>
      <c r="EZ449" s="342"/>
      <c r="FA449" s="337"/>
      <c r="FE449" s="338"/>
      <c r="FH449" s="338"/>
      <c r="FI449" s="338"/>
      <c r="FJ449" s="338"/>
      <c r="FK449" s="338"/>
      <c r="FL449" s="338"/>
      <c r="FM449" s="337"/>
      <c r="FN449" s="336"/>
      <c r="FO449" s="336"/>
      <c r="FP449" s="336"/>
      <c r="FQ449" s="336"/>
      <c r="FR449" s="336"/>
      <c r="FS449" s="336"/>
      <c r="FT449" s="336"/>
      <c r="FU449" s="336"/>
      <c r="FV449" s="336"/>
      <c r="FW449" s="337"/>
      <c r="FX449" s="532"/>
      <c r="FY449" s="341"/>
      <c r="FZ449" s="341"/>
      <c r="GA449" s="336"/>
      <c r="GB449" s="341"/>
      <c r="GC449" s="341"/>
      <c r="GD449" s="341"/>
      <c r="GE449" s="336"/>
      <c r="GF449" s="336"/>
      <c r="GG449" s="336"/>
      <c r="GH449" s="336"/>
      <c r="GI449" s="336"/>
      <c r="GJ449" s="337"/>
      <c r="GM449" s="338"/>
      <c r="GN449" s="338"/>
      <c r="GO449" s="338"/>
      <c r="GS449" s="338"/>
      <c r="GT449" s="338"/>
      <c r="GU449" s="338"/>
      <c r="GY449" s="338"/>
      <c r="GZ449" s="338"/>
      <c r="HA449" s="338"/>
      <c r="HE449" s="338"/>
      <c r="HF449" s="338"/>
      <c r="HG449" s="338"/>
      <c r="HN449" s="68"/>
      <c r="HO449" s="68"/>
      <c r="HP449" s="68"/>
      <c r="HQ449" s="336"/>
      <c r="HR449" s="68"/>
      <c r="HS449" s="68"/>
      <c r="HT449" s="10"/>
      <c r="HW449" s="338"/>
      <c r="HX449" s="338"/>
      <c r="HY449" s="338"/>
      <c r="IC449" s="338"/>
      <c r="ID449" s="338"/>
      <c r="IE449" s="338"/>
      <c r="II449" s="338"/>
      <c r="IJ449" s="338"/>
      <c r="IK449" s="338"/>
      <c r="IO449" s="338"/>
      <c r="IP449" s="338"/>
      <c r="IQ449" s="338"/>
      <c r="IX449" s="68"/>
      <c r="IY449" s="68"/>
      <c r="IZ449" s="68"/>
      <c r="JA449" s="68"/>
      <c r="JB449" s="68"/>
      <c r="JC449" s="68"/>
      <c r="JD449" s="10"/>
      <c r="JG449" s="338"/>
      <c r="JH449" s="338"/>
      <c r="JI449" s="338"/>
      <c r="JM449" s="338"/>
      <c r="JN449" s="338"/>
      <c r="JQ449" s="338"/>
      <c r="JR449" s="338"/>
      <c r="JS449" s="338"/>
      <c r="JW449" s="358"/>
      <c r="JX449" s="336"/>
      <c r="JY449" s="336"/>
      <c r="JZ449" s="336"/>
      <c r="KA449" s="336"/>
      <c r="KB449" s="336"/>
      <c r="KC449" s="336"/>
      <c r="KD449" s="336"/>
      <c r="KE449" s="336"/>
      <c r="KF449" s="336"/>
      <c r="KG449" s="337"/>
      <c r="KH449" s="338"/>
      <c r="KI449" s="338"/>
      <c r="KJ449" s="338"/>
      <c r="KK449" s="338"/>
      <c r="KL449" s="338"/>
      <c r="KM449" s="338"/>
      <c r="KN449" s="338"/>
      <c r="KO449" s="338"/>
      <c r="KP449" s="338"/>
      <c r="KQ449" s="338"/>
      <c r="KR449" s="338"/>
      <c r="KS449" s="338"/>
      <c r="KT449" s="338"/>
      <c r="KU449" s="338"/>
      <c r="KV449" s="338"/>
      <c r="KW449" s="337"/>
      <c r="KX449" s="336"/>
      <c r="KY449" s="336"/>
      <c r="KZ449" s="336"/>
      <c r="LA449" s="336"/>
      <c r="LB449" s="336"/>
      <c r="LC449" s="336"/>
      <c r="LD449" s="336"/>
      <c r="LE449" s="336"/>
      <c r="LF449" s="336"/>
      <c r="LG449" s="336"/>
      <c r="LH449" s="336"/>
      <c r="LI449" s="336"/>
      <c r="LJ449" s="336"/>
      <c r="LK449" s="336"/>
      <c r="LL449" s="336"/>
      <c r="LM449" s="336"/>
      <c r="LN449" s="336"/>
      <c r="LO449" s="336"/>
      <c r="LP449" s="336"/>
      <c r="LQ449" s="337"/>
      <c r="MN449" s="10"/>
      <c r="OA449" s="10"/>
    </row>
    <row r="450" spans="1:391" s="370" customFormat="1" x14ac:dyDescent="0.25">
      <c r="A450" s="68"/>
      <c r="B450" s="10"/>
      <c r="C450" s="68"/>
      <c r="D450" s="68"/>
      <c r="E450" s="68"/>
      <c r="F450" s="68"/>
      <c r="G450" s="68"/>
      <c r="H450" s="68"/>
      <c r="I450" s="68"/>
      <c r="J450" s="68"/>
      <c r="K450" s="68"/>
      <c r="L450" s="68"/>
      <c r="M450" s="68"/>
      <c r="N450" s="68"/>
      <c r="O450" s="68"/>
      <c r="P450" s="68"/>
      <c r="Q450" s="68"/>
      <c r="R450" s="68"/>
      <c r="S450" s="68"/>
      <c r="T450" s="70"/>
      <c r="AC450" s="68"/>
      <c r="AD450" s="70"/>
      <c r="AM450" s="68"/>
      <c r="AN450" s="70"/>
      <c r="AU450" s="68"/>
      <c r="AV450" s="70"/>
      <c r="BB450" s="68"/>
      <c r="BC450" s="70"/>
      <c r="BD450" s="68"/>
      <c r="BE450" s="68"/>
      <c r="BF450" s="68"/>
      <c r="BG450" s="68"/>
      <c r="BH450" s="68"/>
      <c r="BI450" s="68"/>
      <c r="BJ450" s="70"/>
      <c r="BM450" s="68"/>
      <c r="BN450" s="70"/>
      <c r="BT450" s="68"/>
      <c r="BU450" s="70"/>
      <c r="BZ450" s="10"/>
      <c r="CF450" s="10"/>
      <c r="CI450" s="389"/>
      <c r="CJ450" s="389"/>
      <c r="CK450" s="68"/>
      <c r="CL450" s="70"/>
      <c r="CO450" s="10"/>
      <c r="CU450" s="10"/>
      <c r="DA450" s="10"/>
      <c r="DB450" s="70"/>
      <c r="DC450" s="70"/>
      <c r="DF450" s="68"/>
      <c r="DG450" s="70"/>
      <c r="DH450" s="68"/>
      <c r="DI450" s="386"/>
      <c r="DJ450" s="425"/>
      <c r="DL450" s="68"/>
      <c r="DM450" s="70"/>
      <c r="DQ450" s="68"/>
      <c r="DR450" s="70"/>
      <c r="DS450" s="338"/>
      <c r="DT450" s="338"/>
      <c r="DU450" s="338"/>
      <c r="DW450" s="338"/>
      <c r="DX450" s="338"/>
      <c r="DY450" s="338"/>
      <c r="EA450" s="338"/>
      <c r="EB450" s="338"/>
      <c r="EC450" s="338"/>
      <c r="EE450" s="338"/>
      <c r="EF450" s="338"/>
      <c r="EG450" s="338"/>
      <c r="EI450" s="336"/>
      <c r="EJ450" s="336"/>
      <c r="EK450" s="336"/>
      <c r="EL450" s="336"/>
      <c r="EM450" s="336"/>
      <c r="EN450" s="336"/>
      <c r="EO450" s="337"/>
      <c r="EP450" s="342"/>
      <c r="EQ450" s="336"/>
      <c r="ER450" s="342"/>
      <c r="ES450" s="336"/>
      <c r="ET450" s="342"/>
      <c r="EU450" s="336"/>
      <c r="EV450" s="342"/>
      <c r="EW450" s="336"/>
      <c r="EX450" s="342"/>
      <c r="EY450" s="342"/>
      <c r="EZ450" s="342"/>
      <c r="FA450" s="337"/>
      <c r="FE450" s="338"/>
      <c r="FH450" s="338"/>
      <c r="FI450" s="338"/>
      <c r="FJ450" s="338"/>
      <c r="FK450" s="338"/>
      <c r="FL450" s="338"/>
      <c r="FM450" s="337"/>
      <c r="FN450" s="336"/>
      <c r="FO450" s="336"/>
      <c r="FP450" s="336"/>
      <c r="FQ450" s="336"/>
      <c r="FR450" s="336"/>
      <c r="FS450" s="336"/>
      <c r="FT450" s="336"/>
      <c r="FU450" s="336"/>
      <c r="FV450" s="336"/>
      <c r="FW450" s="337"/>
      <c r="FX450" s="532"/>
      <c r="FY450" s="341"/>
      <c r="FZ450" s="341"/>
      <c r="GA450" s="336"/>
      <c r="GB450" s="341"/>
      <c r="GC450" s="341"/>
      <c r="GD450" s="341"/>
      <c r="GE450" s="336"/>
      <c r="GF450" s="336"/>
      <c r="GG450" s="336"/>
      <c r="GH450" s="336"/>
      <c r="GI450" s="336"/>
      <c r="GJ450" s="337"/>
      <c r="GM450" s="338"/>
      <c r="GN450" s="338"/>
      <c r="GO450" s="338"/>
      <c r="GS450" s="338"/>
      <c r="GT450" s="338"/>
      <c r="GU450" s="338"/>
      <c r="GY450" s="338"/>
      <c r="GZ450" s="338"/>
      <c r="HA450" s="338"/>
      <c r="HE450" s="338"/>
      <c r="HF450" s="338"/>
      <c r="HG450" s="338"/>
      <c r="HN450" s="68"/>
      <c r="HO450" s="68"/>
      <c r="HP450" s="68"/>
      <c r="HQ450" s="336"/>
      <c r="HR450" s="68"/>
      <c r="HS450" s="68"/>
      <c r="HT450" s="10"/>
      <c r="HW450" s="338"/>
      <c r="HX450" s="338"/>
      <c r="HY450" s="338"/>
      <c r="IC450" s="338"/>
      <c r="ID450" s="338"/>
      <c r="IE450" s="338"/>
      <c r="II450" s="338"/>
      <c r="IJ450" s="338"/>
      <c r="IK450" s="338"/>
      <c r="IO450" s="338"/>
      <c r="IP450" s="338"/>
      <c r="IQ450" s="338"/>
      <c r="IX450" s="68"/>
      <c r="IY450" s="68"/>
      <c r="IZ450" s="68"/>
      <c r="JA450" s="68"/>
      <c r="JB450" s="68"/>
      <c r="JC450" s="68"/>
      <c r="JD450" s="10"/>
      <c r="JG450" s="338"/>
      <c r="JH450" s="338"/>
      <c r="JI450" s="338"/>
      <c r="JM450" s="338"/>
      <c r="JN450" s="338"/>
      <c r="JQ450" s="338"/>
      <c r="JR450" s="338"/>
      <c r="JS450" s="338"/>
      <c r="JW450" s="358"/>
      <c r="JX450" s="336"/>
      <c r="JY450" s="336"/>
      <c r="JZ450" s="336"/>
      <c r="KA450" s="336"/>
      <c r="KB450" s="336"/>
      <c r="KC450" s="336"/>
      <c r="KD450" s="336"/>
      <c r="KE450" s="336"/>
      <c r="KF450" s="336"/>
      <c r="KG450" s="337"/>
      <c r="KH450" s="338"/>
      <c r="KI450" s="338"/>
      <c r="KJ450" s="338"/>
      <c r="KK450" s="338"/>
      <c r="KL450" s="338"/>
      <c r="KM450" s="338"/>
      <c r="KN450" s="338"/>
      <c r="KO450" s="338"/>
      <c r="KP450" s="338"/>
      <c r="KQ450" s="338"/>
      <c r="KR450" s="338"/>
      <c r="KS450" s="338"/>
      <c r="KT450" s="338"/>
      <c r="KU450" s="338"/>
      <c r="KV450" s="338"/>
      <c r="KW450" s="337"/>
      <c r="KX450" s="336"/>
      <c r="KY450" s="336"/>
      <c r="KZ450" s="336"/>
      <c r="LA450" s="336"/>
      <c r="LB450" s="336"/>
      <c r="LC450" s="336"/>
      <c r="LD450" s="336"/>
      <c r="LE450" s="336"/>
      <c r="LF450" s="336"/>
      <c r="LG450" s="336"/>
      <c r="LH450" s="336"/>
      <c r="LI450" s="336"/>
      <c r="LJ450" s="336"/>
      <c r="LK450" s="336"/>
      <c r="LL450" s="336"/>
      <c r="LM450" s="336"/>
      <c r="LN450" s="336"/>
      <c r="LO450" s="336"/>
      <c r="LP450" s="336"/>
      <c r="LQ450" s="337"/>
      <c r="MN450" s="10"/>
      <c r="OA450" s="10"/>
    </row>
    <row r="451" spans="1:391" s="370" customFormat="1" x14ac:dyDescent="0.25">
      <c r="A451" s="68"/>
      <c r="B451" s="10"/>
      <c r="C451" s="68"/>
      <c r="D451" s="68"/>
      <c r="E451" s="68"/>
      <c r="F451" s="68"/>
      <c r="G451" s="68"/>
      <c r="H451" s="68"/>
      <c r="I451" s="68"/>
      <c r="J451" s="68"/>
      <c r="K451" s="68"/>
      <c r="L451" s="68"/>
      <c r="M451" s="68"/>
      <c r="N451" s="68"/>
      <c r="O451" s="68"/>
      <c r="P451" s="68"/>
      <c r="Q451" s="68"/>
      <c r="R451" s="68"/>
      <c r="S451" s="68"/>
      <c r="T451" s="70"/>
      <c r="AC451" s="68"/>
      <c r="AD451" s="70"/>
      <c r="AM451" s="68"/>
      <c r="AN451" s="70"/>
      <c r="AU451" s="68"/>
      <c r="AV451" s="70"/>
      <c r="BB451" s="68"/>
      <c r="BC451" s="70"/>
      <c r="BD451" s="68"/>
      <c r="BE451" s="68"/>
      <c r="BF451" s="68"/>
      <c r="BG451" s="68"/>
      <c r="BH451" s="68"/>
      <c r="BI451" s="68"/>
      <c r="BJ451" s="70"/>
      <c r="BM451" s="68"/>
      <c r="BN451" s="70"/>
      <c r="BT451" s="68"/>
      <c r="BU451" s="70"/>
      <c r="BZ451" s="10"/>
      <c r="CF451" s="10"/>
      <c r="CI451" s="389"/>
      <c r="CJ451" s="389"/>
      <c r="CK451" s="68"/>
      <c r="CL451" s="70"/>
      <c r="CO451" s="10"/>
      <c r="CU451" s="10"/>
      <c r="DA451" s="10"/>
      <c r="DB451" s="70"/>
      <c r="DC451" s="70"/>
      <c r="DF451" s="68"/>
      <c r="DG451" s="70"/>
      <c r="DH451" s="68"/>
      <c r="DI451" s="386"/>
      <c r="DJ451" s="425"/>
      <c r="DL451" s="68"/>
      <c r="DM451" s="70"/>
      <c r="DQ451" s="68"/>
      <c r="DR451" s="70"/>
      <c r="DS451" s="338"/>
      <c r="DT451" s="338"/>
      <c r="DU451" s="338"/>
      <c r="DW451" s="338"/>
      <c r="DX451" s="338"/>
      <c r="DY451" s="338"/>
      <c r="EA451" s="338"/>
      <c r="EB451" s="338"/>
      <c r="EC451" s="338"/>
      <c r="EE451" s="338"/>
      <c r="EF451" s="338"/>
      <c r="EG451" s="338"/>
      <c r="EI451" s="336"/>
      <c r="EJ451" s="336"/>
      <c r="EK451" s="336"/>
      <c r="EL451" s="336"/>
      <c r="EM451" s="336"/>
      <c r="EN451" s="336"/>
      <c r="EO451" s="337"/>
      <c r="EP451" s="342"/>
      <c r="EQ451" s="336"/>
      <c r="ER451" s="342"/>
      <c r="ES451" s="336"/>
      <c r="ET451" s="342"/>
      <c r="EU451" s="336"/>
      <c r="EV451" s="342"/>
      <c r="EW451" s="336"/>
      <c r="EX451" s="342"/>
      <c r="EY451" s="342"/>
      <c r="EZ451" s="342"/>
      <c r="FA451" s="337"/>
      <c r="FE451" s="338"/>
      <c r="FH451" s="338"/>
      <c r="FI451" s="338"/>
      <c r="FJ451" s="338"/>
      <c r="FK451" s="338"/>
      <c r="FL451" s="338"/>
      <c r="FM451" s="337"/>
      <c r="FN451" s="336"/>
      <c r="FO451" s="336"/>
      <c r="FP451" s="336"/>
      <c r="FQ451" s="336"/>
      <c r="FR451" s="336"/>
      <c r="FS451" s="336"/>
      <c r="FT451" s="336"/>
      <c r="FU451" s="336"/>
      <c r="FV451" s="336"/>
      <c r="FW451" s="337"/>
      <c r="FX451" s="532"/>
      <c r="FY451" s="341"/>
      <c r="FZ451" s="341"/>
      <c r="GA451" s="336"/>
      <c r="GB451" s="341"/>
      <c r="GC451" s="341"/>
      <c r="GD451" s="341"/>
      <c r="GE451" s="336"/>
      <c r="GF451" s="336"/>
      <c r="GG451" s="336"/>
      <c r="GH451" s="336"/>
      <c r="GI451" s="336"/>
      <c r="GJ451" s="337"/>
      <c r="GM451" s="338"/>
      <c r="GN451" s="338"/>
      <c r="GO451" s="338"/>
      <c r="GS451" s="338"/>
      <c r="GT451" s="338"/>
      <c r="GU451" s="338"/>
      <c r="GY451" s="338"/>
      <c r="GZ451" s="338"/>
      <c r="HA451" s="338"/>
      <c r="HE451" s="338"/>
      <c r="HF451" s="338"/>
      <c r="HG451" s="338"/>
      <c r="HN451" s="68"/>
      <c r="HO451" s="68"/>
      <c r="HP451" s="68"/>
      <c r="HQ451" s="336"/>
      <c r="HR451" s="68"/>
      <c r="HS451" s="68"/>
      <c r="HT451" s="10"/>
      <c r="HW451" s="338"/>
      <c r="HX451" s="338"/>
      <c r="HY451" s="338"/>
      <c r="IC451" s="338"/>
      <c r="ID451" s="338"/>
      <c r="IE451" s="338"/>
      <c r="II451" s="338"/>
      <c r="IJ451" s="338"/>
      <c r="IK451" s="338"/>
      <c r="IO451" s="338"/>
      <c r="IP451" s="338"/>
      <c r="IQ451" s="338"/>
      <c r="IX451" s="68"/>
      <c r="IY451" s="68"/>
      <c r="IZ451" s="68"/>
      <c r="JA451" s="68"/>
      <c r="JB451" s="68"/>
      <c r="JC451" s="68"/>
      <c r="JD451" s="10"/>
      <c r="JG451" s="338"/>
      <c r="JH451" s="338"/>
      <c r="JI451" s="338"/>
      <c r="JM451" s="338"/>
      <c r="JN451" s="338"/>
      <c r="JQ451" s="338"/>
      <c r="JR451" s="338"/>
      <c r="JS451" s="338"/>
      <c r="JW451" s="358"/>
      <c r="JX451" s="336"/>
      <c r="JY451" s="336"/>
      <c r="JZ451" s="336"/>
      <c r="KA451" s="336"/>
      <c r="KB451" s="336"/>
      <c r="KC451" s="336"/>
      <c r="KD451" s="336"/>
      <c r="KE451" s="336"/>
      <c r="KF451" s="336"/>
      <c r="KG451" s="337"/>
      <c r="KH451" s="338"/>
      <c r="KI451" s="338"/>
      <c r="KJ451" s="338"/>
      <c r="KK451" s="338"/>
      <c r="KL451" s="338"/>
      <c r="KM451" s="338"/>
      <c r="KN451" s="338"/>
      <c r="KO451" s="338"/>
      <c r="KP451" s="338"/>
      <c r="KQ451" s="338"/>
      <c r="KR451" s="338"/>
      <c r="KS451" s="338"/>
      <c r="KT451" s="338"/>
      <c r="KU451" s="338"/>
      <c r="KV451" s="338"/>
      <c r="KW451" s="337"/>
      <c r="KX451" s="336"/>
      <c r="KY451" s="336"/>
      <c r="KZ451" s="336"/>
      <c r="LA451" s="336"/>
      <c r="LB451" s="336"/>
      <c r="LC451" s="336"/>
      <c r="LD451" s="336"/>
      <c r="LE451" s="336"/>
      <c r="LF451" s="336"/>
      <c r="LG451" s="336"/>
      <c r="LH451" s="336"/>
      <c r="LI451" s="336"/>
      <c r="LJ451" s="336"/>
      <c r="LK451" s="336"/>
      <c r="LL451" s="336"/>
      <c r="LM451" s="336"/>
      <c r="LN451" s="336"/>
      <c r="LO451" s="336"/>
      <c r="LP451" s="336"/>
      <c r="LQ451" s="337"/>
      <c r="MN451" s="10"/>
      <c r="OA451" s="10"/>
    </row>
    <row r="452" spans="1:391" s="370" customFormat="1" x14ac:dyDescent="0.25">
      <c r="A452" s="68"/>
      <c r="B452" s="10"/>
      <c r="C452" s="68"/>
      <c r="D452" s="68"/>
      <c r="E452" s="68"/>
      <c r="F452" s="68"/>
      <c r="G452" s="68"/>
      <c r="H452" s="68"/>
      <c r="I452" s="68"/>
      <c r="J452" s="68"/>
      <c r="K452" s="68"/>
      <c r="L452" s="68"/>
      <c r="M452" s="68"/>
      <c r="N452" s="68"/>
      <c r="O452" s="68"/>
      <c r="P452" s="68"/>
      <c r="Q452" s="68"/>
      <c r="R452" s="68"/>
      <c r="S452" s="68"/>
      <c r="T452" s="70"/>
      <c r="AC452" s="68"/>
      <c r="AD452" s="70"/>
      <c r="AM452" s="68"/>
      <c r="AN452" s="70"/>
      <c r="AU452" s="68"/>
      <c r="AV452" s="70"/>
      <c r="BB452" s="68"/>
      <c r="BC452" s="70"/>
      <c r="BD452" s="68"/>
      <c r="BE452" s="68"/>
      <c r="BF452" s="68"/>
      <c r="BG452" s="68"/>
      <c r="BH452" s="68"/>
      <c r="BI452" s="68"/>
      <c r="BJ452" s="70"/>
      <c r="BM452" s="68"/>
      <c r="BN452" s="70"/>
      <c r="BT452" s="68"/>
      <c r="BU452" s="70"/>
      <c r="BZ452" s="10"/>
      <c r="CF452" s="10"/>
      <c r="CI452" s="389"/>
      <c r="CJ452" s="389"/>
      <c r="CK452" s="68"/>
      <c r="CL452" s="70"/>
      <c r="CO452" s="10"/>
      <c r="CU452" s="10"/>
      <c r="DA452" s="10"/>
      <c r="DB452" s="70"/>
      <c r="DC452" s="70"/>
      <c r="DF452" s="68"/>
      <c r="DG452" s="70"/>
      <c r="DH452" s="68"/>
      <c r="DI452" s="386"/>
      <c r="DJ452" s="425"/>
      <c r="DL452" s="68"/>
      <c r="DM452" s="70"/>
      <c r="DQ452" s="68"/>
      <c r="DR452" s="70"/>
      <c r="DS452" s="338"/>
      <c r="DT452" s="338"/>
      <c r="DU452" s="338"/>
      <c r="DW452" s="338"/>
      <c r="DX452" s="338"/>
      <c r="DY452" s="338"/>
      <c r="EA452" s="338"/>
      <c r="EB452" s="338"/>
      <c r="EC452" s="338"/>
      <c r="EE452" s="338"/>
      <c r="EF452" s="338"/>
      <c r="EG452" s="338"/>
      <c r="EI452" s="336"/>
      <c r="EJ452" s="336"/>
      <c r="EK452" s="336"/>
      <c r="EL452" s="336"/>
      <c r="EM452" s="336"/>
      <c r="EN452" s="336"/>
      <c r="EO452" s="337"/>
      <c r="EP452" s="342"/>
      <c r="EQ452" s="336"/>
      <c r="ER452" s="342"/>
      <c r="ES452" s="336"/>
      <c r="ET452" s="342"/>
      <c r="EU452" s="336"/>
      <c r="EV452" s="342"/>
      <c r="EW452" s="336"/>
      <c r="EX452" s="342"/>
      <c r="EY452" s="342"/>
      <c r="EZ452" s="342"/>
      <c r="FA452" s="337"/>
      <c r="FE452" s="338"/>
      <c r="FH452" s="338"/>
      <c r="FI452" s="338"/>
      <c r="FJ452" s="338"/>
      <c r="FK452" s="338"/>
      <c r="FL452" s="338"/>
      <c r="FM452" s="337"/>
      <c r="FN452" s="336"/>
      <c r="FO452" s="336"/>
      <c r="FP452" s="336"/>
      <c r="FQ452" s="336"/>
      <c r="FR452" s="336"/>
      <c r="FS452" s="336"/>
      <c r="FT452" s="336"/>
      <c r="FU452" s="336"/>
      <c r="FV452" s="336"/>
      <c r="FW452" s="337"/>
      <c r="FX452" s="532"/>
      <c r="FY452" s="341"/>
      <c r="FZ452" s="341"/>
      <c r="GA452" s="336"/>
      <c r="GB452" s="341"/>
      <c r="GC452" s="341"/>
      <c r="GD452" s="341"/>
      <c r="GE452" s="336"/>
      <c r="GF452" s="336"/>
      <c r="GG452" s="336"/>
      <c r="GH452" s="336"/>
      <c r="GI452" s="336"/>
      <c r="GJ452" s="337"/>
      <c r="GM452" s="338"/>
      <c r="GN452" s="338"/>
      <c r="GO452" s="338"/>
      <c r="GS452" s="338"/>
      <c r="GT452" s="338"/>
      <c r="GU452" s="338"/>
      <c r="GY452" s="338"/>
      <c r="GZ452" s="338"/>
      <c r="HA452" s="338"/>
      <c r="HE452" s="338"/>
      <c r="HF452" s="338"/>
      <c r="HG452" s="338"/>
      <c r="HN452" s="68"/>
      <c r="HO452" s="68"/>
      <c r="HP452" s="68"/>
      <c r="HQ452" s="336"/>
      <c r="HR452" s="68"/>
      <c r="HS452" s="68"/>
      <c r="HT452" s="10"/>
      <c r="HW452" s="338"/>
      <c r="HX452" s="338"/>
      <c r="HY452" s="338"/>
      <c r="IC452" s="338"/>
      <c r="ID452" s="338"/>
      <c r="IE452" s="338"/>
      <c r="II452" s="338"/>
      <c r="IJ452" s="338"/>
      <c r="IK452" s="338"/>
      <c r="IO452" s="338"/>
      <c r="IP452" s="338"/>
      <c r="IQ452" s="338"/>
      <c r="IX452" s="68"/>
      <c r="IY452" s="68"/>
      <c r="IZ452" s="68"/>
      <c r="JA452" s="68"/>
      <c r="JB452" s="68"/>
      <c r="JC452" s="68"/>
      <c r="JD452" s="10"/>
      <c r="JG452" s="338"/>
      <c r="JH452" s="338"/>
      <c r="JI452" s="338"/>
      <c r="JM452" s="338"/>
      <c r="JN452" s="338"/>
      <c r="JQ452" s="338"/>
      <c r="JR452" s="338"/>
      <c r="JS452" s="338"/>
      <c r="JW452" s="358"/>
      <c r="JX452" s="336"/>
      <c r="JY452" s="336"/>
      <c r="JZ452" s="336"/>
      <c r="KA452" s="336"/>
      <c r="KB452" s="336"/>
      <c r="KC452" s="336"/>
      <c r="KD452" s="336"/>
      <c r="KE452" s="336"/>
      <c r="KF452" s="336"/>
      <c r="KG452" s="337"/>
      <c r="KH452" s="338"/>
      <c r="KI452" s="338"/>
      <c r="KJ452" s="338"/>
      <c r="KK452" s="338"/>
      <c r="KL452" s="338"/>
      <c r="KM452" s="338"/>
      <c r="KN452" s="338"/>
      <c r="KO452" s="338"/>
      <c r="KP452" s="338"/>
      <c r="KQ452" s="338"/>
      <c r="KR452" s="338"/>
      <c r="KS452" s="338"/>
      <c r="KT452" s="338"/>
      <c r="KU452" s="338"/>
      <c r="KV452" s="338"/>
      <c r="KW452" s="337"/>
      <c r="KX452" s="336"/>
      <c r="KY452" s="336"/>
      <c r="KZ452" s="336"/>
      <c r="LA452" s="336"/>
      <c r="LB452" s="336"/>
      <c r="LC452" s="336"/>
      <c r="LD452" s="336"/>
      <c r="LE452" s="336"/>
      <c r="LF452" s="336"/>
      <c r="LG452" s="336"/>
      <c r="LH452" s="336"/>
      <c r="LI452" s="336"/>
      <c r="LJ452" s="336"/>
      <c r="LK452" s="336"/>
      <c r="LL452" s="336"/>
      <c r="LM452" s="336"/>
      <c r="LN452" s="336"/>
      <c r="LO452" s="336"/>
      <c r="LP452" s="336"/>
      <c r="LQ452" s="337"/>
      <c r="MN452" s="10"/>
      <c r="OA452" s="10"/>
    </row>
    <row r="453" spans="1:391" s="370" customFormat="1" x14ac:dyDescent="0.25">
      <c r="A453" s="68"/>
      <c r="B453" s="10"/>
      <c r="C453" s="68"/>
      <c r="D453" s="68"/>
      <c r="E453" s="68"/>
      <c r="F453" s="68"/>
      <c r="G453" s="68"/>
      <c r="H453" s="68"/>
      <c r="I453" s="68"/>
      <c r="J453" s="68"/>
      <c r="K453" s="68"/>
      <c r="L453" s="68"/>
      <c r="M453" s="68"/>
      <c r="N453" s="68"/>
      <c r="O453" s="68"/>
      <c r="P453" s="68"/>
      <c r="Q453" s="68"/>
      <c r="R453" s="68"/>
      <c r="S453" s="68"/>
      <c r="T453" s="70"/>
      <c r="AC453" s="68"/>
      <c r="AD453" s="70"/>
      <c r="AM453" s="68"/>
      <c r="AN453" s="70"/>
      <c r="AU453" s="68"/>
      <c r="AV453" s="70"/>
      <c r="BB453" s="68"/>
      <c r="BC453" s="70"/>
      <c r="BD453" s="68"/>
      <c r="BE453" s="68"/>
      <c r="BF453" s="68"/>
      <c r="BG453" s="68"/>
      <c r="BH453" s="68"/>
      <c r="BI453" s="68"/>
      <c r="BJ453" s="70"/>
      <c r="BM453" s="68"/>
      <c r="BN453" s="70"/>
      <c r="BT453" s="68"/>
      <c r="BU453" s="70"/>
      <c r="BZ453" s="10"/>
      <c r="CF453" s="10"/>
      <c r="CI453" s="389"/>
      <c r="CJ453" s="389"/>
      <c r="CK453" s="68"/>
      <c r="CL453" s="70"/>
      <c r="CO453" s="10"/>
      <c r="CU453" s="10"/>
      <c r="DA453" s="10"/>
      <c r="DB453" s="70"/>
      <c r="DC453" s="70"/>
      <c r="DF453" s="68"/>
      <c r="DG453" s="70"/>
      <c r="DH453" s="68"/>
      <c r="DI453" s="386"/>
      <c r="DJ453" s="425"/>
      <c r="DL453" s="68"/>
      <c r="DM453" s="70"/>
      <c r="DQ453" s="68"/>
      <c r="DR453" s="70"/>
      <c r="DS453" s="338"/>
      <c r="DT453" s="338"/>
      <c r="DU453" s="338"/>
      <c r="DW453" s="338"/>
      <c r="DX453" s="338"/>
      <c r="DY453" s="338"/>
      <c r="EA453" s="338"/>
      <c r="EB453" s="338"/>
      <c r="EC453" s="338"/>
      <c r="EE453" s="338"/>
      <c r="EF453" s="338"/>
      <c r="EG453" s="338"/>
      <c r="EI453" s="336"/>
      <c r="EJ453" s="336"/>
      <c r="EK453" s="336"/>
      <c r="EL453" s="336"/>
      <c r="EM453" s="336"/>
      <c r="EN453" s="336"/>
      <c r="EO453" s="337"/>
      <c r="EP453" s="342"/>
      <c r="EQ453" s="336"/>
      <c r="ER453" s="342"/>
      <c r="ES453" s="336"/>
      <c r="ET453" s="342"/>
      <c r="EU453" s="336"/>
      <c r="EV453" s="342"/>
      <c r="EW453" s="336"/>
      <c r="EX453" s="342"/>
      <c r="EY453" s="342"/>
      <c r="EZ453" s="342"/>
      <c r="FA453" s="337"/>
      <c r="FE453" s="338"/>
      <c r="FH453" s="338"/>
      <c r="FI453" s="338"/>
      <c r="FJ453" s="338"/>
      <c r="FK453" s="338"/>
      <c r="FL453" s="338"/>
      <c r="FM453" s="337"/>
      <c r="FN453" s="336"/>
      <c r="FO453" s="336"/>
      <c r="FP453" s="336"/>
      <c r="FQ453" s="336"/>
      <c r="FR453" s="336"/>
      <c r="FS453" s="336"/>
      <c r="FT453" s="336"/>
      <c r="FU453" s="336"/>
      <c r="FV453" s="336"/>
      <c r="FW453" s="337"/>
      <c r="FX453" s="532"/>
      <c r="FY453" s="341"/>
      <c r="FZ453" s="341"/>
      <c r="GA453" s="336"/>
      <c r="GB453" s="341"/>
      <c r="GC453" s="341"/>
      <c r="GD453" s="341"/>
      <c r="GE453" s="336"/>
      <c r="GF453" s="336"/>
      <c r="GG453" s="336"/>
      <c r="GH453" s="336"/>
      <c r="GI453" s="336"/>
      <c r="GJ453" s="337"/>
      <c r="GM453" s="338"/>
      <c r="GN453" s="338"/>
      <c r="GO453" s="338"/>
      <c r="GS453" s="338"/>
      <c r="GT453" s="338"/>
      <c r="GU453" s="338"/>
      <c r="GY453" s="338"/>
      <c r="GZ453" s="338"/>
      <c r="HA453" s="338"/>
      <c r="HE453" s="338"/>
      <c r="HF453" s="338"/>
      <c r="HG453" s="338"/>
      <c r="HN453" s="68"/>
      <c r="HO453" s="68"/>
      <c r="HP453" s="68"/>
      <c r="HQ453" s="336"/>
      <c r="HR453" s="68"/>
      <c r="HS453" s="68"/>
      <c r="HT453" s="10"/>
      <c r="HW453" s="338"/>
      <c r="HX453" s="338"/>
      <c r="HY453" s="338"/>
      <c r="IC453" s="338"/>
      <c r="ID453" s="338"/>
      <c r="IE453" s="338"/>
      <c r="II453" s="338"/>
      <c r="IJ453" s="338"/>
      <c r="IK453" s="338"/>
      <c r="IO453" s="338"/>
      <c r="IP453" s="338"/>
      <c r="IQ453" s="338"/>
      <c r="IX453" s="68"/>
      <c r="IY453" s="68"/>
      <c r="IZ453" s="68"/>
      <c r="JA453" s="68"/>
      <c r="JB453" s="68"/>
      <c r="JC453" s="68"/>
      <c r="JD453" s="10"/>
      <c r="JG453" s="338"/>
      <c r="JH453" s="338"/>
      <c r="JI453" s="338"/>
      <c r="JM453" s="338"/>
      <c r="JN453" s="338"/>
      <c r="JQ453" s="338"/>
      <c r="JR453" s="338"/>
      <c r="JS453" s="338"/>
      <c r="JW453" s="358"/>
      <c r="JX453" s="336"/>
      <c r="JY453" s="336"/>
      <c r="JZ453" s="336"/>
      <c r="KA453" s="336"/>
      <c r="KB453" s="336"/>
      <c r="KC453" s="336"/>
      <c r="KD453" s="336"/>
      <c r="KE453" s="336"/>
      <c r="KF453" s="336"/>
      <c r="KG453" s="337"/>
      <c r="KH453" s="338"/>
      <c r="KI453" s="338"/>
      <c r="KJ453" s="338"/>
      <c r="KK453" s="338"/>
      <c r="KL453" s="338"/>
      <c r="KM453" s="338"/>
      <c r="KN453" s="338"/>
      <c r="KO453" s="338"/>
      <c r="KP453" s="338"/>
      <c r="KQ453" s="338"/>
      <c r="KR453" s="338"/>
      <c r="KS453" s="338"/>
      <c r="KT453" s="338"/>
      <c r="KU453" s="338"/>
      <c r="KV453" s="338"/>
      <c r="KW453" s="337"/>
      <c r="KX453" s="336"/>
      <c r="KY453" s="336"/>
      <c r="KZ453" s="336"/>
      <c r="LA453" s="336"/>
      <c r="LB453" s="336"/>
      <c r="LC453" s="336"/>
      <c r="LD453" s="336"/>
      <c r="LE453" s="336"/>
      <c r="LF453" s="336"/>
      <c r="LG453" s="336"/>
      <c r="LH453" s="336"/>
      <c r="LI453" s="336"/>
      <c r="LJ453" s="336"/>
      <c r="LK453" s="336"/>
      <c r="LL453" s="336"/>
      <c r="LM453" s="336"/>
      <c r="LN453" s="336"/>
      <c r="LO453" s="336"/>
      <c r="LP453" s="336"/>
      <c r="LQ453" s="337"/>
      <c r="MN453" s="10"/>
      <c r="OA453" s="10"/>
    </row>
    <row r="454" spans="1:391" s="370" customFormat="1" x14ac:dyDescent="0.25">
      <c r="A454" s="68"/>
      <c r="B454" s="10"/>
      <c r="C454" s="68"/>
      <c r="D454" s="68"/>
      <c r="E454" s="68"/>
      <c r="F454" s="68"/>
      <c r="G454" s="68"/>
      <c r="H454" s="68"/>
      <c r="I454" s="68"/>
      <c r="J454" s="68"/>
      <c r="K454" s="68"/>
      <c r="L454" s="68"/>
      <c r="M454" s="68"/>
      <c r="N454" s="68"/>
      <c r="O454" s="68"/>
      <c r="P454" s="68"/>
      <c r="Q454" s="68"/>
      <c r="R454" s="68"/>
      <c r="S454" s="68"/>
      <c r="T454" s="70"/>
      <c r="AC454" s="68"/>
      <c r="AD454" s="70"/>
      <c r="AM454" s="68"/>
      <c r="AN454" s="70"/>
      <c r="AU454" s="68"/>
      <c r="AV454" s="70"/>
      <c r="BB454" s="68"/>
      <c r="BC454" s="70"/>
      <c r="BD454" s="68"/>
      <c r="BE454" s="68"/>
      <c r="BF454" s="68"/>
      <c r="BG454" s="68"/>
      <c r="BH454" s="68"/>
      <c r="BI454" s="68"/>
      <c r="BJ454" s="70"/>
      <c r="BM454" s="68"/>
      <c r="BN454" s="70"/>
      <c r="BT454" s="68"/>
      <c r="BU454" s="70"/>
      <c r="BZ454" s="10"/>
      <c r="CF454" s="10"/>
      <c r="CI454" s="389"/>
      <c r="CJ454" s="389"/>
      <c r="CK454" s="68"/>
      <c r="CL454" s="70"/>
      <c r="CO454" s="10"/>
      <c r="CU454" s="10"/>
      <c r="DA454" s="10"/>
      <c r="DB454" s="70"/>
      <c r="DC454" s="70"/>
      <c r="DF454" s="68"/>
      <c r="DG454" s="70"/>
      <c r="DH454" s="68"/>
      <c r="DI454" s="386"/>
      <c r="DJ454" s="425"/>
      <c r="DL454" s="68"/>
      <c r="DM454" s="70"/>
      <c r="DQ454" s="68"/>
      <c r="DR454" s="70"/>
      <c r="DS454" s="338"/>
      <c r="DT454" s="338"/>
      <c r="DU454" s="338"/>
      <c r="DW454" s="338"/>
      <c r="DX454" s="338"/>
      <c r="DY454" s="338"/>
      <c r="EA454" s="338"/>
      <c r="EB454" s="338"/>
      <c r="EC454" s="338"/>
      <c r="EE454" s="338"/>
      <c r="EF454" s="338"/>
      <c r="EG454" s="338"/>
      <c r="EI454" s="336"/>
      <c r="EJ454" s="336"/>
      <c r="EK454" s="336"/>
      <c r="EL454" s="336"/>
      <c r="EM454" s="336"/>
      <c r="EN454" s="336"/>
      <c r="EO454" s="337"/>
      <c r="EP454" s="342"/>
      <c r="EQ454" s="336"/>
      <c r="ER454" s="342"/>
      <c r="ES454" s="336"/>
      <c r="ET454" s="342"/>
      <c r="EU454" s="336"/>
      <c r="EV454" s="342"/>
      <c r="EW454" s="336"/>
      <c r="EX454" s="342"/>
      <c r="EY454" s="342"/>
      <c r="EZ454" s="342"/>
      <c r="FA454" s="337"/>
      <c r="FE454" s="338"/>
      <c r="FH454" s="338"/>
      <c r="FI454" s="338"/>
      <c r="FJ454" s="338"/>
      <c r="FK454" s="338"/>
      <c r="FL454" s="338"/>
      <c r="FM454" s="337"/>
      <c r="FN454" s="336"/>
      <c r="FO454" s="336"/>
      <c r="FP454" s="336"/>
      <c r="FQ454" s="336"/>
      <c r="FR454" s="336"/>
      <c r="FS454" s="336"/>
      <c r="FT454" s="336"/>
      <c r="FU454" s="336"/>
      <c r="FV454" s="336"/>
      <c r="FW454" s="337"/>
      <c r="FX454" s="532"/>
      <c r="FY454" s="341"/>
      <c r="FZ454" s="341"/>
      <c r="GA454" s="336"/>
      <c r="GB454" s="341"/>
      <c r="GC454" s="341"/>
      <c r="GD454" s="341"/>
      <c r="GE454" s="336"/>
      <c r="GF454" s="336"/>
      <c r="GG454" s="336"/>
      <c r="GH454" s="336"/>
      <c r="GI454" s="336"/>
      <c r="GJ454" s="337"/>
      <c r="GM454" s="338"/>
      <c r="GN454" s="338"/>
      <c r="GO454" s="338"/>
      <c r="GS454" s="338"/>
      <c r="GT454" s="338"/>
      <c r="GU454" s="338"/>
      <c r="GY454" s="338"/>
      <c r="GZ454" s="338"/>
      <c r="HA454" s="338"/>
      <c r="HE454" s="338"/>
      <c r="HF454" s="338"/>
      <c r="HG454" s="338"/>
      <c r="HN454" s="68"/>
      <c r="HO454" s="68"/>
      <c r="HP454" s="68"/>
      <c r="HQ454" s="336"/>
      <c r="HR454" s="68"/>
      <c r="HS454" s="68"/>
      <c r="HT454" s="10"/>
      <c r="HW454" s="338"/>
      <c r="HX454" s="338"/>
      <c r="HY454" s="338"/>
      <c r="IC454" s="338"/>
      <c r="ID454" s="338"/>
      <c r="IE454" s="338"/>
      <c r="II454" s="338"/>
      <c r="IJ454" s="338"/>
      <c r="IK454" s="338"/>
      <c r="IO454" s="338"/>
      <c r="IP454" s="338"/>
      <c r="IQ454" s="338"/>
      <c r="IX454" s="68"/>
      <c r="IY454" s="68"/>
      <c r="IZ454" s="68"/>
      <c r="JA454" s="68"/>
      <c r="JB454" s="68"/>
      <c r="JC454" s="68"/>
      <c r="JD454" s="10"/>
      <c r="JG454" s="338"/>
      <c r="JH454" s="338"/>
      <c r="JI454" s="338"/>
      <c r="JM454" s="338"/>
      <c r="JN454" s="338"/>
      <c r="JQ454" s="338"/>
      <c r="JR454" s="338"/>
      <c r="JS454" s="338"/>
      <c r="JW454" s="358"/>
      <c r="JX454" s="336"/>
      <c r="JY454" s="336"/>
      <c r="JZ454" s="336"/>
      <c r="KA454" s="336"/>
      <c r="KB454" s="336"/>
      <c r="KC454" s="336"/>
      <c r="KD454" s="336"/>
      <c r="KE454" s="336"/>
      <c r="KF454" s="336"/>
      <c r="KG454" s="337"/>
      <c r="KH454" s="338"/>
      <c r="KI454" s="338"/>
      <c r="KJ454" s="338"/>
      <c r="KK454" s="338"/>
      <c r="KL454" s="338"/>
      <c r="KM454" s="338"/>
      <c r="KN454" s="338"/>
      <c r="KO454" s="338"/>
      <c r="KP454" s="338"/>
      <c r="KQ454" s="338"/>
      <c r="KR454" s="338"/>
      <c r="KS454" s="338"/>
      <c r="KT454" s="338"/>
      <c r="KU454" s="338"/>
      <c r="KV454" s="338"/>
      <c r="KW454" s="337"/>
      <c r="KX454" s="336"/>
      <c r="KY454" s="336"/>
      <c r="KZ454" s="336"/>
      <c r="LA454" s="336"/>
      <c r="LB454" s="336"/>
      <c r="LC454" s="336"/>
      <c r="LD454" s="336"/>
      <c r="LE454" s="336"/>
      <c r="LF454" s="336"/>
      <c r="LG454" s="336"/>
      <c r="LH454" s="336"/>
      <c r="LI454" s="336"/>
      <c r="LJ454" s="336"/>
      <c r="LK454" s="336"/>
      <c r="LL454" s="336"/>
      <c r="LM454" s="336"/>
      <c r="LN454" s="336"/>
      <c r="LO454" s="336"/>
      <c r="LP454" s="336"/>
      <c r="LQ454" s="337"/>
      <c r="MN454" s="10"/>
      <c r="OA454" s="10"/>
    </row>
    <row r="455" spans="1:391" s="370" customFormat="1" x14ac:dyDescent="0.25">
      <c r="A455" s="68"/>
      <c r="B455" s="10"/>
      <c r="C455" s="68"/>
      <c r="D455" s="68"/>
      <c r="E455" s="68"/>
      <c r="F455" s="68"/>
      <c r="G455" s="68"/>
      <c r="H455" s="68"/>
      <c r="I455" s="68"/>
      <c r="J455" s="68"/>
      <c r="K455" s="68"/>
      <c r="L455" s="68"/>
      <c r="M455" s="68"/>
      <c r="N455" s="68"/>
      <c r="O455" s="68"/>
      <c r="P455" s="68"/>
      <c r="Q455" s="68"/>
      <c r="R455" s="68"/>
      <c r="S455" s="68"/>
      <c r="T455" s="70"/>
      <c r="AC455" s="68"/>
      <c r="AD455" s="70"/>
      <c r="AM455" s="68"/>
      <c r="AN455" s="70"/>
      <c r="AU455" s="68"/>
      <c r="AV455" s="70"/>
      <c r="BB455" s="68"/>
      <c r="BC455" s="70"/>
      <c r="BD455" s="68"/>
      <c r="BE455" s="68"/>
      <c r="BF455" s="68"/>
      <c r="BG455" s="68"/>
      <c r="BH455" s="68"/>
      <c r="BI455" s="68"/>
      <c r="BJ455" s="70"/>
      <c r="BM455" s="68"/>
      <c r="BN455" s="70"/>
      <c r="BT455" s="68"/>
      <c r="BU455" s="70"/>
      <c r="BZ455" s="10"/>
      <c r="CF455" s="10"/>
      <c r="CI455" s="389"/>
      <c r="CJ455" s="389"/>
      <c r="CK455" s="68"/>
      <c r="CL455" s="70"/>
      <c r="CO455" s="10"/>
      <c r="CU455" s="10"/>
      <c r="DA455" s="10"/>
      <c r="DB455" s="70"/>
      <c r="DC455" s="70"/>
      <c r="DF455" s="68"/>
      <c r="DG455" s="70"/>
      <c r="DH455" s="68"/>
      <c r="DI455" s="386"/>
      <c r="DJ455" s="425"/>
      <c r="DL455" s="68"/>
      <c r="DM455" s="70"/>
      <c r="DQ455" s="68"/>
      <c r="DR455" s="70"/>
      <c r="DS455" s="338"/>
      <c r="DT455" s="338"/>
      <c r="DU455" s="338"/>
      <c r="DW455" s="338"/>
      <c r="DX455" s="338"/>
      <c r="DY455" s="338"/>
      <c r="EA455" s="338"/>
      <c r="EB455" s="338"/>
      <c r="EC455" s="338"/>
      <c r="EE455" s="338"/>
      <c r="EF455" s="338"/>
      <c r="EG455" s="338"/>
      <c r="EI455" s="336"/>
      <c r="EJ455" s="336"/>
      <c r="EK455" s="336"/>
      <c r="EL455" s="336"/>
      <c r="EM455" s="336"/>
      <c r="EN455" s="336"/>
      <c r="EO455" s="337"/>
      <c r="EP455" s="342"/>
      <c r="EQ455" s="336"/>
      <c r="ER455" s="342"/>
      <c r="ES455" s="336"/>
      <c r="ET455" s="342"/>
      <c r="EU455" s="336"/>
      <c r="EV455" s="342"/>
      <c r="EW455" s="336"/>
      <c r="EX455" s="342"/>
      <c r="EY455" s="342"/>
      <c r="EZ455" s="342"/>
      <c r="FA455" s="337"/>
      <c r="FE455" s="338"/>
      <c r="FH455" s="338"/>
      <c r="FI455" s="338"/>
      <c r="FJ455" s="338"/>
      <c r="FK455" s="338"/>
      <c r="FL455" s="338"/>
      <c r="FM455" s="337"/>
      <c r="FN455" s="336"/>
      <c r="FO455" s="336"/>
      <c r="FP455" s="336"/>
      <c r="FQ455" s="336"/>
      <c r="FR455" s="336"/>
      <c r="FS455" s="336"/>
      <c r="FT455" s="336"/>
      <c r="FU455" s="336"/>
      <c r="FV455" s="336"/>
      <c r="FW455" s="337"/>
      <c r="FX455" s="532"/>
      <c r="FY455" s="341"/>
      <c r="FZ455" s="341"/>
      <c r="GA455" s="336"/>
      <c r="GB455" s="341"/>
      <c r="GC455" s="341"/>
      <c r="GD455" s="341"/>
      <c r="GE455" s="336"/>
      <c r="GF455" s="336"/>
      <c r="GG455" s="336"/>
      <c r="GH455" s="336"/>
      <c r="GI455" s="336"/>
      <c r="GJ455" s="337"/>
      <c r="GM455" s="338"/>
      <c r="GN455" s="338"/>
      <c r="GO455" s="338"/>
      <c r="GS455" s="338"/>
      <c r="GT455" s="338"/>
      <c r="GU455" s="338"/>
      <c r="GY455" s="338"/>
      <c r="GZ455" s="338"/>
      <c r="HA455" s="338"/>
      <c r="HE455" s="338"/>
      <c r="HF455" s="338"/>
      <c r="HG455" s="338"/>
      <c r="HN455" s="68"/>
      <c r="HO455" s="68"/>
      <c r="HP455" s="68"/>
      <c r="HQ455" s="336"/>
      <c r="HR455" s="68"/>
      <c r="HS455" s="68"/>
      <c r="HT455" s="10"/>
      <c r="HW455" s="338"/>
      <c r="HX455" s="338"/>
      <c r="HY455" s="338"/>
      <c r="IC455" s="338"/>
      <c r="ID455" s="338"/>
      <c r="IE455" s="338"/>
      <c r="II455" s="338"/>
      <c r="IJ455" s="338"/>
      <c r="IK455" s="338"/>
      <c r="IO455" s="338"/>
      <c r="IP455" s="338"/>
      <c r="IQ455" s="338"/>
      <c r="IX455" s="68"/>
      <c r="IY455" s="68"/>
      <c r="IZ455" s="68"/>
      <c r="JA455" s="68"/>
      <c r="JB455" s="68"/>
      <c r="JC455" s="68"/>
      <c r="JD455" s="10"/>
      <c r="JG455" s="338"/>
      <c r="JH455" s="338"/>
      <c r="JI455" s="338"/>
      <c r="JM455" s="338"/>
      <c r="JN455" s="338"/>
      <c r="JQ455" s="338"/>
      <c r="JR455" s="338"/>
      <c r="JS455" s="338"/>
      <c r="JW455" s="358"/>
      <c r="JX455" s="336"/>
      <c r="JY455" s="336"/>
      <c r="JZ455" s="336"/>
      <c r="KA455" s="336"/>
      <c r="KB455" s="336"/>
      <c r="KC455" s="336"/>
      <c r="KD455" s="336"/>
      <c r="KE455" s="336"/>
      <c r="KF455" s="336"/>
      <c r="KG455" s="337"/>
      <c r="KH455" s="338"/>
      <c r="KI455" s="338"/>
      <c r="KJ455" s="338"/>
      <c r="KK455" s="338"/>
      <c r="KL455" s="338"/>
      <c r="KM455" s="338"/>
      <c r="KN455" s="338"/>
      <c r="KO455" s="338"/>
      <c r="KP455" s="338"/>
      <c r="KQ455" s="338"/>
      <c r="KR455" s="338"/>
      <c r="KS455" s="338"/>
      <c r="KT455" s="338"/>
      <c r="KU455" s="338"/>
      <c r="KV455" s="338"/>
      <c r="KW455" s="337"/>
      <c r="KX455" s="336"/>
      <c r="KY455" s="336"/>
      <c r="KZ455" s="336"/>
      <c r="LA455" s="336"/>
      <c r="LB455" s="336"/>
      <c r="LC455" s="336"/>
      <c r="LD455" s="336"/>
      <c r="LE455" s="336"/>
      <c r="LF455" s="336"/>
      <c r="LG455" s="336"/>
      <c r="LH455" s="336"/>
      <c r="LI455" s="336"/>
      <c r="LJ455" s="336"/>
      <c r="LK455" s="336"/>
      <c r="LL455" s="336"/>
      <c r="LM455" s="336"/>
      <c r="LN455" s="336"/>
      <c r="LO455" s="336"/>
      <c r="LP455" s="336"/>
      <c r="LQ455" s="337"/>
      <c r="MN455" s="10"/>
      <c r="OA455" s="10"/>
    </row>
    <row r="456" spans="1:391" s="370" customFormat="1" x14ac:dyDescent="0.25">
      <c r="A456" s="68"/>
      <c r="B456" s="10"/>
      <c r="C456" s="68"/>
      <c r="D456" s="68"/>
      <c r="E456" s="68"/>
      <c r="F456" s="68"/>
      <c r="G456" s="68"/>
      <c r="H456" s="68"/>
      <c r="I456" s="68"/>
      <c r="J456" s="68"/>
      <c r="K456" s="68"/>
      <c r="L456" s="68"/>
      <c r="M456" s="68"/>
      <c r="N456" s="68"/>
      <c r="O456" s="68"/>
      <c r="P456" s="68"/>
      <c r="Q456" s="68"/>
      <c r="R456" s="68"/>
      <c r="S456" s="68"/>
      <c r="T456" s="70"/>
      <c r="AC456" s="68"/>
      <c r="AD456" s="70"/>
      <c r="AM456" s="68"/>
      <c r="AN456" s="70"/>
      <c r="AU456" s="68"/>
      <c r="AV456" s="70"/>
      <c r="BB456" s="68"/>
      <c r="BC456" s="70"/>
      <c r="BD456" s="68"/>
      <c r="BE456" s="68"/>
      <c r="BF456" s="68"/>
      <c r="BG456" s="68"/>
      <c r="BH456" s="68"/>
      <c r="BI456" s="68"/>
      <c r="BJ456" s="70"/>
      <c r="BM456" s="68"/>
      <c r="BN456" s="70"/>
      <c r="BT456" s="68"/>
      <c r="BU456" s="70"/>
      <c r="BZ456" s="10"/>
      <c r="CF456" s="10"/>
      <c r="CI456" s="389"/>
      <c r="CJ456" s="389"/>
      <c r="CK456" s="68"/>
      <c r="CL456" s="70"/>
      <c r="CO456" s="10"/>
      <c r="CU456" s="10"/>
      <c r="DA456" s="10"/>
      <c r="DB456" s="70"/>
      <c r="DC456" s="70"/>
      <c r="DF456" s="68"/>
      <c r="DG456" s="70"/>
      <c r="DH456" s="68"/>
      <c r="DI456" s="386"/>
      <c r="DJ456" s="425"/>
      <c r="DL456" s="68"/>
      <c r="DM456" s="70"/>
      <c r="DQ456" s="68"/>
      <c r="DR456" s="70"/>
      <c r="DS456" s="338"/>
      <c r="DT456" s="338"/>
      <c r="DU456" s="338"/>
      <c r="DW456" s="338"/>
      <c r="DX456" s="338"/>
      <c r="DY456" s="338"/>
      <c r="EA456" s="338"/>
      <c r="EB456" s="338"/>
      <c r="EC456" s="338"/>
      <c r="EE456" s="338"/>
      <c r="EF456" s="338"/>
      <c r="EG456" s="338"/>
      <c r="EI456" s="336"/>
      <c r="EJ456" s="336"/>
      <c r="EK456" s="336"/>
      <c r="EL456" s="336"/>
      <c r="EM456" s="336"/>
      <c r="EN456" s="336"/>
      <c r="EO456" s="337"/>
      <c r="EP456" s="342"/>
      <c r="EQ456" s="336"/>
      <c r="ER456" s="342"/>
      <c r="ES456" s="336"/>
      <c r="ET456" s="342"/>
      <c r="EU456" s="336"/>
      <c r="EV456" s="342"/>
      <c r="EW456" s="336"/>
      <c r="EX456" s="342"/>
      <c r="EY456" s="342"/>
      <c r="EZ456" s="342"/>
      <c r="FA456" s="337"/>
      <c r="FE456" s="338"/>
      <c r="FH456" s="338"/>
      <c r="FI456" s="338"/>
      <c r="FJ456" s="338"/>
      <c r="FK456" s="338"/>
      <c r="FL456" s="338"/>
      <c r="FM456" s="337"/>
      <c r="FN456" s="336"/>
      <c r="FO456" s="336"/>
      <c r="FP456" s="336"/>
      <c r="FQ456" s="336"/>
      <c r="FR456" s="336"/>
      <c r="FS456" s="336"/>
      <c r="FT456" s="336"/>
      <c r="FU456" s="336"/>
      <c r="FV456" s="336"/>
      <c r="FW456" s="337"/>
      <c r="FX456" s="532"/>
      <c r="FY456" s="341"/>
      <c r="FZ456" s="341"/>
      <c r="GA456" s="336"/>
      <c r="GB456" s="341"/>
      <c r="GC456" s="341"/>
      <c r="GD456" s="341"/>
      <c r="GE456" s="336"/>
      <c r="GF456" s="336"/>
      <c r="GG456" s="336"/>
      <c r="GH456" s="336"/>
      <c r="GI456" s="336"/>
      <c r="GJ456" s="337"/>
      <c r="GM456" s="338"/>
      <c r="GN456" s="338"/>
      <c r="GO456" s="338"/>
      <c r="GS456" s="338"/>
      <c r="GT456" s="338"/>
      <c r="GU456" s="338"/>
      <c r="GY456" s="338"/>
      <c r="GZ456" s="338"/>
      <c r="HA456" s="338"/>
      <c r="HE456" s="338"/>
      <c r="HF456" s="338"/>
      <c r="HG456" s="338"/>
      <c r="HN456" s="68"/>
      <c r="HO456" s="68"/>
      <c r="HP456" s="68"/>
      <c r="HQ456" s="336"/>
      <c r="HR456" s="68"/>
      <c r="HS456" s="68"/>
      <c r="HT456" s="10"/>
      <c r="HW456" s="338"/>
      <c r="HX456" s="338"/>
      <c r="HY456" s="338"/>
      <c r="IC456" s="338"/>
      <c r="ID456" s="338"/>
      <c r="IE456" s="338"/>
      <c r="II456" s="338"/>
      <c r="IJ456" s="338"/>
      <c r="IK456" s="338"/>
      <c r="IO456" s="338"/>
      <c r="IP456" s="338"/>
      <c r="IQ456" s="338"/>
      <c r="IX456" s="68"/>
      <c r="IY456" s="68"/>
      <c r="IZ456" s="68"/>
      <c r="JA456" s="68"/>
      <c r="JB456" s="68"/>
      <c r="JC456" s="68"/>
      <c r="JD456" s="10"/>
      <c r="JG456" s="338"/>
      <c r="JH456" s="338"/>
      <c r="JI456" s="338"/>
      <c r="JM456" s="338"/>
      <c r="JN456" s="338"/>
      <c r="JQ456" s="338"/>
      <c r="JR456" s="338"/>
      <c r="JS456" s="338"/>
      <c r="JW456" s="358"/>
      <c r="JX456" s="336"/>
      <c r="JY456" s="336"/>
      <c r="JZ456" s="336"/>
      <c r="KA456" s="336"/>
      <c r="KB456" s="336"/>
      <c r="KC456" s="336"/>
      <c r="KD456" s="336"/>
      <c r="KE456" s="336"/>
      <c r="KF456" s="336"/>
      <c r="KG456" s="337"/>
      <c r="KH456" s="338"/>
      <c r="KI456" s="338"/>
      <c r="KJ456" s="338"/>
      <c r="KK456" s="338"/>
      <c r="KL456" s="338"/>
      <c r="KM456" s="338"/>
      <c r="KN456" s="338"/>
      <c r="KO456" s="338"/>
      <c r="KP456" s="338"/>
      <c r="KQ456" s="338"/>
      <c r="KR456" s="338"/>
      <c r="KS456" s="338"/>
      <c r="KT456" s="338"/>
      <c r="KU456" s="338"/>
      <c r="KV456" s="338"/>
      <c r="KW456" s="337"/>
      <c r="KX456" s="336"/>
      <c r="KY456" s="336"/>
      <c r="KZ456" s="336"/>
      <c r="LA456" s="336"/>
      <c r="LB456" s="336"/>
      <c r="LC456" s="336"/>
      <c r="LD456" s="336"/>
      <c r="LE456" s="336"/>
      <c r="LF456" s="336"/>
      <c r="LG456" s="336"/>
      <c r="LH456" s="336"/>
      <c r="LI456" s="336"/>
      <c r="LJ456" s="336"/>
      <c r="LK456" s="336"/>
      <c r="LL456" s="336"/>
      <c r="LM456" s="336"/>
      <c r="LN456" s="336"/>
      <c r="LO456" s="336"/>
      <c r="LP456" s="336"/>
      <c r="LQ456" s="337"/>
      <c r="MN456" s="10"/>
      <c r="OA456" s="10"/>
    </row>
    <row r="457" spans="1:391" s="370" customFormat="1" x14ac:dyDescent="0.25">
      <c r="A457" s="68"/>
      <c r="B457" s="10"/>
      <c r="C457" s="68"/>
      <c r="D457" s="68"/>
      <c r="E457" s="68"/>
      <c r="F457" s="68"/>
      <c r="G457" s="68"/>
      <c r="H457" s="68"/>
      <c r="I457" s="68"/>
      <c r="J457" s="68"/>
      <c r="K457" s="68"/>
      <c r="L457" s="68"/>
      <c r="M457" s="68"/>
      <c r="N457" s="68"/>
      <c r="O457" s="68"/>
      <c r="P457" s="68"/>
      <c r="Q457" s="68"/>
      <c r="R457" s="68"/>
      <c r="S457" s="68"/>
      <c r="T457" s="70"/>
      <c r="AC457" s="68"/>
      <c r="AD457" s="70"/>
      <c r="AM457" s="68"/>
      <c r="AN457" s="70"/>
      <c r="AU457" s="68"/>
      <c r="AV457" s="70"/>
      <c r="BB457" s="68"/>
      <c r="BC457" s="70"/>
      <c r="BD457" s="68"/>
      <c r="BE457" s="68"/>
      <c r="BF457" s="68"/>
      <c r="BG457" s="68"/>
      <c r="BH457" s="68"/>
      <c r="BI457" s="68"/>
      <c r="BJ457" s="70"/>
      <c r="BM457" s="68"/>
      <c r="BN457" s="70"/>
      <c r="BT457" s="68"/>
      <c r="BU457" s="70"/>
      <c r="BZ457" s="10"/>
      <c r="CF457" s="10"/>
      <c r="CI457" s="389"/>
      <c r="CJ457" s="389"/>
      <c r="CK457" s="68"/>
      <c r="CL457" s="70"/>
      <c r="CO457" s="10"/>
      <c r="CU457" s="10"/>
      <c r="DA457" s="10"/>
      <c r="DB457" s="70"/>
      <c r="DC457" s="70"/>
      <c r="DF457" s="68"/>
      <c r="DG457" s="70"/>
      <c r="DH457" s="68"/>
      <c r="DI457" s="386"/>
      <c r="DJ457" s="425"/>
      <c r="DL457" s="68"/>
      <c r="DM457" s="70"/>
      <c r="DQ457" s="68"/>
      <c r="DR457" s="70"/>
      <c r="DS457" s="338"/>
      <c r="DT457" s="338"/>
      <c r="DU457" s="338"/>
      <c r="DW457" s="338"/>
      <c r="DX457" s="338"/>
      <c r="DY457" s="338"/>
      <c r="EA457" s="338"/>
      <c r="EB457" s="338"/>
      <c r="EC457" s="338"/>
      <c r="EE457" s="338"/>
      <c r="EF457" s="338"/>
      <c r="EG457" s="338"/>
      <c r="EI457" s="336"/>
      <c r="EJ457" s="336"/>
      <c r="EK457" s="336"/>
      <c r="EL457" s="336"/>
      <c r="EM457" s="336"/>
      <c r="EN457" s="336"/>
      <c r="EO457" s="337"/>
      <c r="EP457" s="342"/>
      <c r="EQ457" s="336"/>
      <c r="ER457" s="342"/>
      <c r="ES457" s="336"/>
      <c r="ET457" s="342"/>
      <c r="EU457" s="336"/>
      <c r="EV457" s="342"/>
      <c r="EW457" s="336"/>
      <c r="EX457" s="342"/>
      <c r="EY457" s="342"/>
      <c r="EZ457" s="342"/>
      <c r="FA457" s="337"/>
      <c r="FE457" s="338"/>
      <c r="FH457" s="338"/>
      <c r="FI457" s="338"/>
      <c r="FJ457" s="338"/>
      <c r="FK457" s="338"/>
      <c r="FL457" s="338"/>
      <c r="FM457" s="337"/>
      <c r="FN457" s="336"/>
      <c r="FO457" s="336"/>
      <c r="FP457" s="336"/>
      <c r="FQ457" s="336"/>
      <c r="FR457" s="336"/>
      <c r="FS457" s="336"/>
      <c r="FT457" s="336"/>
      <c r="FU457" s="336"/>
      <c r="FV457" s="336"/>
      <c r="FW457" s="337"/>
      <c r="FX457" s="532"/>
      <c r="FY457" s="341"/>
      <c r="FZ457" s="341"/>
      <c r="GA457" s="336"/>
      <c r="GB457" s="341"/>
      <c r="GC457" s="341"/>
      <c r="GD457" s="341"/>
      <c r="GE457" s="336"/>
      <c r="GF457" s="336"/>
      <c r="GG457" s="336"/>
      <c r="GH457" s="336"/>
      <c r="GI457" s="336"/>
      <c r="GJ457" s="337"/>
      <c r="GM457" s="338"/>
      <c r="GN457" s="338"/>
      <c r="GO457" s="338"/>
      <c r="GS457" s="338"/>
      <c r="GT457" s="338"/>
      <c r="GU457" s="338"/>
      <c r="GY457" s="338"/>
      <c r="GZ457" s="338"/>
      <c r="HA457" s="338"/>
      <c r="HE457" s="338"/>
      <c r="HF457" s="338"/>
      <c r="HG457" s="338"/>
      <c r="HN457" s="68"/>
      <c r="HO457" s="68"/>
      <c r="HP457" s="68"/>
      <c r="HQ457" s="336"/>
      <c r="HR457" s="68"/>
      <c r="HS457" s="68"/>
      <c r="HT457" s="10"/>
      <c r="HW457" s="338"/>
      <c r="HX457" s="338"/>
      <c r="HY457" s="338"/>
      <c r="IC457" s="338"/>
      <c r="ID457" s="338"/>
      <c r="IE457" s="338"/>
      <c r="II457" s="338"/>
      <c r="IJ457" s="338"/>
      <c r="IK457" s="338"/>
      <c r="IO457" s="338"/>
      <c r="IP457" s="338"/>
      <c r="IQ457" s="338"/>
      <c r="IX457" s="68"/>
      <c r="IY457" s="68"/>
      <c r="IZ457" s="68"/>
      <c r="JA457" s="68"/>
      <c r="JB457" s="68"/>
      <c r="JC457" s="68"/>
      <c r="JD457" s="10"/>
      <c r="JG457" s="338"/>
      <c r="JH457" s="338"/>
      <c r="JI457" s="338"/>
      <c r="JM457" s="338"/>
      <c r="JN457" s="338"/>
      <c r="JQ457" s="338"/>
      <c r="JR457" s="338"/>
      <c r="JS457" s="338"/>
      <c r="JW457" s="358"/>
      <c r="JX457" s="336"/>
      <c r="JY457" s="336"/>
      <c r="JZ457" s="336"/>
      <c r="KA457" s="336"/>
      <c r="KB457" s="336"/>
      <c r="KC457" s="336"/>
      <c r="KD457" s="336"/>
      <c r="KE457" s="336"/>
      <c r="KF457" s="336"/>
      <c r="KG457" s="337"/>
      <c r="KH457" s="338"/>
      <c r="KI457" s="338"/>
      <c r="KJ457" s="338"/>
      <c r="KK457" s="338"/>
      <c r="KL457" s="338"/>
      <c r="KM457" s="338"/>
      <c r="KN457" s="338"/>
      <c r="KO457" s="338"/>
      <c r="KP457" s="338"/>
      <c r="KQ457" s="338"/>
      <c r="KR457" s="338"/>
      <c r="KS457" s="338"/>
      <c r="KT457" s="338"/>
      <c r="KU457" s="338"/>
      <c r="KV457" s="338"/>
      <c r="KW457" s="337"/>
      <c r="KX457" s="336"/>
      <c r="KY457" s="336"/>
      <c r="KZ457" s="336"/>
      <c r="LA457" s="336"/>
      <c r="LB457" s="336"/>
      <c r="LC457" s="336"/>
      <c r="LD457" s="336"/>
      <c r="LE457" s="336"/>
      <c r="LF457" s="336"/>
      <c r="LG457" s="336"/>
      <c r="LH457" s="336"/>
      <c r="LI457" s="336"/>
      <c r="LJ457" s="336"/>
      <c r="LK457" s="336"/>
      <c r="LL457" s="336"/>
      <c r="LM457" s="336"/>
      <c r="LN457" s="336"/>
      <c r="LO457" s="336"/>
      <c r="LP457" s="336"/>
      <c r="LQ457" s="337"/>
      <c r="MN457" s="10"/>
      <c r="OA457" s="10"/>
    </row>
    <row r="458" spans="1:391" s="370" customFormat="1" x14ac:dyDescent="0.25">
      <c r="A458" s="68"/>
      <c r="B458" s="10"/>
      <c r="C458" s="68"/>
      <c r="D458" s="68"/>
      <c r="E458" s="68"/>
      <c r="F458" s="68"/>
      <c r="G458" s="68"/>
      <c r="H458" s="68"/>
      <c r="I458" s="68"/>
      <c r="J458" s="68"/>
      <c r="K458" s="68"/>
      <c r="L458" s="68"/>
      <c r="M458" s="68"/>
      <c r="N458" s="68"/>
      <c r="O458" s="68"/>
      <c r="P458" s="68"/>
      <c r="Q458" s="68"/>
      <c r="R458" s="68"/>
      <c r="S458" s="68"/>
      <c r="T458" s="70"/>
      <c r="AC458" s="68"/>
      <c r="AD458" s="70"/>
      <c r="AM458" s="68"/>
      <c r="AN458" s="70"/>
      <c r="AU458" s="68"/>
      <c r="AV458" s="70"/>
      <c r="BB458" s="68"/>
      <c r="BC458" s="70"/>
      <c r="BD458" s="68"/>
      <c r="BE458" s="68"/>
      <c r="BF458" s="68"/>
      <c r="BG458" s="68"/>
      <c r="BH458" s="68"/>
      <c r="BI458" s="68"/>
      <c r="BJ458" s="70"/>
      <c r="BM458" s="68"/>
      <c r="BN458" s="70"/>
      <c r="BT458" s="68"/>
      <c r="BU458" s="70"/>
      <c r="BZ458" s="10"/>
      <c r="CF458" s="10"/>
      <c r="CI458" s="389"/>
      <c r="CJ458" s="389"/>
      <c r="CK458" s="68"/>
      <c r="CL458" s="70"/>
      <c r="CO458" s="10"/>
      <c r="CU458" s="10"/>
      <c r="DA458" s="10"/>
      <c r="DB458" s="70"/>
      <c r="DC458" s="70"/>
      <c r="DF458" s="68"/>
      <c r="DG458" s="70"/>
      <c r="DH458" s="68"/>
      <c r="DI458" s="386"/>
      <c r="DJ458" s="425"/>
      <c r="DL458" s="68"/>
      <c r="DM458" s="70"/>
      <c r="DQ458" s="68"/>
      <c r="DR458" s="70"/>
      <c r="DS458" s="338"/>
      <c r="DT458" s="338"/>
      <c r="DU458" s="338"/>
      <c r="DW458" s="338"/>
      <c r="DX458" s="338"/>
      <c r="DY458" s="338"/>
      <c r="EA458" s="338"/>
      <c r="EB458" s="338"/>
      <c r="EC458" s="338"/>
      <c r="EE458" s="338"/>
      <c r="EF458" s="338"/>
      <c r="EG458" s="338"/>
      <c r="EI458" s="336"/>
      <c r="EJ458" s="336"/>
      <c r="EK458" s="336"/>
      <c r="EL458" s="336"/>
      <c r="EM458" s="336"/>
      <c r="EN458" s="336"/>
      <c r="EO458" s="337"/>
      <c r="EP458" s="342"/>
      <c r="EQ458" s="336"/>
      <c r="ER458" s="342"/>
      <c r="ES458" s="336"/>
      <c r="ET458" s="342"/>
      <c r="EU458" s="336"/>
      <c r="EV458" s="342"/>
      <c r="EW458" s="336"/>
      <c r="EX458" s="342"/>
      <c r="EY458" s="342"/>
      <c r="EZ458" s="342"/>
      <c r="FA458" s="337"/>
      <c r="FE458" s="338"/>
      <c r="FH458" s="338"/>
      <c r="FI458" s="338"/>
      <c r="FJ458" s="338"/>
      <c r="FK458" s="338"/>
      <c r="FL458" s="338"/>
      <c r="FM458" s="337"/>
      <c r="FN458" s="336"/>
      <c r="FO458" s="336"/>
      <c r="FP458" s="336"/>
      <c r="FQ458" s="336"/>
      <c r="FR458" s="336"/>
      <c r="FS458" s="336"/>
      <c r="FT458" s="336"/>
      <c r="FU458" s="336"/>
      <c r="FV458" s="336"/>
      <c r="FW458" s="337"/>
      <c r="FX458" s="532"/>
      <c r="FY458" s="341"/>
      <c r="FZ458" s="341"/>
      <c r="GA458" s="336"/>
      <c r="GB458" s="341"/>
      <c r="GC458" s="341"/>
      <c r="GD458" s="341"/>
      <c r="GE458" s="336"/>
      <c r="GF458" s="336"/>
      <c r="GG458" s="336"/>
      <c r="GH458" s="336"/>
      <c r="GI458" s="336"/>
      <c r="GJ458" s="337"/>
      <c r="GM458" s="338"/>
      <c r="GN458" s="338"/>
      <c r="GO458" s="338"/>
      <c r="GS458" s="338"/>
      <c r="GT458" s="338"/>
      <c r="GU458" s="338"/>
      <c r="GY458" s="338"/>
      <c r="GZ458" s="338"/>
      <c r="HA458" s="338"/>
      <c r="HE458" s="338"/>
      <c r="HF458" s="338"/>
      <c r="HG458" s="338"/>
      <c r="HN458" s="68"/>
      <c r="HO458" s="68"/>
      <c r="HP458" s="68"/>
      <c r="HQ458" s="336"/>
      <c r="HR458" s="68"/>
      <c r="HS458" s="68"/>
      <c r="HT458" s="10"/>
      <c r="HW458" s="338"/>
      <c r="HX458" s="338"/>
      <c r="HY458" s="338"/>
      <c r="IC458" s="338"/>
      <c r="ID458" s="338"/>
      <c r="IE458" s="338"/>
      <c r="II458" s="338"/>
      <c r="IJ458" s="338"/>
      <c r="IK458" s="338"/>
      <c r="IO458" s="338"/>
      <c r="IP458" s="338"/>
      <c r="IQ458" s="338"/>
      <c r="IX458" s="68"/>
      <c r="IY458" s="68"/>
      <c r="IZ458" s="68"/>
      <c r="JA458" s="68"/>
      <c r="JB458" s="68"/>
      <c r="JC458" s="68"/>
      <c r="JD458" s="10"/>
      <c r="JG458" s="338"/>
      <c r="JH458" s="338"/>
      <c r="JI458" s="338"/>
      <c r="JM458" s="338"/>
      <c r="JN458" s="338"/>
      <c r="JQ458" s="338"/>
      <c r="JR458" s="338"/>
      <c r="JS458" s="338"/>
      <c r="JW458" s="358"/>
      <c r="JX458" s="336"/>
      <c r="JY458" s="336"/>
      <c r="JZ458" s="336"/>
      <c r="KA458" s="336"/>
      <c r="KB458" s="336"/>
      <c r="KC458" s="336"/>
      <c r="KD458" s="336"/>
      <c r="KE458" s="336"/>
      <c r="KF458" s="336"/>
      <c r="KG458" s="337"/>
      <c r="KH458" s="338"/>
      <c r="KI458" s="338"/>
      <c r="KJ458" s="338"/>
      <c r="KK458" s="338"/>
      <c r="KL458" s="338"/>
      <c r="KM458" s="338"/>
      <c r="KN458" s="338"/>
      <c r="KO458" s="338"/>
      <c r="KP458" s="338"/>
      <c r="KQ458" s="338"/>
      <c r="KR458" s="338"/>
      <c r="KS458" s="338"/>
      <c r="KT458" s="338"/>
      <c r="KU458" s="338"/>
      <c r="KV458" s="338"/>
      <c r="KW458" s="337"/>
      <c r="KX458" s="336"/>
      <c r="KY458" s="336"/>
      <c r="KZ458" s="336"/>
      <c r="LA458" s="336"/>
      <c r="LB458" s="336"/>
      <c r="LC458" s="336"/>
      <c r="LD458" s="336"/>
      <c r="LE458" s="336"/>
      <c r="LF458" s="336"/>
      <c r="LG458" s="336"/>
      <c r="LH458" s="336"/>
      <c r="LI458" s="336"/>
      <c r="LJ458" s="336"/>
      <c r="LK458" s="336"/>
      <c r="LL458" s="336"/>
      <c r="LM458" s="336"/>
      <c r="LN458" s="336"/>
      <c r="LO458" s="336"/>
      <c r="LP458" s="336"/>
      <c r="LQ458" s="337"/>
      <c r="MN458" s="10"/>
      <c r="OA458" s="10"/>
    </row>
    <row r="459" spans="1:391" s="370" customFormat="1" x14ac:dyDescent="0.25">
      <c r="A459" s="68"/>
      <c r="B459" s="10"/>
      <c r="C459" s="68"/>
      <c r="D459" s="68"/>
      <c r="E459" s="68"/>
      <c r="F459" s="68"/>
      <c r="G459" s="68"/>
      <c r="H459" s="68"/>
      <c r="I459" s="68"/>
      <c r="J459" s="68"/>
      <c r="K459" s="68"/>
      <c r="L459" s="68"/>
      <c r="M459" s="68"/>
      <c r="N459" s="68"/>
      <c r="O459" s="68"/>
      <c r="P459" s="68"/>
      <c r="Q459" s="68"/>
      <c r="R459" s="68"/>
      <c r="S459" s="68"/>
      <c r="T459" s="70"/>
      <c r="AC459" s="68"/>
      <c r="AD459" s="70"/>
      <c r="AM459" s="68"/>
      <c r="AN459" s="70"/>
      <c r="AU459" s="68"/>
      <c r="AV459" s="70"/>
      <c r="BB459" s="68"/>
      <c r="BC459" s="70"/>
      <c r="BD459" s="68"/>
      <c r="BE459" s="68"/>
      <c r="BF459" s="68"/>
      <c r="BG459" s="68"/>
      <c r="BH459" s="68"/>
      <c r="BI459" s="68"/>
      <c r="BJ459" s="70"/>
      <c r="BM459" s="68"/>
      <c r="BN459" s="70"/>
      <c r="BT459" s="68"/>
      <c r="BU459" s="70"/>
      <c r="BZ459" s="10"/>
      <c r="CF459" s="10"/>
      <c r="CI459" s="389"/>
      <c r="CJ459" s="389"/>
      <c r="CK459" s="68"/>
      <c r="CL459" s="70"/>
      <c r="CO459" s="10"/>
      <c r="CU459" s="10"/>
      <c r="DA459" s="10"/>
      <c r="DB459" s="70"/>
      <c r="DC459" s="70"/>
      <c r="DF459" s="68"/>
      <c r="DG459" s="70"/>
      <c r="DH459" s="68"/>
      <c r="DI459" s="386"/>
      <c r="DJ459" s="425"/>
      <c r="DL459" s="68"/>
      <c r="DM459" s="70"/>
      <c r="DQ459" s="68"/>
      <c r="DR459" s="70"/>
      <c r="DS459" s="338"/>
      <c r="DT459" s="338"/>
      <c r="DU459" s="338"/>
      <c r="DW459" s="338"/>
      <c r="DX459" s="338"/>
      <c r="DY459" s="338"/>
      <c r="EA459" s="338"/>
      <c r="EB459" s="338"/>
      <c r="EC459" s="338"/>
      <c r="EE459" s="338"/>
      <c r="EF459" s="338"/>
      <c r="EG459" s="338"/>
      <c r="EI459" s="336"/>
      <c r="EJ459" s="336"/>
      <c r="EK459" s="336"/>
      <c r="EL459" s="336"/>
      <c r="EM459" s="336"/>
      <c r="EN459" s="336"/>
      <c r="EO459" s="337"/>
      <c r="EP459" s="342"/>
      <c r="EQ459" s="336"/>
      <c r="ER459" s="342"/>
      <c r="ES459" s="336"/>
      <c r="ET459" s="342"/>
      <c r="EU459" s="336"/>
      <c r="EV459" s="342"/>
      <c r="EW459" s="336"/>
      <c r="EX459" s="342"/>
      <c r="EY459" s="342"/>
      <c r="EZ459" s="342"/>
      <c r="FA459" s="337"/>
      <c r="FE459" s="338"/>
      <c r="FH459" s="338"/>
      <c r="FI459" s="338"/>
      <c r="FJ459" s="338"/>
      <c r="FK459" s="338"/>
      <c r="FL459" s="338"/>
      <c r="FM459" s="337"/>
      <c r="FN459" s="336"/>
      <c r="FO459" s="336"/>
      <c r="FP459" s="336"/>
      <c r="FQ459" s="336"/>
      <c r="FR459" s="336"/>
      <c r="FS459" s="336"/>
      <c r="FT459" s="336"/>
      <c r="FU459" s="336"/>
      <c r="FV459" s="336"/>
      <c r="FW459" s="337"/>
      <c r="FX459" s="532"/>
      <c r="FY459" s="341"/>
      <c r="FZ459" s="341"/>
      <c r="GA459" s="336"/>
      <c r="GB459" s="341"/>
      <c r="GC459" s="341"/>
      <c r="GD459" s="341"/>
      <c r="GE459" s="336"/>
      <c r="GF459" s="336"/>
      <c r="GG459" s="336"/>
      <c r="GH459" s="336"/>
      <c r="GI459" s="336"/>
      <c r="GJ459" s="337"/>
      <c r="GM459" s="338"/>
      <c r="GN459" s="338"/>
      <c r="GO459" s="338"/>
      <c r="GS459" s="338"/>
      <c r="GT459" s="338"/>
      <c r="GU459" s="338"/>
      <c r="GY459" s="338"/>
      <c r="GZ459" s="338"/>
      <c r="HA459" s="338"/>
      <c r="HE459" s="338"/>
      <c r="HF459" s="338"/>
      <c r="HG459" s="338"/>
      <c r="HN459" s="68"/>
      <c r="HO459" s="68"/>
      <c r="HP459" s="68"/>
      <c r="HQ459" s="336"/>
      <c r="HR459" s="68"/>
      <c r="HS459" s="68"/>
      <c r="HT459" s="10"/>
      <c r="HW459" s="338"/>
      <c r="HX459" s="338"/>
      <c r="HY459" s="338"/>
      <c r="IC459" s="338"/>
      <c r="ID459" s="338"/>
      <c r="IE459" s="338"/>
      <c r="II459" s="338"/>
      <c r="IJ459" s="338"/>
      <c r="IK459" s="338"/>
      <c r="IO459" s="338"/>
      <c r="IP459" s="338"/>
      <c r="IQ459" s="338"/>
      <c r="IX459" s="68"/>
      <c r="IY459" s="68"/>
      <c r="IZ459" s="68"/>
      <c r="JA459" s="68"/>
      <c r="JB459" s="68"/>
      <c r="JC459" s="68"/>
      <c r="JD459" s="10"/>
      <c r="JG459" s="338"/>
      <c r="JH459" s="338"/>
      <c r="JI459" s="338"/>
      <c r="JM459" s="338"/>
      <c r="JN459" s="338"/>
      <c r="JQ459" s="338"/>
      <c r="JR459" s="338"/>
      <c r="JS459" s="338"/>
      <c r="JW459" s="358"/>
      <c r="JX459" s="336"/>
      <c r="JY459" s="336"/>
      <c r="JZ459" s="336"/>
      <c r="KA459" s="336"/>
      <c r="KB459" s="336"/>
      <c r="KC459" s="336"/>
      <c r="KD459" s="336"/>
      <c r="KE459" s="336"/>
      <c r="KF459" s="336"/>
      <c r="KG459" s="337"/>
      <c r="KH459" s="338"/>
      <c r="KI459" s="338"/>
      <c r="KJ459" s="338"/>
      <c r="KK459" s="338"/>
      <c r="KL459" s="338"/>
      <c r="KM459" s="338"/>
      <c r="KN459" s="338"/>
      <c r="KO459" s="338"/>
      <c r="KP459" s="338"/>
      <c r="KQ459" s="338"/>
      <c r="KR459" s="338"/>
      <c r="KS459" s="338"/>
      <c r="KT459" s="338"/>
      <c r="KU459" s="338"/>
      <c r="KV459" s="338"/>
      <c r="KW459" s="337"/>
      <c r="KX459" s="336"/>
      <c r="KY459" s="336"/>
      <c r="KZ459" s="336"/>
      <c r="LA459" s="336"/>
      <c r="LB459" s="336"/>
      <c r="LC459" s="336"/>
      <c r="LD459" s="336"/>
      <c r="LE459" s="336"/>
      <c r="LF459" s="336"/>
      <c r="LG459" s="336"/>
      <c r="LH459" s="336"/>
      <c r="LI459" s="336"/>
      <c r="LJ459" s="336"/>
      <c r="LK459" s="336"/>
      <c r="LL459" s="336"/>
      <c r="LM459" s="336"/>
      <c r="LN459" s="336"/>
      <c r="LO459" s="336"/>
      <c r="LP459" s="336"/>
      <c r="LQ459" s="337"/>
      <c r="MN459" s="10"/>
      <c r="OA459" s="10"/>
    </row>
    <row r="460" spans="1:391" s="370" customFormat="1" x14ac:dyDescent="0.25">
      <c r="A460" s="68"/>
      <c r="B460" s="10"/>
      <c r="C460" s="68"/>
      <c r="D460" s="68"/>
      <c r="E460" s="68"/>
      <c r="F460" s="68"/>
      <c r="G460" s="68"/>
      <c r="H460" s="68"/>
      <c r="I460" s="68"/>
      <c r="J460" s="68"/>
      <c r="K460" s="68"/>
      <c r="L460" s="68"/>
      <c r="M460" s="68"/>
      <c r="N460" s="68"/>
      <c r="O460" s="68"/>
      <c r="P460" s="68"/>
      <c r="Q460" s="68"/>
      <c r="R460" s="68"/>
      <c r="S460" s="68"/>
      <c r="T460" s="70"/>
      <c r="AC460" s="68"/>
      <c r="AD460" s="70"/>
      <c r="AM460" s="68"/>
      <c r="AN460" s="70"/>
      <c r="AU460" s="68"/>
      <c r="AV460" s="70"/>
      <c r="BB460" s="68"/>
      <c r="BC460" s="70"/>
      <c r="BD460" s="68"/>
      <c r="BE460" s="68"/>
      <c r="BF460" s="68"/>
      <c r="BG460" s="68"/>
      <c r="BH460" s="68"/>
      <c r="BI460" s="68"/>
      <c r="BJ460" s="70"/>
      <c r="BM460" s="68"/>
      <c r="BN460" s="70"/>
      <c r="BT460" s="68"/>
      <c r="BU460" s="70"/>
      <c r="BZ460" s="10"/>
      <c r="CF460" s="10"/>
      <c r="CI460" s="389"/>
      <c r="CJ460" s="389"/>
      <c r="CK460" s="68"/>
      <c r="CL460" s="70"/>
      <c r="CO460" s="10"/>
      <c r="CU460" s="10"/>
      <c r="DA460" s="10"/>
      <c r="DB460" s="70"/>
      <c r="DC460" s="70"/>
      <c r="DF460" s="68"/>
      <c r="DG460" s="70"/>
      <c r="DH460" s="68"/>
      <c r="DI460" s="386"/>
      <c r="DJ460" s="425"/>
      <c r="DL460" s="68"/>
      <c r="DM460" s="70"/>
      <c r="DQ460" s="68"/>
      <c r="DR460" s="70"/>
      <c r="DS460" s="338"/>
      <c r="DT460" s="338"/>
      <c r="DU460" s="338"/>
      <c r="DW460" s="338"/>
      <c r="DX460" s="338"/>
      <c r="DY460" s="338"/>
      <c r="EA460" s="338"/>
      <c r="EB460" s="338"/>
      <c r="EC460" s="338"/>
      <c r="EE460" s="338"/>
      <c r="EF460" s="338"/>
      <c r="EG460" s="338"/>
      <c r="EI460" s="336"/>
      <c r="EJ460" s="336"/>
      <c r="EK460" s="336"/>
      <c r="EL460" s="336"/>
      <c r="EM460" s="336"/>
      <c r="EN460" s="336"/>
      <c r="EO460" s="337"/>
      <c r="EP460" s="342"/>
      <c r="EQ460" s="336"/>
      <c r="ER460" s="342"/>
      <c r="ES460" s="336"/>
      <c r="ET460" s="342"/>
      <c r="EU460" s="336"/>
      <c r="EV460" s="342"/>
      <c r="EW460" s="336"/>
      <c r="EX460" s="342"/>
      <c r="EY460" s="342"/>
      <c r="EZ460" s="342"/>
      <c r="FA460" s="337"/>
      <c r="FE460" s="338"/>
      <c r="FH460" s="338"/>
      <c r="FI460" s="338"/>
      <c r="FJ460" s="338"/>
      <c r="FK460" s="338"/>
      <c r="FL460" s="338"/>
      <c r="FM460" s="337"/>
      <c r="FN460" s="336"/>
      <c r="FO460" s="336"/>
      <c r="FP460" s="336"/>
      <c r="FQ460" s="336"/>
      <c r="FR460" s="336"/>
      <c r="FS460" s="336"/>
      <c r="FT460" s="336"/>
      <c r="FU460" s="336"/>
      <c r="FV460" s="336"/>
      <c r="FW460" s="337"/>
      <c r="FX460" s="532"/>
      <c r="FY460" s="341"/>
      <c r="FZ460" s="341"/>
      <c r="GA460" s="336"/>
      <c r="GB460" s="341"/>
      <c r="GC460" s="341"/>
      <c r="GD460" s="341"/>
      <c r="GE460" s="336"/>
      <c r="GF460" s="336"/>
      <c r="GG460" s="336"/>
      <c r="GH460" s="336"/>
      <c r="GI460" s="336"/>
      <c r="GJ460" s="337"/>
      <c r="GM460" s="338"/>
      <c r="GN460" s="338"/>
      <c r="GO460" s="338"/>
      <c r="GS460" s="338"/>
      <c r="GT460" s="338"/>
      <c r="GU460" s="338"/>
      <c r="GY460" s="338"/>
      <c r="GZ460" s="338"/>
      <c r="HA460" s="338"/>
      <c r="HE460" s="338"/>
      <c r="HF460" s="338"/>
      <c r="HG460" s="338"/>
      <c r="HN460" s="68"/>
      <c r="HO460" s="68"/>
      <c r="HP460" s="68"/>
      <c r="HQ460" s="336"/>
      <c r="HR460" s="68"/>
      <c r="HS460" s="68"/>
      <c r="HT460" s="10"/>
      <c r="HW460" s="338"/>
      <c r="HX460" s="338"/>
      <c r="HY460" s="338"/>
      <c r="IC460" s="338"/>
      <c r="ID460" s="338"/>
      <c r="IE460" s="338"/>
      <c r="II460" s="338"/>
      <c r="IJ460" s="338"/>
      <c r="IK460" s="338"/>
      <c r="IO460" s="338"/>
      <c r="IP460" s="338"/>
      <c r="IQ460" s="338"/>
      <c r="IX460" s="68"/>
      <c r="IY460" s="68"/>
      <c r="IZ460" s="68"/>
      <c r="JA460" s="68"/>
      <c r="JB460" s="68"/>
      <c r="JC460" s="68"/>
      <c r="JD460" s="10"/>
      <c r="JG460" s="338"/>
      <c r="JH460" s="338"/>
      <c r="JI460" s="338"/>
      <c r="JM460" s="338"/>
      <c r="JN460" s="338"/>
      <c r="JQ460" s="338"/>
      <c r="JR460" s="338"/>
      <c r="JS460" s="338"/>
      <c r="JW460" s="358"/>
      <c r="JX460" s="336"/>
      <c r="JY460" s="336"/>
      <c r="JZ460" s="336"/>
      <c r="KA460" s="336"/>
      <c r="KB460" s="336"/>
      <c r="KC460" s="336"/>
      <c r="KD460" s="336"/>
      <c r="KE460" s="336"/>
      <c r="KF460" s="336"/>
      <c r="KG460" s="337"/>
      <c r="KH460" s="338"/>
      <c r="KI460" s="338"/>
      <c r="KJ460" s="338"/>
      <c r="KK460" s="338"/>
      <c r="KL460" s="338"/>
      <c r="KM460" s="338"/>
      <c r="KN460" s="338"/>
      <c r="KO460" s="338"/>
      <c r="KP460" s="338"/>
      <c r="KQ460" s="338"/>
      <c r="KR460" s="338"/>
      <c r="KS460" s="338"/>
      <c r="KT460" s="338"/>
      <c r="KU460" s="338"/>
      <c r="KV460" s="338"/>
      <c r="KW460" s="337"/>
      <c r="KX460" s="336"/>
      <c r="KY460" s="336"/>
      <c r="KZ460" s="336"/>
      <c r="LA460" s="336"/>
      <c r="LB460" s="336"/>
      <c r="LC460" s="336"/>
      <c r="LD460" s="336"/>
      <c r="LE460" s="336"/>
      <c r="LF460" s="336"/>
      <c r="LG460" s="336"/>
      <c r="LH460" s="336"/>
      <c r="LI460" s="336"/>
      <c r="LJ460" s="336"/>
      <c r="LK460" s="336"/>
      <c r="LL460" s="336"/>
      <c r="LM460" s="336"/>
      <c r="LN460" s="336"/>
      <c r="LO460" s="336"/>
      <c r="LP460" s="336"/>
      <c r="LQ460" s="337"/>
      <c r="MN460" s="10"/>
      <c r="OA460" s="10"/>
    </row>
    <row r="461" spans="1:391" s="370" customFormat="1" x14ac:dyDescent="0.25">
      <c r="A461" s="68"/>
      <c r="B461" s="10"/>
      <c r="C461" s="68"/>
      <c r="D461" s="68"/>
      <c r="E461" s="68"/>
      <c r="F461" s="68"/>
      <c r="G461" s="68"/>
      <c r="H461" s="68"/>
      <c r="I461" s="68"/>
      <c r="J461" s="68"/>
      <c r="K461" s="68"/>
      <c r="L461" s="68"/>
      <c r="M461" s="68"/>
      <c r="N461" s="68"/>
      <c r="O461" s="68"/>
      <c r="P461" s="68"/>
      <c r="Q461" s="68"/>
      <c r="R461" s="68"/>
      <c r="S461" s="68"/>
      <c r="T461" s="70"/>
      <c r="AC461" s="68"/>
      <c r="AD461" s="70"/>
      <c r="AM461" s="68"/>
      <c r="AN461" s="70"/>
      <c r="AU461" s="68"/>
      <c r="AV461" s="70"/>
      <c r="BB461" s="68"/>
      <c r="BC461" s="70"/>
      <c r="BD461" s="68"/>
      <c r="BE461" s="68"/>
      <c r="BF461" s="68"/>
      <c r="BG461" s="68"/>
      <c r="BH461" s="68"/>
      <c r="BI461" s="68"/>
      <c r="BJ461" s="70"/>
      <c r="BM461" s="68"/>
      <c r="BN461" s="70"/>
      <c r="BT461" s="68"/>
      <c r="BU461" s="70"/>
      <c r="BZ461" s="10"/>
      <c r="CF461" s="10"/>
      <c r="CI461" s="389"/>
      <c r="CJ461" s="389"/>
      <c r="CK461" s="68"/>
      <c r="CL461" s="70"/>
      <c r="CO461" s="10"/>
      <c r="CU461" s="10"/>
      <c r="DA461" s="10"/>
      <c r="DB461" s="70"/>
      <c r="DC461" s="70"/>
      <c r="DF461" s="68"/>
      <c r="DG461" s="70"/>
      <c r="DH461" s="68"/>
      <c r="DI461" s="386"/>
      <c r="DJ461" s="425"/>
      <c r="DL461" s="68"/>
      <c r="DM461" s="70"/>
      <c r="DQ461" s="68"/>
      <c r="DR461" s="70"/>
      <c r="DS461" s="338"/>
      <c r="DT461" s="338"/>
      <c r="DU461" s="338"/>
      <c r="DW461" s="338"/>
      <c r="DX461" s="338"/>
      <c r="DY461" s="338"/>
      <c r="EA461" s="338"/>
      <c r="EB461" s="338"/>
      <c r="EC461" s="338"/>
      <c r="EE461" s="338"/>
      <c r="EF461" s="338"/>
      <c r="EG461" s="338"/>
      <c r="EI461" s="336"/>
      <c r="EJ461" s="336"/>
      <c r="EK461" s="336"/>
      <c r="EL461" s="336"/>
      <c r="EM461" s="336"/>
      <c r="EN461" s="336"/>
      <c r="EO461" s="337"/>
      <c r="EP461" s="342"/>
      <c r="EQ461" s="336"/>
      <c r="ER461" s="342"/>
      <c r="ES461" s="336"/>
      <c r="ET461" s="342"/>
      <c r="EU461" s="336"/>
      <c r="EV461" s="342"/>
      <c r="EW461" s="336"/>
      <c r="EX461" s="342"/>
      <c r="EY461" s="342"/>
      <c r="EZ461" s="342"/>
      <c r="FA461" s="337"/>
      <c r="FE461" s="338"/>
      <c r="FH461" s="338"/>
      <c r="FI461" s="338"/>
      <c r="FJ461" s="338"/>
      <c r="FK461" s="338"/>
      <c r="FL461" s="338"/>
      <c r="FM461" s="337"/>
      <c r="FN461" s="336"/>
      <c r="FO461" s="336"/>
      <c r="FP461" s="336"/>
      <c r="FQ461" s="336"/>
      <c r="FR461" s="336"/>
      <c r="FS461" s="336"/>
      <c r="FT461" s="336"/>
      <c r="FU461" s="336"/>
      <c r="FV461" s="336"/>
      <c r="FW461" s="337"/>
      <c r="FX461" s="532"/>
      <c r="FY461" s="341"/>
      <c r="FZ461" s="341"/>
      <c r="GA461" s="336"/>
      <c r="GB461" s="341"/>
      <c r="GC461" s="341"/>
      <c r="GD461" s="341"/>
      <c r="GE461" s="336"/>
      <c r="GF461" s="336"/>
      <c r="GG461" s="336"/>
      <c r="GH461" s="336"/>
      <c r="GI461" s="336"/>
      <c r="GJ461" s="337"/>
      <c r="GM461" s="338"/>
      <c r="GN461" s="338"/>
      <c r="GO461" s="338"/>
      <c r="GS461" s="338"/>
      <c r="GT461" s="338"/>
      <c r="GU461" s="338"/>
      <c r="GY461" s="338"/>
      <c r="GZ461" s="338"/>
      <c r="HA461" s="338"/>
      <c r="HE461" s="338"/>
      <c r="HF461" s="338"/>
      <c r="HG461" s="338"/>
      <c r="HN461" s="68"/>
      <c r="HO461" s="68"/>
      <c r="HP461" s="68"/>
      <c r="HQ461" s="336"/>
      <c r="HR461" s="68"/>
      <c r="HS461" s="68"/>
      <c r="HT461" s="10"/>
      <c r="HW461" s="338"/>
      <c r="HX461" s="338"/>
      <c r="HY461" s="338"/>
      <c r="IC461" s="338"/>
      <c r="ID461" s="338"/>
      <c r="IE461" s="338"/>
      <c r="II461" s="338"/>
      <c r="IJ461" s="338"/>
      <c r="IK461" s="338"/>
      <c r="IO461" s="338"/>
      <c r="IP461" s="338"/>
      <c r="IQ461" s="338"/>
      <c r="IX461" s="68"/>
      <c r="IY461" s="68"/>
      <c r="IZ461" s="68"/>
      <c r="JA461" s="68"/>
      <c r="JB461" s="68"/>
      <c r="JC461" s="68"/>
      <c r="JD461" s="10"/>
      <c r="JG461" s="338"/>
      <c r="JH461" s="338"/>
      <c r="JI461" s="338"/>
      <c r="JM461" s="338"/>
      <c r="JN461" s="338"/>
      <c r="JQ461" s="338"/>
      <c r="JR461" s="338"/>
      <c r="JS461" s="338"/>
      <c r="JW461" s="358"/>
      <c r="JX461" s="336"/>
      <c r="JY461" s="336"/>
      <c r="JZ461" s="336"/>
      <c r="KA461" s="336"/>
      <c r="KB461" s="336"/>
      <c r="KC461" s="336"/>
      <c r="KD461" s="336"/>
      <c r="KE461" s="336"/>
      <c r="KF461" s="336"/>
      <c r="KG461" s="337"/>
      <c r="KH461" s="338"/>
      <c r="KI461" s="338"/>
      <c r="KJ461" s="338"/>
      <c r="KK461" s="338"/>
      <c r="KL461" s="338"/>
      <c r="KM461" s="338"/>
      <c r="KN461" s="338"/>
      <c r="KO461" s="338"/>
      <c r="KP461" s="338"/>
      <c r="KQ461" s="338"/>
      <c r="KR461" s="338"/>
      <c r="KS461" s="338"/>
      <c r="KT461" s="338"/>
      <c r="KU461" s="338"/>
      <c r="KV461" s="338"/>
      <c r="KW461" s="337"/>
      <c r="KX461" s="336"/>
      <c r="KY461" s="336"/>
      <c r="KZ461" s="336"/>
      <c r="LA461" s="336"/>
      <c r="LB461" s="336"/>
      <c r="LC461" s="336"/>
      <c r="LD461" s="336"/>
      <c r="LE461" s="336"/>
      <c r="LF461" s="336"/>
      <c r="LG461" s="336"/>
      <c r="LH461" s="336"/>
      <c r="LI461" s="336"/>
      <c r="LJ461" s="336"/>
      <c r="LK461" s="336"/>
      <c r="LL461" s="336"/>
      <c r="LM461" s="336"/>
      <c r="LN461" s="336"/>
      <c r="LO461" s="336"/>
      <c r="LP461" s="336"/>
      <c r="LQ461" s="337"/>
      <c r="MN461" s="10"/>
      <c r="OA461" s="10"/>
    </row>
    <row r="462" spans="1:391" s="370" customFormat="1" x14ac:dyDescent="0.25">
      <c r="A462" s="68"/>
      <c r="B462" s="10"/>
      <c r="C462" s="68"/>
      <c r="D462" s="68"/>
      <c r="E462" s="68"/>
      <c r="F462" s="68"/>
      <c r="G462" s="68"/>
      <c r="H462" s="68"/>
      <c r="I462" s="68"/>
      <c r="J462" s="68"/>
      <c r="K462" s="68"/>
      <c r="L462" s="68"/>
      <c r="M462" s="68"/>
      <c r="N462" s="68"/>
      <c r="O462" s="68"/>
      <c r="P462" s="68"/>
      <c r="Q462" s="68"/>
      <c r="R462" s="68"/>
      <c r="S462" s="68"/>
      <c r="T462" s="70"/>
      <c r="AC462" s="68"/>
      <c r="AD462" s="70"/>
      <c r="AM462" s="68"/>
      <c r="AN462" s="70"/>
      <c r="AU462" s="68"/>
      <c r="AV462" s="70"/>
      <c r="BB462" s="68"/>
      <c r="BC462" s="70"/>
      <c r="BD462" s="68"/>
      <c r="BE462" s="68"/>
      <c r="BF462" s="68"/>
      <c r="BG462" s="68"/>
      <c r="BH462" s="68"/>
      <c r="BI462" s="68"/>
      <c r="BJ462" s="70"/>
      <c r="BM462" s="68"/>
      <c r="BN462" s="70"/>
      <c r="BT462" s="68"/>
      <c r="BU462" s="70"/>
      <c r="BZ462" s="10"/>
      <c r="CF462" s="10"/>
      <c r="CI462" s="389"/>
      <c r="CJ462" s="389"/>
      <c r="CK462" s="68"/>
      <c r="CL462" s="70"/>
      <c r="CO462" s="10"/>
      <c r="CU462" s="10"/>
      <c r="DA462" s="10"/>
      <c r="DB462" s="70"/>
      <c r="DC462" s="70"/>
      <c r="DF462" s="68"/>
      <c r="DG462" s="70"/>
      <c r="DH462" s="68"/>
      <c r="DI462" s="386"/>
      <c r="DJ462" s="425"/>
      <c r="DL462" s="68"/>
      <c r="DM462" s="70"/>
      <c r="DQ462" s="68"/>
      <c r="DR462" s="70"/>
      <c r="DS462" s="338"/>
      <c r="DT462" s="338"/>
      <c r="DU462" s="338"/>
      <c r="DW462" s="338"/>
      <c r="DX462" s="338"/>
      <c r="DY462" s="338"/>
      <c r="EA462" s="338"/>
      <c r="EB462" s="338"/>
      <c r="EC462" s="338"/>
      <c r="EE462" s="338"/>
      <c r="EF462" s="338"/>
      <c r="EG462" s="338"/>
      <c r="EI462" s="336"/>
      <c r="EJ462" s="336"/>
      <c r="EK462" s="336"/>
      <c r="EL462" s="336"/>
      <c r="EM462" s="336"/>
      <c r="EN462" s="336"/>
      <c r="EO462" s="337"/>
      <c r="EP462" s="342"/>
      <c r="EQ462" s="336"/>
      <c r="ER462" s="342"/>
      <c r="ES462" s="336"/>
      <c r="ET462" s="342"/>
      <c r="EU462" s="336"/>
      <c r="EV462" s="342"/>
      <c r="EW462" s="336"/>
      <c r="EX462" s="342"/>
      <c r="EY462" s="342"/>
      <c r="EZ462" s="342"/>
      <c r="FA462" s="337"/>
      <c r="FE462" s="338"/>
      <c r="FH462" s="338"/>
      <c r="FI462" s="338"/>
      <c r="FJ462" s="338"/>
      <c r="FK462" s="338"/>
      <c r="FL462" s="338"/>
      <c r="FM462" s="337"/>
      <c r="FN462" s="336"/>
      <c r="FO462" s="336"/>
      <c r="FP462" s="336"/>
      <c r="FQ462" s="336"/>
      <c r="FR462" s="336"/>
      <c r="FS462" s="336"/>
      <c r="FT462" s="336"/>
      <c r="FU462" s="336"/>
      <c r="FV462" s="336"/>
      <c r="FW462" s="337"/>
      <c r="FX462" s="532"/>
      <c r="FY462" s="341"/>
      <c r="FZ462" s="341"/>
      <c r="GA462" s="336"/>
      <c r="GB462" s="341"/>
      <c r="GC462" s="341"/>
      <c r="GD462" s="341"/>
      <c r="GE462" s="336"/>
      <c r="GF462" s="336"/>
      <c r="GG462" s="336"/>
      <c r="GH462" s="336"/>
      <c r="GI462" s="336"/>
      <c r="GJ462" s="337"/>
      <c r="GM462" s="338"/>
      <c r="GN462" s="338"/>
      <c r="GO462" s="338"/>
      <c r="GS462" s="338"/>
      <c r="GT462" s="338"/>
      <c r="GU462" s="338"/>
      <c r="GY462" s="338"/>
      <c r="GZ462" s="338"/>
      <c r="HA462" s="338"/>
      <c r="HE462" s="338"/>
      <c r="HF462" s="338"/>
      <c r="HG462" s="338"/>
      <c r="HN462" s="68"/>
      <c r="HO462" s="68"/>
      <c r="HP462" s="68"/>
      <c r="HQ462" s="336"/>
      <c r="HR462" s="68"/>
      <c r="HS462" s="68"/>
      <c r="HT462" s="10"/>
      <c r="HW462" s="338"/>
      <c r="HX462" s="338"/>
      <c r="HY462" s="338"/>
      <c r="IC462" s="338"/>
      <c r="ID462" s="338"/>
      <c r="IE462" s="338"/>
      <c r="II462" s="338"/>
      <c r="IJ462" s="338"/>
      <c r="IK462" s="338"/>
      <c r="IO462" s="338"/>
      <c r="IP462" s="338"/>
      <c r="IQ462" s="338"/>
      <c r="IX462" s="68"/>
      <c r="IY462" s="68"/>
      <c r="IZ462" s="68"/>
      <c r="JA462" s="68"/>
      <c r="JB462" s="68"/>
      <c r="JC462" s="68"/>
      <c r="JD462" s="10"/>
      <c r="JG462" s="338"/>
      <c r="JH462" s="338"/>
      <c r="JI462" s="338"/>
      <c r="JM462" s="338"/>
      <c r="JN462" s="338"/>
      <c r="JQ462" s="338"/>
      <c r="JR462" s="338"/>
      <c r="JS462" s="338"/>
      <c r="JW462" s="358"/>
      <c r="JX462" s="336"/>
      <c r="JY462" s="336"/>
      <c r="JZ462" s="336"/>
      <c r="KA462" s="336"/>
      <c r="KB462" s="336"/>
      <c r="KC462" s="336"/>
      <c r="KD462" s="336"/>
      <c r="KE462" s="336"/>
      <c r="KF462" s="336"/>
      <c r="KG462" s="337"/>
      <c r="KH462" s="338"/>
      <c r="KI462" s="338"/>
      <c r="KJ462" s="338"/>
      <c r="KK462" s="338"/>
      <c r="KL462" s="338"/>
      <c r="KM462" s="338"/>
      <c r="KN462" s="338"/>
      <c r="KO462" s="338"/>
      <c r="KP462" s="338"/>
      <c r="KQ462" s="338"/>
      <c r="KR462" s="338"/>
      <c r="KS462" s="338"/>
      <c r="KT462" s="338"/>
      <c r="KU462" s="338"/>
      <c r="KV462" s="338"/>
      <c r="KW462" s="337"/>
      <c r="KX462" s="336"/>
      <c r="KY462" s="336"/>
      <c r="KZ462" s="336"/>
      <c r="LA462" s="336"/>
      <c r="LB462" s="336"/>
      <c r="LC462" s="336"/>
      <c r="LD462" s="336"/>
      <c r="LE462" s="336"/>
      <c r="LF462" s="336"/>
      <c r="LG462" s="336"/>
      <c r="LH462" s="336"/>
      <c r="LI462" s="336"/>
      <c r="LJ462" s="336"/>
      <c r="LK462" s="336"/>
      <c r="LL462" s="336"/>
      <c r="LM462" s="336"/>
      <c r="LN462" s="336"/>
      <c r="LO462" s="336"/>
      <c r="LP462" s="336"/>
      <c r="LQ462" s="337"/>
      <c r="MN462" s="10"/>
      <c r="OA462" s="10"/>
    </row>
    <row r="463" spans="1:391" s="370" customFormat="1" x14ac:dyDescent="0.25">
      <c r="A463" s="68"/>
      <c r="B463" s="10"/>
      <c r="C463" s="68"/>
      <c r="D463" s="68"/>
      <c r="E463" s="68"/>
      <c r="F463" s="68"/>
      <c r="G463" s="68"/>
      <c r="H463" s="68"/>
      <c r="I463" s="68"/>
      <c r="J463" s="68"/>
      <c r="K463" s="68"/>
      <c r="L463" s="68"/>
      <c r="M463" s="68"/>
      <c r="N463" s="68"/>
      <c r="O463" s="68"/>
      <c r="P463" s="68"/>
      <c r="Q463" s="68"/>
      <c r="R463" s="68"/>
      <c r="S463" s="68"/>
      <c r="T463" s="70"/>
      <c r="AC463" s="68"/>
      <c r="AD463" s="70"/>
      <c r="AM463" s="68"/>
      <c r="AN463" s="70"/>
      <c r="AU463" s="68"/>
      <c r="AV463" s="70"/>
      <c r="BB463" s="68"/>
      <c r="BC463" s="70"/>
      <c r="BD463" s="68"/>
      <c r="BE463" s="68"/>
      <c r="BF463" s="68"/>
      <c r="BG463" s="68"/>
      <c r="BH463" s="68"/>
      <c r="BI463" s="68"/>
      <c r="BJ463" s="70"/>
      <c r="BM463" s="68"/>
      <c r="BN463" s="70"/>
      <c r="BT463" s="68"/>
      <c r="BU463" s="70"/>
      <c r="BZ463" s="10"/>
      <c r="CF463" s="10"/>
      <c r="CI463" s="389"/>
      <c r="CJ463" s="389"/>
      <c r="CK463" s="68"/>
      <c r="CL463" s="70"/>
      <c r="CO463" s="10"/>
      <c r="CU463" s="10"/>
      <c r="DA463" s="10"/>
      <c r="DB463" s="70"/>
      <c r="DC463" s="70"/>
      <c r="DF463" s="68"/>
      <c r="DG463" s="70"/>
      <c r="DH463" s="68"/>
      <c r="DI463" s="386"/>
      <c r="DJ463" s="425"/>
      <c r="DL463" s="68"/>
      <c r="DM463" s="70"/>
      <c r="DQ463" s="68"/>
      <c r="DR463" s="70"/>
      <c r="DS463" s="338"/>
      <c r="DT463" s="338"/>
      <c r="DU463" s="338"/>
      <c r="DW463" s="338"/>
      <c r="DX463" s="338"/>
      <c r="DY463" s="338"/>
      <c r="EA463" s="338"/>
      <c r="EB463" s="338"/>
      <c r="EC463" s="338"/>
      <c r="EE463" s="338"/>
      <c r="EF463" s="338"/>
      <c r="EG463" s="338"/>
      <c r="EI463" s="336"/>
      <c r="EJ463" s="336"/>
      <c r="EK463" s="336"/>
      <c r="EL463" s="336"/>
      <c r="EM463" s="336"/>
      <c r="EN463" s="336"/>
      <c r="EO463" s="337"/>
      <c r="EP463" s="342"/>
      <c r="EQ463" s="336"/>
      <c r="ER463" s="342"/>
      <c r="ES463" s="336"/>
      <c r="ET463" s="342"/>
      <c r="EU463" s="336"/>
      <c r="EV463" s="342"/>
      <c r="EW463" s="336"/>
      <c r="EX463" s="342"/>
      <c r="EY463" s="342"/>
      <c r="EZ463" s="342"/>
      <c r="FA463" s="337"/>
      <c r="FE463" s="338"/>
      <c r="FH463" s="338"/>
      <c r="FI463" s="338"/>
      <c r="FJ463" s="338"/>
      <c r="FK463" s="338"/>
      <c r="FL463" s="338"/>
      <c r="FM463" s="337"/>
      <c r="FN463" s="336"/>
      <c r="FO463" s="336"/>
      <c r="FP463" s="336"/>
      <c r="FQ463" s="336"/>
      <c r="FR463" s="336"/>
      <c r="FS463" s="336"/>
      <c r="FT463" s="336"/>
      <c r="FU463" s="336"/>
      <c r="FV463" s="336"/>
      <c r="FW463" s="337"/>
      <c r="FX463" s="532"/>
      <c r="FY463" s="341"/>
      <c r="FZ463" s="341"/>
      <c r="GA463" s="336"/>
      <c r="GB463" s="341"/>
      <c r="GC463" s="341"/>
      <c r="GD463" s="341"/>
      <c r="GE463" s="336"/>
      <c r="GF463" s="336"/>
      <c r="GG463" s="336"/>
      <c r="GH463" s="336"/>
      <c r="GI463" s="336"/>
      <c r="GJ463" s="337"/>
      <c r="GM463" s="338"/>
      <c r="GN463" s="338"/>
      <c r="GO463" s="338"/>
      <c r="GS463" s="338"/>
      <c r="GT463" s="338"/>
      <c r="GU463" s="338"/>
      <c r="GY463" s="338"/>
      <c r="GZ463" s="338"/>
      <c r="HA463" s="338"/>
      <c r="HE463" s="338"/>
      <c r="HF463" s="338"/>
      <c r="HG463" s="338"/>
      <c r="HN463" s="68"/>
      <c r="HO463" s="68"/>
      <c r="HP463" s="68"/>
      <c r="HQ463" s="336"/>
      <c r="HR463" s="68"/>
      <c r="HS463" s="68"/>
      <c r="HT463" s="10"/>
      <c r="HW463" s="338"/>
      <c r="HX463" s="338"/>
      <c r="HY463" s="338"/>
      <c r="IC463" s="338"/>
      <c r="ID463" s="338"/>
      <c r="IE463" s="338"/>
      <c r="II463" s="338"/>
      <c r="IJ463" s="338"/>
      <c r="IK463" s="338"/>
      <c r="IO463" s="338"/>
      <c r="IP463" s="338"/>
      <c r="IQ463" s="338"/>
      <c r="IX463" s="68"/>
      <c r="IY463" s="68"/>
      <c r="IZ463" s="68"/>
      <c r="JA463" s="68"/>
      <c r="JB463" s="68"/>
      <c r="JC463" s="68"/>
      <c r="JD463" s="10"/>
      <c r="JG463" s="338"/>
      <c r="JH463" s="338"/>
      <c r="JI463" s="338"/>
      <c r="JM463" s="338"/>
      <c r="JN463" s="338"/>
      <c r="JQ463" s="338"/>
      <c r="JR463" s="338"/>
      <c r="JS463" s="338"/>
      <c r="JW463" s="358"/>
      <c r="JX463" s="336"/>
      <c r="JY463" s="336"/>
      <c r="JZ463" s="336"/>
      <c r="KA463" s="336"/>
      <c r="KB463" s="336"/>
      <c r="KC463" s="336"/>
      <c r="KD463" s="336"/>
      <c r="KE463" s="336"/>
      <c r="KF463" s="336"/>
      <c r="KG463" s="337"/>
      <c r="KH463" s="338"/>
      <c r="KI463" s="338"/>
      <c r="KJ463" s="338"/>
      <c r="KK463" s="338"/>
      <c r="KL463" s="338"/>
      <c r="KM463" s="338"/>
      <c r="KN463" s="338"/>
      <c r="KO463" s="338"/>
      <c r="KP463" s="338"/>
      <c r="KQ463" s="338"/>
      <c r="KR463" s="338"/>
      <c r="KS463" s="338"/>
      <c r="KT463" s="338"/>
      <c r="KU463" s="338"/>
      <c r="KV463" s="338"/>
      <c r="KW463" s="337"/>
      <c r="KX463" s="336"/>
      <c r="KY463" s="336"/>
      <c r="KZ463" s="336"/>
      <c r="LA463" s="336"/>
      <c r="LB463" s="336"/>
      <c r="LC463" s="336"/>
      <c r="LD463" s="336"/>
      <c r="LE463" s="336"/>
      <c r="LF463" s="336"/>
      <c r="LG463" s="336"/>
      <c r="LH463" s="336"/>
      <c r="LI463" s="336"/>
      <c r="LJ463" s="336"/>
      <c r="LK463" s="336"/>
      <c r="LL463" s="336"/>
      <c r="LM463" s="336"/>
      <c r="LN463" s="336"/>
      <c r="LO463" s="336"/>
      <c r="LP463" s="336"/>
      <c r="LQ463" s="337"/>
      <c r="MN463" s="10"/>
      <c r="OA463" s="10"/>
    </row>
    <row r="464" spans="1:391" s="370" customFormat="1" x14ac:dyDescent="0.25">
      <c r="A464" s="68"/>
      <c r="B464" s="10"/>
      <c r="C464" s="68"/>
      <c r="D464" s="68"/>
      <c r="E464" s="68"/>
      <c r="F464" s="68"/>
      <c r="G464" s="68"/>
      <c r="H464" s="68"/>
      <c r="I464" s="68"/>
      <c r="J464" s="68"/>
      <c r="K464" s="68"/>
      <c r="L464" s="68"/>
      <c r="M464" s="68"/>
      <c r="N464" s="68"/>
      <c r="O464" s="68"/>
      <c r="P464" s="68"/>
      <c r="Q464" s="68"/>
      <c r="R464" s="68"/>
      <c r="S464" s="68"/>
      <c r="T464" s="70"/>
      <c r="AC464" s="68"/>
      <c r="AD464" s="70"/>
      <c r="AM464" s="68"/>
      <c r="AN464" s="70"/>
      <c r="AU464" s="68"/>
      <c r="AV464" s="70"/>
      <c r="BB464" s="68"/>
      <c r="BC464" s="70"/>
      <c r="BD464" s="68"/>
      <c r="BE464" s="68"/>
      <c r="BF464" s="68"/>
      <c r="BG464" s="68"/>
      <c r="BH464" s="68"/>
      <c r="BI464" s="68"/>
      <c r="BJ464" s="70"/>
      <c r="BM464" s="68"/>
      <c r="BN464" s="70"/>
      <c r="BT464" s="68"/>
      <c r="BU464" s="70"/>
      <c r="BZ464" s="10"/>
      <c r="CF464" s="10"/>
      <c r="CI464" s="389"/>
      <c r="CJ464" s="389"/>
      <c r="CK464" s="68"/>
      <c r="CL464" s="70"/>
      <c r="CO464" s="10"/>
      <c r="CU464" s="10"/>
      <c r="DA464" s="10"/>
      <c r="DB464" s="70"/>
      <c r="DC464" s="70"/>
      <c r="DF464" s="68"/>
      <c r="DG464" s="70"/>
      <c r="DH464" s="68"/>
      <c r="DI464" s="386"/>
      <c r="DJ464" s="425"/>
      <c r="DL464" s="68"/>
      <c r="DM464" s="70"/>
      <c r="DQ464" s="68"/>
      <c r="DR464" s="70"/>
      <c r="DS464" s="338"/>
      <c r="DT464" s="338"/>
      <c r="DU464" s="338"/>
      <c r="DW464" s="338"/>
      <c r="DX464" s="338"/>
      <c r="DY464" s="338"/>
      <c r="EA464" s="338"/>
      <c r="EB464" s="338"/>
      <c r="EC464" s="338"/>
      <c r="EE464" s="338"/>
      <c r="EF464" s="338"/>
      <c r="EG464" s="338"/>
      <c r="EI464" s="336"/>
      <c r="EJ464" s="336"/>
      <c r="EK464" s="336"/>
      <c r="EL464" s="336"/>
      <c r="EM464" s="336"/>
      <c r="EN464" s="336"/>
      <c r="EO464" s="337"/>
      <c r="EP464" s="342"/>
      <c r="EQ464" s="336"/>
      <c r="ER464" s="342"/>
      <c r="ES464" s="336"/>
      <c r="ET464" s="342"/>
      <c r="EU464" s="336"/>
      <c r="EV464" s="342"/>
      <c r="EW464" s="336"/>
      <c r="EX464" s="342"/>
      <c r="EY464" s="342"/>
      <c r="EZ464" s="342"/>
      <c r="FA464" s="337"/>
      <c r="FE464" s="338"/>
      <c r="FH464" s="338"/>
      <c r="FI464" s="338"/>
      <c r="FJ464" s="338"/>
      <c r="FK464" s="338"/>
      <c r="FL464" s="338"/>
      <c r="FM464" s="337"/>
      <c r="FN464" s="336"/>
      <c r="FO464" s="336"/>
      <c r="FP464" s="336"/>
      <c r="FQ464" s="336"/>
      <c r="FR464" s="336"/>
      <c r="FS464" s="336"/>
      <c r="FT464" s="336"/>
      <c r="FU464" s="336"/>
      <c r="FV464" s="336"/>
      <c r="FW464" s="337"/>
      <c r="FX464" s="532"/>
      <c r="FY464" s="341"/>
      <c r="FZ464" s="341"/>
      <c r="GA464" s="336"/>
      <c r="GB464" s="341"/>
      <c r="GC464" s="341"/>
      <c r="GD464" s="341"/>
      <c r="GE464" s="336"/>
      <c r="GF464" s="336"/>
      <c r="GG464" s="336"/>
      <c r="GH464" s="336"/>
      <c r="GI464" s="336"/>
      <c r="GJ464" s="337"/>
      <c r="GM464" s="338"/>
      <c r="GN464" s="338"/>
      <c r="GO464" s="338"/>
      <c r="GS464" s="338"/>
      <c r="GT464" s="338"/>
      <c r="GU464" s="338"/>
      <c r="GY464" s="338"/>
      <c r="GZ464" s="338"/>
      <c r="HA464" s="338"/>
      <c r="HE464" s="338"/>
      <c r="HF464" s="338"/>
      <c r="HG464" s="338"/>
      <c r="HN464" s="68"/>
      <c r="HO464" s="68"/>
      <c r="HP464" s="68"/>
      <c r="HQ464" s="336"/>
      <c r="HR464" s="68"/>
      <c r="HS464" s="68"/>
      <c r="HT464" s="10"/>
      <c r="HW464" s="338"/>
      <c r="HX464" s="338"/>
      <c r="HY464" s="338"/>
      <c r="IC464" s="338"/>
      <c r="ID464" s="338"/>
      <c r="IE464" s="338"/>
      <c r="II464" s="338"/>
      <c r="IJ464" s="338"/>
      <c r="IK464" s="338"/>
      <c r="IO464" s="338"/>
      <c r="IP464" s="338"/>
      <c r="IQ464" s="338"/>
      <c r="IX464" s="68"/>
      <c r="IY464" s="68"/>
      <c r="IZ464" s="68"/>
      <c r="JA464" s="68"/>
      <c r="JB464" s="68"/>
      <c r="JC464" s="68"/>
      <c r="JD464" s="10"/>
      <c r="JG464" s="338"/>
      <c r="JH464" s="338"/>
      <c r="JI464" s="338"/>
      <c r="JM464" s="338"/>
      <c r="JN464" s="338"/>
      <c r="JQ464" s="338"/>
      <c r="JR464" s="338"/>
      <c r="JS464" s="338"/>
      <c r="JW464" s="358"/>
      <c r="JX464" s="336"/>
      <c r="JY464" s="336"/>
      <c r="JZ464" s="336"/>
      <c r="KA464" s="336"/>
      <c r="KB464" s="336"/>
      <c r="KC464" s="336"/>
      <c r="KD464" s="336"/>
      <c r="KE464" s="336"/>
      <c r="KF464" s="336"/>
      <c r="KG464" s="337"/>
      <c r="KH464" s="338"/>
      <c r="KI464" s="338"/>
      <c r="KJ464" s="338"/>
      <c r="KK464" s="338"/>
      <c r="KL464" s="338"/>
      <c r="KM464" s="338"/>
      <c r="KN464" s="338"/>
      <c r="KO464" s="338"/>
      <c r="KP464" s="338"/>
      <c r="KQ464" s="338"/>
      <c r="KR464" s="338"/>
      <c r="KS464" s="338"/>
      <c r="KT464" s="338"/>
      <c r="KU464" s="338"/>
      <c r="KV464" s="338"/>
      <c r="KW464" s="337"/>
      <c r="KX464" s="336"/>
      <c r="KY464" s="336"/>
      <c r="KZ464" s="336"/>
      <c r="LA464" s="336"/>
      <c r="LB464" s="336"/>
      <c r="LC464" s="336"/>
      <c r="LD464" s="336"/>
      <c r="LE464" s="336"/>
      <c r="LF464" s="336"/>
      <c r="LG464" s="336"/>
      <c r="LH464" s="336"/>
      <c r="LI464" s="336"/>
      <c r="LJ464" s="336"/>
      <c r="LK464" s="336"/>
      <c r="LL464" s="336"/>
      <c r="LM464" s="336"/>
      <c r="LN464" s="336"/>
      <c r="LO464" s="336"/>
      <c r="LP464" s="336"/>
      <c r="LQ464" s="337"/>
      <c r="MN464" s="10"/>
      <c r="OA464" s="10"/>
    </row>
    <row r="465" spans="1:391" s="370" customFormat="1" x14ac:dyDescent="0.25">
      <c r="A465" s="68"/>
      <c r="B465" s="10"/>
      <c r="C465" s="68"/>
      <c r="D465" s="68"/>
      <c r="E465" s="68"/>
      <c r="F465" s="68"/>
      <c r="G465" s="68"/>
      <c r="H465" s="68"/>
      <c r="I465" s="68"/>
      <c r="J465" s="68"/>
      <c r="K465" s="68"/>
      <c r="L465" s="68"/>
      <c r="M465" s="68"/>
      <c r="N465" s="68"/>
      <c r="O465" s="68"/>
      <c r="P465" s="68"/>
      <c r="Q465" s="68"/>
      <c r="R465" s="68"/>
      <c r="S465" s="68"/>
      <c r="T465" s="70"/>
      <c r="AC465" s="68"/>
      <c r="AD465" s="70"/>
      <c r="AM465" s="68"/>
      <c r="AN465" s="70"/>
      <c r="AU465" s="68"/>
      <c r="AV465" s="70"/>
      <c r="BB465" s="68"/>
      <c r="BC465" s="70"/>
      <c r="BD465" s="68"/>
      <c r="BE465" s="68"/>
      <c r="BF465" s="68"/>
      <c r="BG465" s="68"/>
      <c r="BH465" s="68"/>
      <c r="BI465" s="68"/>
      <c r="BJ465" s="70"/>
      <c r="BM465" s="68"/>
      <c r="BN465" s="70"/>
      <c r="BT465" s="68"/>
      <c r="BU465" s="70"/>
      <c r="BZ465" s="10"/>
      <c r="CF465" s="10"/>
      <c r="CI465" s="389"/>
      <c r="CJ465" s="389"/>
      <c r="CK465" s="68"/>
      <c r="CL465" s="70"/>
      <c r="CO465" s="10"/>
      <c r="CU465" s="10"/>
      <c r="DA465" s="10"/>
      <c r="DB465" s="70"/>
      <c r="DC465" s="70"/>
      <c r="DF465" s="68"/>
      <c r="DG465" s="70"/>
      <c r="DH465" s="68"/>
      <c r="DI465" s="386"/>
      <c r="DJ465" s="425"/>
      <c r="DL465" s="68"/>
      <c r="DM465" s="70"/>
      <c r="DQ465" s="68"/>
      <c r="DR465" s="70"/>
      <c r="DS465" s="338"/>
      <c r="DT465" s="338"/>
      <c r="DU465" s="338"/>
      <c r="DW465" s="338"/>
      <c r="DX465" s="338"/>
      <c r="DY465" s="338"/>
      <c r="EA465" s="338"/>
      <c r="EB465" s="338"/>
      <c r="EC465" s="338"/>
      <c r="EE465" s="338"/>
      <c r="EF465" s="338"/>
      <c r="EG465" s="338"/>
      <c r="EI465" s="336"/>
      <c r="EJ465" s="336"/>
      <c r="EK465" s="336"/>
      <c r="EL465" s="336"/>
      <c r="EM465" s="336"/>
      <c r="EN465" s="336"/>
      <c r="EO465" s="337"/>
      <c r="EP465" s="342"/>
      <c r="EQ465" s="336"/>
      <c r="ER465" s="342"/>
      <c r="ES465" s="336"/>
      <c r="ET465" s="342"/>
      <c r="EU465" s="336"/>
      <c r="EV465" s="342"/>
      <c r="EW465" s="336"/>
      <c r="EX465" s="342"/>
      <c r="EY465" s="342"/>
      <c r="EZ465" s="342"/>
      <c r="FA465" s="337"/>
      <c r="FE465" s="338"/>
      <c r="FH465" s="338"/>
      <c r="FI465" s="338"/>
      <c r="FJ465" s="338"/>
      <c r="FK465" s="338"/>
      <c r="FL465" s="338"/>
      <c r="FM465" s="337"/>
      <c r="FN465" s="336"/>
      <c r="FO465" s="336"/>
      <c r="FP465" s="336"/>
      <c r="FQ465" s="336"/>
      <c r="FR465" s="336"/>
      <c r="FS465" s="336"/>
      <c r="FT465" s="336"/>
      <c r="FU465" s="336"/>
      <c r="FV465" s="336"/>
      <c r="FW465" s="337"/>
      <c r="FX465" s="532"/>
      <c r="FY465" s="341"/>
      <c r="FZ465" s="341"/>
      <c r="GA465" s="336"/>
      <c r="GB465" s="341"/>
      <c r="GC465" s="341"/>
      <c r="GD465" s="341"/>
      <c r="GE465" s="336"/>
      <c r="GF465" s="336"/>
      <c r="GG465" s="336"/>
      <c r="GH465" s="336"/>
      <c r="GI465" s="336"/>
      <c r="GJ465" s="337"/>
      <c r="GM465" s="338"/>
      <c r="GN465" s="338"/>
      <c r="GO465" s="338"/>
      <c r="GS465" s="338"/>
      <c r="GT465" s="338"/>
      <c r="GU465" s="338"/>
      <c r="GY465" s="338"/>
      <c r="GZ465" s="338"/>
      <c r="HA465" s="338"/>
      <c r="HE465" s="338"/>
      <c r="HF465" s="338"/>
      <c r="HG465" s="338"/>
      <c r="HN465" s="68"/>
      <c r="HO465" s="68"/>
      <c r="HP465" s="68"/>
      <c r="HQ465" s="336"/>
      <c r="HR465" s="68"/>
      <c r="HS465" s="68"/>
      <c r="HT465" s="10"/>
      <c r="HW465" s="338"/>
      <c r="HX465" s="338"/>
      <c r="HY465" s="338"/>
      <c r="IC465" s="338"/>
      <c r="ID465" s="338"/>
      <c r="IE465" s="338"/>
      <c r="II465" s="338"/>
      <c r="IJ465" s="338"/>
      <c r="IK465" s="338"/>
      <c r="IO465" s="338"/>
      <c r="IP465" s="338"/>
      <c r="IQ465" s="338"/>
      <c r="IX465" s="68"/>
      <c r="IY465" s="68"/>
      <c r="IZ465" s="68"/>
      <c r="JA465" s="68"/>
      <c r="JB465" s="68"/>
      <c r="JC465" s="68"/>
      <c r="JD465" s="10"/>
      <c r="JG465" s="338"/>
      <c r="JH465" s="338"/>
      <c r="JI465" s="338"/>
      <c r="JM465" s="338"/>
      <c r="JN465" s="338"/>
      <c r="JQ465" s="338"/>
      <c r="JR465" s="338"/>
      <c r="JS465" s="338"/>
      <c r="JW465" s="358"/>
      <c r="JX465" s="336"/>
      <c r="JY465" s="336"/>
      <c r="JZ465" s="336"/>
      <c r="KA465" s="336"/>
      <c r="KB465" s="336"/>
      <c r="KC465" s="336"/>
      <c r="KD465" s="336"/>
      <c r="KE465" s="336"/>
      <c r="KF465" s="336"/>
      <c r="KG465" s="337"/>
      <c r="KH465" s="338"/>
      <c r="KI465" s="338"/>
      <c r="KJ465" s="338"/>
      <c r="KK465" s="338"/>
      <c r="KL465" s="338"/>
      <c r="KM465" s="338"/>
      <c r="KN465" s="338"/>
      <c r="KO465" s="338"/>
      <c r="KP465" s="338"/>
      <c r="KQ465" s="338"/>
      <c r="KR465" s="338"/>
      <c r="KS465" s="338"/>
      <c r="KT465" s="338"/>
      <c r="KU465" s="338"/>
      <c r="KV465" s="338"/>
      <c r="KW465" s="337"/>
      <c r="KX465" s="336"/>
      <c r="KY465" s="336"/>
      <c r="KZ465" s="336"/>
      <c r="LA465" s="336"/>
      <c r="LB465" s="336"/>
      <c r="LC465" s="336"/>
      <c r="LD465" s="336"/>
      <c r="LE465" s="336"/>
      <c r="LF465" s="336"/>
      <c r="LG465" s="336"/>
      <c r="LH465" s="336"/>
      <c r="LI465" s="336"/>
      <c r="LJ465" s="336"/>
      <c r="LK465" s="336"/>
      <c r="LL465" s="336"/>
      <c r="LM465" s="336"/>
      <c r="LN465" s="336"/>
      <c r="LO465" s="336"/>
      <c r="LP465" s="336"/>
      <c r="LQ465" s="337"/>
      <c r="MN465" s="10"/>
      <c r="OA465" s="10"/>
    </row>
    <row r="466" spans="1:391" s="370" customFormat="1" x14ac:dyDescent="0.25">
      <c r="A466" s="68"/>
      <c r="B466" s="10"/>
      <c r="C466" s="68"/>
      <c r="D466" s="68"/>
      <c r="E466" s="68"/>
      <c r="F466" s="68"/>
      <c r="G466" s="68"/>
      <c r="H466" s="68"/>
      <c r="I466" s="68"/>
      <c r="J466" s="68"/>
      <c r="K466" s="68"/>
      <c r="L466" s="68"/>
      <c r="M466" s="68"/>
      <c r="N466" s="68"/>
      <c r="O466" s="68"/>
      <c r="P466" s="68"/>
      <c r="Q466" s="68"/>
      <c r="R466" s="68"/>
      <c r="S466" s="68"/>
      <c r="T466" s="70"/>
      <c r="AC466" s="68"/>
      <c r="AD466" s="70"/>
      <c r="AM466" s="68"/>
      <c r="AN466" s="70"/>
      <c r="AU466" s="68"/>
      <c r="AV466" s="70"/>
      <c r="BB466" s="68"/>
      <c r="BC466" s="70"/>
      <c r="BD466" s="68"/>
      <c r="BE466" s="68"/>
      <c r="BF466" s="68"/>
      <c r="BG466" s="68"/>
      <c r="BH466" s="68"/>
      <c r="BI466" s="68"/>
      <c r="BJ466" s="70"/>
      <c r="BM466" s="68"/>
      <c r="BN466" s="70"/>
      <c r="BT466" s="68"/>
      <c r="BU466" s="70"/>
      <c r="BZ466" s="10"/>
      <c r="CF466" s="10"/>
      <c r="CI466" s="389"/>
      <c r="CJ466" s="389"/>
      <c r="CK466" s="68"/>
      <c r="CL466" s="70"/>
      <c r="CO466" s="10"/>
      <c r="CU466" s="10"/>
      <c r="DA466" s="10"/>
      <c r="DB466" s="70"/>
      <c r="DC466" s="70"/>
      <c r="DF466" s="68"/>
      <c r="DG466" s="70"/>
      <c r="DH466" s="68"/>
      <c r="DI466" s="386"/>
      <c r="DJ466" s="425"/>
      <c r="DL466" s="68"/>
      <c r="DM466" s="70"/>
      <c r="DQ466" s="68"/>
      <c r="DR466" s="70"/>
      <c r="DS466" s="338"/>
      <c r="DT466" s="338"/>
      <c r="DU466" s="338"/>
      <c r="DW466" s="338"/>
      <c r="DX466" s="338"/>
      <c r="DY466" s="338"/>
      <c r="EA466" s="338"/>
      <c r="EB466" s="338"/>
      <c r="EC466" s="338"/>
      <c r="EE466" s="338"/>
      <c r="EF466" s="338"/>
      <c r="EG466" s="338"/>
      <c r="EI466" s="336"/>
      <c r="EJ466" s="336"/>
      <c r="EK466" s="336"/>
      <c r="EL466" s="336"/>
      <c r="EM466" s="336"/>
      <c r="EN466" s="336"/>
      <c r="EO466" s="337"/>
      <c r="EP466" s="342"/>
      <c r="EQ466" s="336"/>
      <c r="ER466" s="342"/>
      <c r="ES466" s="336"/>
      <c r="ET466" s="342"/>
      <c r="EU466" s="336"/>
      <c r="EV466" s="342"/>
      <c r="EW466" s="336"/>
      <c r="EX466" s="342"/>
      <c r="EY466" s="342"/>
      <c r="EZ466" s="342"/>
      <c r="FA466" s="337"/>
      <c r="FE466" s="338"/>
      <c r="FH466" s="338"/>
      <c r="FI466" s="338"/>
      <c r="FJ466" s="338"/>
      <c r="FK466" s="338"/>
      <c r="FL466" s="338"/>
      <c r="FM466" s="337"/>
      <c r="FN466" s="336"/>
      <c r="FO466" s="336"/>
      <c r="FP466" s="336"/>
      <c r="FQ466" s="336"/>
      <c r="FR466" s="336"/>
      <c r="FS466" s="336"/>
      <c r="FT466" s="336"/>
      <c r="FU466" s="336"/>
      <c r="FV466" s="336"/>
      <c r="FW466" s="337"/>
      <c r="FX466" s="532"/>
      <c r="FY466" s="341"/>
      <c r="FZ466" s="341"/>
      <c r="GA466" s="336"/>
      <c r="GB466" s="341"/>
      <c r="GC466" s="341"/>
      <c r="GD466" s="341"/>
      <c r="GE466" s="336"/>
      <c r="GF466" s="336"/>
      <c r="GG466" s="336"/>
      <c r="GH466" s="336"/>
      <c r="GI466" s="336"/>
      <c r="GJ466" s="337"/>
      <c r="GM466" s="338"/>
      <c r="GN466" s="338"/>
      <c r="GO466" s="338"/>
      <c r="GS466" s="338"/>
      <c r="GT466" s="338"/>
      <c r="GU466" s="338"/>
      <c r="GY466" s="338"/>
      <c r="GZ466" s="338"/>
      <c r="HA466" s="338"/>
      <c r="HE466" s="338"/>
      <c r="HF466" s="338"/>
      <c r="HG466" s="338"/>
      <c r="HN466" s="68"/>
      <c r="HO466" s="68"/>
      <c r="HP466" s="68"/>
      <c r="HQ466" s="336"/>
      <c r="HR466" s="68"/>
      <c r="HS466" s="68"/>
      <c r="HT466" s="10"/>
      <c r="HW466" s="338"/>
      <c r="HX466" s="338"/>
      <c r="HY466" s="338"/>
      <c r="IC466" s="338"/>
      <c r="ID466" s="338"/>
      <c r="IE466" s="338"/>
      <c r="II466" s="338"/>
      <c r="IJ466" s="338"/>
      <c r="IK466" s="338"/>
      <c r="IO466" s="338"/>
      <c r="IP466" s="338"/>
      <c r="IQ466" s="338"/>
      <c r="IX466" s="68"/>
      <c r="IY466" s="68"/>
      <c r="IZ466" s="68"/>
      <c r="JA466" s="68"/>
      <c r="JB466" s="68"/>
      <c r="JC466" s="68"/>
      <c r="JD466" s="10"/>
      <c r="JG466" s="338"/>
      <c r="JH466" s="338"/>
      <c r="JI466" s="338"/>
      <c r="JM466" s="338"/>
      <c r="JN466" s="338"/>
      <c r="JQ466" s="338"/>
      <c r="JR466" s="338"/>
      <c r="JS466" s="338"/>
      <c r="JW466" s="358"/>
      <c r="JX466" s="336"/>
      <c r="JY466" s="336"/>
      <c r="JZ466" s="336"/>
      <c r="KA466" s="336"/>
      <c r="KB466" s="336"/>
      <c r="KC466" s="336"/>
      <c r="KD466" s="336"/>
      <c r="KE466" s="336"/>
      <c r="KF466" s="336"/>
      <c r="KG466" s="337"/>
      <c r="KH466" s="338"/>
      <c r="KI466" s="338"/>
      <c r="KJ466" s="338"/>
      <c r="KK466" s="338"/>
      <c r="KL466" s="338"/>
      <c r="KM466" s="338"/>
      <c r="KN466" s="338"/>
      <c r="KO466" s="338"/>
      <c r="KP466" s="338"/>
      <c r="KQ466" s="338"/>
      <c r="KR466" s="338"/>
      <c r="KS466" s="338"/>
      <c r="KT466" s="338"/>
      <c r="KU466" s="338"/>
      <c r="KV466" s="338"/>
      <c r="KW466" s="337"/>
      <c r="KX466" s="336"/>
      <c r="KY466" s="336"/>
      <c r="KZ466" s="336"/>
      <c r="LA466" s="336"/>
      <c r="LB466" s="336"/>
      <c r="LC466" s="336"/>
      <c r="LD466" s="336"/>
      <c r="LE466" s="336"/>
      <c r="LF466" s="336"/>
      <c r="LG466" s="336"/>
      <c r="LH466" s="336"/>
      <c r="LI466" s="336"/>
      <c r="LJ466" s="336"/>
      <c r="LK466" s="336"/>
      <c r="LL466" s="336"/>
      <c r="LM466" s="336"/>
      <c r="LN466" s="336"/>
      <c r="LO466" s="336"/>
      <c r="LP466" s="336"/>
      <c r="LQ466" s="337"/>
      <c r="MN466" s="10"/>
      <c r="OA466" s="10"/>
    </row>
    <row r="467" spans="1:391" s="370" customFormat="1" x14ac:dyDescent="0.25">
      <c r="A467" s="68"/>
      <c r="B467" s="10"/>
      <c r="C467" s="68"/>
      <c r="D467" s="68"/>
      <c r="E467" s="68"/>
      <c r="F467" s="68"/>
      <c r="G467" s="68"/>
      <c r="H467" s="68"/>
      <c r="I467" s="68"/>
      <c r="J467" s="68"/>
      <c r="K467" s="68"/>
      <c r="L467" s="68"/>
      <c r="M467" s="68"/>
      <c r="N467" s="68"/>
      <c r="O467" s="68"/>
      <c r="P467" s="68"/>
      <c r="Q467" s="68"/>
      <c r="R467" s="68"/>
      <c r="S467" s="68"/>
      <c r="T467" s="70"/>
      <c r="AC467" s="68"/>
      <c r="AD467" s="70"/>
      <c r="AM467" s="68"/>
      <c r="AN467" s="70"/>
      <c r="AU467" s="68"/>
      <c r="AV467" s="70"/>
      <c r="BB467" s="68"/>
      <c r="BC467" s="70"/>
      <c r="BD467" s="68"/>
      <c r="BE467" s="68"/>
      <c r="BF467" s="68"/>
      <c r="BG467" s="68"/>
      <c r="BH467" s="68"/>
      <c r="BI467" s="68"/>
      <c r="BJ467" s="70"/>
      <c r="BM467" s="68"/>
      <c r="BN467" s="70"/>
      <c r="BT467" s="68"/>
      <c r="BU467" s="70"/>
      <c r="BZ467" s="10"/>
      <c r="CF467" s="10"/>
      <c r="CI467" s="389"/>
      <c r="CJ467" s="389"/>
      <c r="CK467" s="68"/>
      <c r="CL467" s="70"/>
      <c r="CO467" s="10"/>
      <c r="CU467" s="10"/>
      <c r="DA467" s="10"/>
      <c r="DB467" s="70"/>
      <c r="DC467" s="70"/>
      <c r="DF467" s="68"/>
      <c r="DG467" s="70"/>
      <c r="DH467" s="68"/>
      <c r="DI467" s="386"/>
      <c r="DJ467" s="425"/>
      <c r="DL467" s="68"/>
      <c r="DM467" s="70"/>
      <c r="DQ467" s="68"/>
      <c r="DR467" s="70"/>
      <c r="DS467" s="338"/>
      <c r="DT467" s="338"/>
      <c r="DU467" s="338"/>
      <c r="DW467" s="338"/>
      <c r="DX467" s="338"/>
      <c r="DY467" s="338"/>
      <c r="EA467" s="338"/>
      <c r="EB467" s="338"/>
      <c r="EC467" s="338"/>
      <c r="EE467" s="338"/>
      <c r="EF467" s="338"/>
      <c r="EG467" s="338"/>
      <c r="EI467" s="336"/>
      <c r="EJ467" s="336"/>
      <c r="EK467" s="336"/>
      <c r="EL467" s="336"/>
      <c r="EM467" s="336"/>
      <c r="EN467" s="336"/>
      <c r="EO467" s="337"/>
      <c r="EP467" s="342"/>
      <c r="EQ467" s="336"/>
      <c r="ER467" s="342"/>
      <c r="ES467" s="336"/>
      <c r="ET467" s="342"/>
      <c r="EU467" s="336"/>
      <c r="EV467" s="342"/>
      <c r="EW467" s="336"/>
      <c r="EX467" s="342"/>
      <c r="EY467" s="342"/>
      <c r="EZ467" s="342"/>
      <c r="FA467" s="337"/>
      <c r="FE467" s="338"/>
      <c r="FH467" s="338"/>
      <c r="FI467" s="338"/>
      <c r="FJ467" s="338"/>
      <c r="FK467" s="338"/>
      <c r="FL467" s="338"/>
      <c r="FM467" s="337"/>
      <c r="FN467" s="336"/>
      <c r="FO467" s="336"/>
      <c r="FP467" s="336"/>
      <c r="FQ467" s="336"/>
      <c r="FR467" s="336"/>
      <c r="FS467" s="336"/>
      <c r="FT467" s="336"/>
      <c r="FU467" s="336"/>
      <c r="FV467" s="336"/>
      <c r="FW467" s="337"/>
      <c r="FX467" s="532"/>
      <c r="FY467" s="341"/>
      <c r="FZ467" s="341"/>
      <c r="GA467" s="336"/>
      <c r="GB467" s="341"/>
      <c r="GC467" s="341"/>
      <c r="GD467" s="341"/>
      <c r="GE467" s="336"/>
      <c r="GF467" s="336"/>
      <c r="GG467" s="336"/>
      <c r="GH467" s="336"/>
      <c r="GI467" s="336"/>
      <c r="GJ467" s="337"/>
      <c r="GM467" s="338"/>
      <c r="GN467" s="338"/>
      <c r="GO467" s="338"/>
      <c r="GS467" s="338"/>
      <c r="GT467" s="338"/>
      <c r="GU467" s="338"/>
      <c r="GY467" s="338"/>
      <c r="GZ467" s="338"/>
      <c r="HA467" s="338"/>
      <c r="HE467" s="338"/>
      <c r="HF467" s="338"/>
      <c r="HG467" s="338"/>
      <c r="HN467" s="68"/>
      <c r="HO467" s="68"/>
      <c r="HP467" s="68"/>
      <c r="HQ467" s="336"/>
      <c r="HR467" s="68"/>
      <c r="HS467" s="68"/>
      <c r="HT467" s="10"/>
      <c r="HW467" s="338"/>
      <c r="HX467" s="338"/>
      <c r="HY467" s="338"/>
      <c r="IC467" s="338"/>
      <c r="ID467" s="338"/>
      <c r="IE467" s="338"/>
      <c r="II467" s="338"/>
      <c r="IJ467" s="338"/>
      <c r="IK467" s="338"/>
      <c r="IO467" s="338"/>
      <c r="IP467" s="338"/>
      <c r="IQ467" s="338"/>
      <c r="IX467" s="68"/>
      <c r="IY467" s="68"/>
      <c r="IZ467" s="68"/>
      <c r="JA467" s="68"/>
      <c r="JB467" s="68"/>
      <c r="JC467" s="68"/>
      <c r="JD467" s="10"/>
      <c r="JG467" s="338"/>
      <c r="JH467" s="338"/>
      <c r="JI467" s="338"/>
      <c r="JM467" s="338"/>
      <c r="JN467" s="338"/>
      <c r="JQ467" s="338"/>
      <c r="JR467" s="338"/>
      <c r="JS467" s="338"/>
      <c r="JW467" s="358"/>
      <c r="JX467" s="336"/>
      <c r="JY467" s="336"/>
      <c r="JZ467" s="336"/>
      <c r="KA467" s="336"/>
      <c r="KB467" s="336"/>
      <c r="KC467" s="336"/>
      <c r="KD467" s="336"/>
      <c r="KE467" s="336"/>
      <c r="KF467" s="336"/>
      <c r="KG467" s="337"/>
      <c r="KH467" s="338"/>
      <c r="KI467" s="338"/>
      <c r="KJ467" s="338"/>
      <c r="KK467" s="338"/>
      <c r="KL467" s="338"/>
      <c r="KM467" s="338"/>
      <c r="KN467" s="338"/>
      <c r="KO467" s="338"/>
      <c r="KP467" s="338"/>
      <c r="KQ467" s="338"/>
      <c r="KR467" s="338"/>
      <c r="KS467" s="338"/>
      <c r="KT467" s="338"/>
      <c r="KU467" s="338"/>
      <c r="KV467" s="338"/>
      <c r="KW467" s="337"/>
      <c r="KX467" s="336"/>
      <c r="KY467" s="336"/>
      <c r="KZ467" s="336"/>
      <c r="LA467" s="336"/>
      <c r="LB467" s="336"/>
      <c r="LC467" s="336"/>
      <c r="LD467" s="336"/>
      <c r="LE467" s="336"/>
      <c r="LF467" s="336"/>
      <c r="LG467" s="336"/>
      <c r="LH467" s="336"/>
      <c r="LI467" s="336"/>
      <c r="LJ467" s="336"/>
      <c r="LK467" s="336"/>
      <c r="LL467" s="336"/>
      <c r="LM467" s="336"/>
      <c r="LN467" s="336"/>
      <c r="LO467" s="336"/>
      <c r="LP467" s="336"/>
      <c r="LQ467" s="337"/>
      <c r="MN467" s="10"/>
      <c r="OA467" s="10"/>
    </row>
    <row r="468" spans="1:391" s="370" customFormat="1" x14ac:dyDescent="0.25">
      <c r="A468" s="68"/>
      <c r="B468" s="10"/>
      <c r="C468" s="68"/>
      <c r="D468" s="68"/>
      <c r="E468" s="68"/>
      <c r="F468" s="68"/>
      <c r="G468" s="68"/>
      <c r="H468" s="68"/>
      <c r="I468" s="68"/>
      <c r="J468" s="68"/>
      <c r="K468" s="68"/>
      <c r="L468" s="68"/>
      <c r="M468" s="68"/>
      <c r="N468" s="68"/>
      <c r="O468" s="68"/>
      <c r="P468" s="68"/>
      <c r="Q468" s="68"/>
      <c r="R468" s="68"/>
      <c r="S468" s="68"/>
      <c r="T468" s="70"/>
      <c r="AC468" s="68"/>
      <c r="AD468" s="70"/>
      <c r="AM468" s="68"/>
      <c r="AN468" s="70"/>
      <c r="AU468" s="68"/>
      <c r="AV468" s="70"/>
      <c r="BB468" s="68"/>
      <c r="BC468" s="70"/>
      <c r="BD468" s="68"/>
      <c r="BE468" s="68"/>
      <c r="BF468" s="68"/>
      <c r="BG468" s="68"/>
      <c r="BH468" s="68"/>
      <c r="BI468" s="68"/>
      <c r="BJ468" s="70"/>
      <c r="BM468" s="68"/>
      <c r="BN468" s="70"/>
      <c r="BT468" s="68"/>
      <c r="BU468" s="70"/>
      <c r="BZ468" s="10"/>
      <c r="CF468" s="10"/>
      <c r="CI468" s="389"/>
      <c r="CJ468" s="389"/>
      <c r="CK468" s="68"/>
      <c r="CL468" s="70"/>
      <c r="CO468" s="10"/>
      <c r="CU468" s="10"/>
      <c r="DA468" s="10"/>
      <c r="DB468" s="70"/>
      <c r="DC468" s="70"/>
      <c r="DF468" s="68"/>
      <c r="DG468" s="70"/>
      <c r="DH468" s="68"/>
      <c r="DI468" s="386"/>
      <c r="DJ468" s="425"/>
      <c r="DL468" s="68"/>
      <c r="DM468" s="70"/>
      <c r="DQ468" s="68"/>
      <c r="DR468" s="70"/>
      <c r="DS468" s="338"/>
      <c r="DT468" s="338"/>
      <c r="DU468" s="338"/>
      <c r="DW468" s="338"/>
      <c r="DX468" s="338"/>
      <c r="DY468" s="338"/>
      <c r="EA468" s="338"/>
      <c r="EB468" s="338"/>
      <c r="EC468" s="338"/>
      <c r="EE468" s="338"/>
      <c r="EF468" s="338"/>
      <c r="EG468" s="338"/>
      <c r="EI468" s="336"/>
      <c r="EJ468" s="336"/>
      <c r="EK468" s="336"/>
      <c r="EL468" s="336"/>
      <c r="EM468" s="336"/>
      <c r="EN468" s="336"/>
      <c r="EO468" s="337"/>
      <c r="EP468" s="342"/>
      <c r="EQ468" s="336"/>
      <c r="ER468" s="342"/>
      <c r="ES468" s="336"/>
      <c r="ET468" s="342"/>
      <c r="EU468" s="336"/>
      <c r="EV468" s="342"/>
      <c r="EW468" s="336"/>
      <c r="EX468" s="342"/>
      <c r="EY468" s="342"/>
      <c r="EZ468" s="342"/>
      <c r="FA468" s="337"/>
      <c r="FE468" s="338"/>
      <c r="FH468" s="338"/>
      <c r="FI468" s="338"/>
      <c r="FJ468" s="338"/>
      <c r="FK468" s="338"/>
      <c r="FL468" s="338"/>
      <c r="FM468" s="337"/>
      <c r="FN468" s="336"/>
      <c r="FO468" s="336"/>
      <c r="FP468" s="336"/>
      <c r="FQ468" s="336"/>
      <c r="FR468" s="336"/>
      <c r="FS468" s="336"/>
      <c r="FT468" s="336"/>
      <c r="FU468" s="336"/>
      <c r="FV468" s="336"/>
      <c r="FW468" s="337"/>
      <c r="FX468" s="532"/>
      <c r="FY468" s="341"/>
      <c r="FZ468" s="341"/>
      <c r="GA468" s="336"/>
      <c r="GB468" s="341"/>
      <c r="GC468" s="341"/>
      <c r="GD468" s="341"/>
      <c r="GE468" s="336"/>
      <c r="GF468" s="336"/>
      <c r="GG468" s="336"/>
      <c r="GH468" s="336"/>
      <c r="GI468" s="336"/>
      <c r="GJ468" s="337"/>
      <c r="GM468" s="338"/>
      <c r="GN468" s="338"/>
      <c r="GO468" s="338"/>
      <c r="GS468" s="338"/>
      <c r="GT468" s="338"/>
      <c r="GU468" s="338"/>
      <c r="GY468" s="338"/>
      <c r="GZ468" s="338"/>
      <c r="HA468" s="338"/>
      <c r="HE468" s="338"/>
      <c r="HF468" s="338"/>
      <c r="HG468" s="338"/>
      <c r="HN468" s="68"/>
      <c r="HO468" s="68"/>
      <c r="HP468" s="68"/>
      <c r="HQ468" s="336"/>
      <c r="HR468" s="68"/>
      <c r="HS468" s="68"/>
      <c r="HT468" s="10"/>
      <c r="HW468" s="338"/>
      <c r="HX468" s="338"/>
      <c r="HY468" s="338"/>
      <c r="IC468" s="338"/>
      <c r="ID468" s="338"/>
      <c r="IE468" s="338"/>
      <c r="II468" s="338"/>
      <c r="IJ468" s="338"/>
      <c r="IK468" s="338"/>
      <c r="IO468" s="338"/>
      <c r="IP468" s="338"/>
      <c r="IQ468" s="338"/>
      <c r="IX468" s="68"/>
      <c r="IY468" s="68"/>
      <c r="IZ468" s="68"/>
      <c r="JA468" s="68"/>
      <c r="JB468" s="68"/>
      <c r="JC468" s="68"/>
      <c r="JD468" s="10"/>
      <c r="JG468" s="338"/>
      <c r="JH468" s="338"/>
      <c r="JI468" s="338"/>
      <c r="JM468" s="338"/>
      <c r="JN468" s="338"/>
      <c r="JQ468" s="338"/>
      <c r="JR468" s="338"/>
      <c r="JS468" s="338"/>
      <c r="JW468" s="358"/>
      <c r="JX468" s="336"/>
      <c r="JY468" s="336"/>
      <c r="JZ468" s="336"/>
      <c r="KA468" s="336"/>
      <c r="KB468" s="336"/>
      <c r="KC468" s="336"/>
      <c r="KD468" s="336"/>
      <c r="KE468" s="336"/>
      <c r="KF468" s="336"/>
      <c r="KG468" s="337"/>
      <c r="KH468" s="338"/>
      <c r="KI468" s="338"/>
      <c r="KJ468" s="338"/>
      <c r="KK468" s="338"/>
      <c r="KL468" s="338"/>
      <c r="KM468" s="338"/>
      <c r="KN468" s="338"/>
      <c r="KO468" s="338"/>
      <c r="KP468" s="338"/>
      <c r="KQ468" s="338"/>
      <c r="KR468" s="338"/>
      <c r="KS468" s="338"/>
      <c r="KT468" s="338"/>
      <c r="KU468" s="338"/>
      <c r="KV468" s="338"/>
      <c r="KW468" s="337"/>
      <c r="KX468" s="336"/>
      <c r="KY468" s="336"/>
      <c r="KZ468" s="336"/>
      <c r="LA468" s="336"/>
      <c r="LB468" s="336"/>
      <c r="LC468" s="336"/>
      <c r="LD468" s="336"/>
      <c r="LE468" s="336"/>
      <c r="LF468" s="336"/>
      <c r="LG468" s="336"/>
      <c r="LH468" s="336"/>
      <c r="LI468" s="336"/>
      <c r="LJ468" s="336"/>
      <c r="LK468" s="336"/>
      <c r="LL468" s="336"/>
      <c r="LM468" s="336"/>
      <c r="LN468" s="336"/>
      <c r="LO468" s="336"/>
      <c r="LP468" s="336"/>
      <c r="LQ468" s="337"/>
      <c r="MN468" s="10"/>
      <c r="OA468" s="10"/>
    </row>
    <row r="469" spans="1:391" s="370" customFormat="1" x14ac:dyDescent="0.25">
      <c r="A469" s="68"/>
      <c r="B469" s="10"/>
      <c r="C469" s="68"/>
      <c r="D469" s="68"/>
      <c r="E469" s="68"/>
      <c r="F469" s="68"/>
      <c r="G469" s="68"/>
      <c r="H469" s="68"/>
      <c r="I469" s="68"/>
      <c r="J469" s="68"/>
      <c r="K469" s="68"/>
      <c r="L469" s="68"/>
      <c r="M469" s="68"/>
      <c r="N469" s="68"/>
      <c r="O469" s="68"/>
      <c r="P469" s="68"/>
      <c r="Q469" s="68"/>
      <c r="R469" s="68"/>
      <c r="S469" s="68"/>
      <c r="T469" s="70"/>
      <c r="AC469" s="68"/>
      <c r="AD469" s="70"/>
      <c r="AM469" s="68"/>
      <c r="AN469" s="70"/>
      <c r="AU469" s="68"/>
      <c r="AV469" s="70"/>
      <c r="BB469" s="68"/>
      <c r="BC469" s="70"/>
      <c r="BD469" s="68"/>
      <c r="BE469" s="68"/>
      <c r="BF469" s="68"/>
      <c r="BG469" s="68"/>
      <c r="BH469" s="68"/>
      <c r="BI469" s="68"/>
      <c r="BJ469" s="70"/>
      <c r="BM469" s="68"/>
      <c r="BN469" s="70"/>
      <c r="BT469" s="68"/>
      <c r="BU469" s="70"/>
      <c r="BZ469" s="10"/>
      <c r="CF469" s="10"/>
      <c r="CI469" s="389"/>
      <c r="CJ469" s="389"/>
      <c r="CK469" s="68"/>
      <c r="CL469" s="70"/>
      <c r="CO469" s="10"/>
      <c r="CU469" s="10"/>
      <c r="DA469" s="10"/>
      <c r="DB469" s="70"/>
      <c r="DC469" s="70"/>
      <c r="DF469" s="68"/>
      <c r="DG469" s="70"/>
      <c r="DH469" s="68"/>
      <c r="DI469" s="386"/>
      <c r="DJ469" s="425"/>
      <c r="DL469" s="68"/>
      <c r="DM469" s="70"/>
      <c r="DQ469" s="68"/>
      <c r="DR469" s="70"/>
      <c r="DS469" s="338"/>
      <c r="DT469" s="338"/>
      <c r="DU469" s="338"/>
      <c r="DW469" s="338"/>
      <c r="DX469" s="338"/>
      <c r="DY469" s="338"/>
      <c r="EA469" s="338"/>
      <c r="EB469" s="338"/>
      <c r="EC469" s="338"/>
      <c r="EE469" s="338"/>
      <c r="EF469" s="338"/>
      <c r="EG469" s="338"/>
      <c r="EI469" s="336"/>
      <c r="EJ469" s="336"/>
      <c r="EK469" s="336"/>
      <c r="EL469" s="336"/>
      <c r="EM469" s="336"/>
      <c r="EN469" s="336"/>
      <c r="EO469" s="337"/>
      <c r="EP469" s="342"/>
      <c r="EQ469" s="336"/>
      <c r="ER469" s="342"/>
      <c r="ES469" s="336"/>
      <c r="ET469" s="342"/>
      <c r="EU469" s="336"/>
      <c r="EV469" s="342"/>
      <c r="EW469" s="336"/>
      <c r="EX469" s="342"/>
      <c r="EY469" s="342"/>
      <c r="EZ469" s="342"/>
      <c r="FA469" s="337"/>
      <c r="FE469" s="338"/>
      <c r="FH469" s="338"/>
      <c r="FI469" s="338"/>
      <c r="FJ469" s="338"/>
      <c r="FK469" s="338"/>
      <c r="FL469" s="338"/>
      <c r="FM469" s="337"/>
      <c r="FN469" s="336"/>
      <c r="FO469" s="336"/>
      <c r="FP469" s="336"/>
      <c r="FQ469" s="336"/>
      <c r="FR469" s="336"/>
      <c r="FS469" s="336"/>
      <c r="FT469" s="336"/>
      <c r="FU469" s="336"/>
      <c r="FV469" s="336"/>
      <c r="FW469" s="337"/>
      <c r="FX469" s="532"/>
      <c r="FY469" s="341"/>
      <c r="FZ469" s="341"/>
      <c r="GA469" s="336"/>
      <c r="GB469" s="341"/>
      <c r="GC469" s="341"/>
      <c r="GD469" s="341"/>
      <c r="GE469" s="336"/>
      <c r="GF469" s="336"/>
      <c r="GG469" s="336"/>
      <c r="GH469" s="336"/>
      <c r="GI469" s="336"/>
      <c r="GJ469" s="337"/>
      <c r="GM469" s="338"/>
      <c r="GN469" s="338"/>
      <c r="GO469" s="338"/>
      <c r="GS469" s="338"/>
      <c r="GT469" s="338"/>
      <c r="GU469" s="338"/>
      <c r="GY469" s="338"/>
      <c r="GZ469" s="338"/>
      <c r="HA469" s="338"/>
      <c r="HE469" s="338"/>
      <c r="HF469" s="338"/>
      <c r="HG469" s="338"/>
      <c r="HN469" s="68"/>
      <c r="HO469" s="68"/>
      <c r="HP469" s="68"/>
      <c r="HQ469" s="336"/>
      <c r="HR469" s="68"/>
      <c r="HS469" s="68"/>
      <c r="HT469" s="10"/>
      <c r="HW469" s="338"/>
      <c r="HX469" s="338"/>
      <c r="HY469" s="338"/>
      <c r="IC469" s="338"/>
      <c r="ID469" s="338"/>
      <c r="IE469" s="338"/>
      <c r="II469" s="338"/>
      <c r="IJ469" s="338"/>
      <c r="IK469" s="338"/>
      <c r="IO469" s="338"/>
      <c r="IP469" s="338"/>
      <c r="IQ469" s="338"/>
      <c r="IX469" s="68"/>
      <c r="IY469" s="68"/>
      <c r="IZ469" s="68"/>
      <c r="JA469" s="68"/>
      <c r="JB469" s="68"/>
      <c r="JC469" s="68"/>
      <c r="JD469" s="10"/>
      <c r="JG469" s="338"/>
      <c r="JH469" s="338"/>
      <c r="JI469" s="338"/>
      <c r="JM469" s="338"/>
      <c r="JN469" s="338"/>
      <c r="JQ469" s="338"/>
      <c r="JR469" s="338"/>
      <c r="JS469" s="338"/>
      <c r="JW469" s="358"/>
      <c r="JX469" s="336"/>
      <c r="JY469" s="336"/>
      <c r="JZ469" s="336"/>
      <c r="KA469" s="336"/>
      <c r="KB469" s="336"/>
      <c r="KC469" s="336"/>
      <c r="KD469" s="336"/>
      <c r="KE469" s="336"/>
      <c r="KF469" s="336"/>
      <c r="KG469" s="337"/>
      <c r="KH469" s="338"/>
      <c r="KI469" s="338"/>
      <c r="KJ469" s="338"/>
      <c r="KK469" s="338"/>
      <c r="KL469" s="338"/>
      <c r="KM469" s="338"/>
      <c r="KN469" s="338"/>
      <c r="KO469" s="338"/>
      <c r="KP469" s="338"/>
      <c r="KQ469" s="338"/>
      <c r="KR469" s="338"/>
      <c r="KS469" s="338"/>
      <c r="KT469" s="338"/>
      <c r="KU469" s="338"/>
      <c r="KV469" s="338"/>
      <c r="KW469" s="337"/>
      <c r="KX469" s="336"/>
      <c r="KY469" s="336"/>
      <c r="KZ469" s="336"/>
      <c r="LA469" s="336"/>
      <c r="LB469" s="336"/>
      <c r="LC469" s="336"/>
      <c r="LD469" s="336"/>
      <c r="LE469" s="336"/>
      <c r="LF469" s="336"/>
      <c r="LG469" s="336"/>
      <c r="LH469" s="336"/>
      <c r="LI469" s="336"/>
      <c r="LJ469" s="336"/>
      <c r="LK469" s="336"/>
      <c r="LL469" s="336"/>
      <c r="LM469" s="336"/>
      <c r="LN469" s="336"/>
      <c r="LO469" s="336"/>
      <c r="LP469" s="336"/>
      <c r="LQ469" s="337"/>
      <c r="MN469" s="10"/>
      <c r="OA469" s="10"/>
    </row>
    <row r="470" spans="1:391" s="370" customFormat="1" x14ac:dyDescent="0.25">
      <c r="A470" s="68"/>
      <c r="B470" s="10"/>
      <c r="C470" s="68"/>
      <c r="D470" s="68"/>
      <c r="E470" s="68"/>
      <c r="F470" s="68"/>
      <c r="G470" s="68"/>
      <c r="H470" s="68"/>
      <c r="I470" s="68"/>
      <c r="J470" s="68"/>
      <c r="K470" s="68"/>
      <c r="L470" s="68"/>
      <c r="M470" s="68"/>
      <c r="N470" s="68"/>
      <c r="O470" s="68"/>
      <c r="P470" s="68"/>
      <c r="Q470" s="68"/>
      <c r="R470" s="68"/>
      <c r="S470" s="68"/>
      <c r="T470" s="70"/>
      <c r="AC470" s="68"/>
      <c r="AD470" s="70"/>
      <c r="AM470" s="68"/>
      <c r="AN470" s="70"/>
      <c r="AU470" s="68"/>
      <c r="AV470" s="70"/>
      <c r="BB470" s="68"/>
      <c r="BC470" s="70"/>
      <c r="BD470" s="68"/>
      <c r="BE470" s="68"/>
      <c r="BF470" s="68"/>
      <c r="BG470" s="68"/>
      <c r="BH470" s="68"/>
      <c r="BI470" s="68"/>
      <c r="BJ470" s="70"/>
      <c r="BM470" s="68"/>
      <c r="BN470" s="70"/>
      <c r="BT470" s="68"/>
      <c r="BU470" s="70"/>
      <c r="BZ470" s="10"/>
      <c r="CF470" s="10"/>
      <c r="CI470" s="389"/>
      <c r="CJ470" s="389"/>
      <c r="CK470" s="68"/>
      <c r="CL470" s="70"/>
      <c r="CO470" s="10"/>
      <c r="CU470" s="10"/>
      <c r="DA470" s="10"/>
      <c r="DB470" s="70"/>
      <c r="DC470" s="70"/>
      <c r="DF470" s="68"/>
      <c r="DG470" s="70"/>
      <c r="DH470" s="68"/>
      <c r="DI470" s="386"/>
      <c r="DJ470" s="425"/>
      <c r="DL470" s="68"/>
      <c r="DM470" s="70"/>
      <c r="DQ470" s="68"/>
      <c r="DR470" s="70"/>
      <c r="DS470" s="338"/>
      <c r="DT470" s="338"/>
      <c r="DU470" s="338"/>
      <c r="DW470" s="338"/>
      <c r="DX470" s="338"/>
      <c r="DY470" s="338"/>
      <c r="EA470" s="338"/>
      <c r="EB470" s="338"/>
      <c r="EC470" s="338"/>
      <c r="EE470" s="338"/>
      <c r="EF470" s="338"/>
      <c r="EG470" s="338"/>
      <c r="EI470" s="336"/>
      <c r="EJ470" s="336"/>
      <c r="EK470" s="336"/>
      <c r="EL470" s="336"/>
      <c r="EM470" s="336"/>
      <c r="EN470" s="336"/>
      <c r="EO470" s="337"/>
      <c r="EP470" s="342"/>
      <c r="EQ470" s="336"/>
      <c r="ER470" s="342"/>
      <c r="ES470" s="336"/>
      <c r="ET470" s="342"/>
      <c r="EU470" s="336"/>
      <c r="EV470" s="342"/>
      <c r="EW470" s="336"/>
      <c r="EX470" s="342"/>
      <c r="EY470" s="342"/>
      <c r="EZ470" s="342"/>
      <c r="FA470" s="337"/>
      <c r="FE470" s="338"/>
      <c r="FH470" s="338"/>
      <c r="FI470" s="338"/>
      <c r="FJ470" s="338"/>
      <c r="FK470" s="338"/>
      <c r="FL470" s="338"/>
      <c r="FM470" s="337"/>
      <c r="FN470" s="336"/>
      <c r="FO470" s="336"/>
      <c r="FP470" s="336"/>
      <c r="FQ470" s="336"/>
      <c r="FR470" s="336"/>
      <c r="FS470" s="336"/>
      <c r="FT470" s="336"/>
      <c r="FU470" s="336"/>
      <c r="FV470" s="336"/>
      <c r="FW470" s="337"/>
      <c r="FX470" s="532"/>
      <c r="FY470" s="341"/>
      <c r="FZ470" s="341"/>
      <c r="GA470" s="336"/>
      <c r="GB470" s="341"/>
      <c r="GC470" s="341"/>
      <c r="GD470" s="341"/>
      <c r="GE470" s="336"/>
      <c r="GF470" s="336"/>
      <c r="GG470" s="336"/>
      <c r="GH470" s="336"/>
      <c r="GI470" s="336"/>
      <c r="GJ470" s="337"/>
      <c r="GM470" s="338"/>
      <c r="GN470" s="338"/>
      <c r="GO470" s="338"/>
      <c r="GS470" s="338"/>
      <c r="GT470" s="338"/>
      <c r="GU470" s="338"/>
      <c r="GY470" s="338"/>
      <c r="GZ470" s="338"/>
      <c r="HA470" s="338"/>
      <c r="HE470" s="338"/>
      <c r="HF470" s="338"/>
      <c r="HG470" s="338"/>
      <c r="HN470" s="68"/>
      <c r="HO470" s="68"/>
      <c r="HP470" s="68"/>
      <c r="HQ470" s="336"/>
      <c r="HR470" s="68"/>
      <c r="HS470" s="68"/>
      <c r="HT470" s="10"/>
      <c r="HW470" s="338"/>
      <c r="HX470" s="338"/>
      <c r="HY470" s="338"/>
      <c r="IC470" s="338"/>
      <c r="ID470" s="338"/>
      <c r="IE470" s="338"/>
      <c r="II470" s="338"/>
      <c r="IJ470" s="338"/>
      <c r="IK470" s="338"/>
      <c r="IO470" s="338"/>
      <c r="IP470" s="338"/>
      <c r="IQ470" s="338"/>
      <c r="IX470" s="68"/>
      <c r="IY470" s="68"/>
      <c r="IZ470" s="68"/>
      <c r="JA470" s="68"/>
      <c r="JB470" s="68"/>
      <c r="JC470" s="68"/>
      <c r="JD470" s="10"/>
      <c r="JG470" s="338"/>
      <c r="JH470" s="338"/>
      <c r="JI470" s="338"/>
      <c r="JM470" s="338"/>
      <c r="JN470" s="338"/>
      <c r="JQ470" s="338"/>
      <c r="JR470" s="338"/>
      <c r="JS470" s="338"/>
      <c r="JW470" s="358"/>
      <c r="JX470" s="336"/>
      <c r="JY470" s="336"/>
      <c r="JZ470" s="336"/>
      <c r="KA470" s="336"/>
      <c r="KB470" s="336"/>
      <c r="KC470" s="336"/>
      <c r="KD470" s="336"/>
      <c r="KE470" s="336"/>
      <c r="KF470" s="336"/>
      <c r="KG470" s="337"/>
      <c r="KH470" s="338"/>
      <c r="KI470" s="338"/>
      <c r="KJ470" s="338"/>
      <c r="KK470" s="338"/>
      <c r="KL470" s="338"/>
      <c r="KM470" s="338"/>
      <c r="KN470" s="338"/>
      <c r="KO470" s="338"/>
      <c r="KP470" s="338"/>
      <c r="KQ470" s="338"/>
      <c r="KR470" s="338"/>
      <c r="KS470" s="338"/>
      <c r="KT470" s="338"/>
      <c r="KU470" s="338"/>
      <c r="KV470" s="338"/>
      <c r="KW470" s="337"/>
      <c r="KX470" s="336"/>
      <c r="KY470" s="336"/>
      <c r="KZ470" s="336"/>
      <c r="LA470" s="336"/>
      <c r="LB470" s="336"/>
      <c r="LC470" s="336"/>
      <c r="LD470" s="336"/>
      <c r="LE470" s="336"/>
      <c r="LF470" s="336"/>
      <c r="LG470" s="336"/>
      <c r="LH470" s="336"/>
      <c r="LI470" s="336"/>
      <c r="LJ470" s="336"/>
      <c r="LK470" s="336"/>
      <c r="LL470" s="336"/>
      <c r="LM470" s="336"/>
      <c r="LN470" s="336"/>
      <c r="LO470" s="336"/>
      <c r="LP470" s="336"/>
      <c r="LQ470" s="337"/>
      <c r="MN470" s="10"/>
      <c r="OA470" s="10"/>
    </row>
    <row r="471" spans="1:391" s="370" customFormat="1" x14ac:dyDescent="0.25">
      <c r="A471" s="68"/>
      <c r="B471" s="10"/>
      <c r="C471" s="68"/>
      <c r="D471" s="68"/>
      <c r="E471" s="68"/>
      <c r="F471" s="68"/>
      <c r="G471" s="68"/>
      <c r="H471" s="68"/>
      <c r="I471" s="68"/>
      <c r="J471" s="68"/>
      <c r="K471" s="68"/>
      <c r="L471" s="68"/>
      <c r="M471" s="68"/>
      <c r="N471" s="68"/>
      <c r="O471" s="68"/>
      <c r="P471" s="68"/>
      <c r="Q471" s="68"/>
      <c r="R471" s="68"/>
      <c r="S471" s="68"/>
      <c r="T471" s="70"/>
      <c r="AC471" s="68"/>
      <c r="AD471" s="70"/>
      <c r="AM471" s="68"/>
      <c r="AN471" s="70"/>
      <c r="AU471" s="68"/>
      <c r="AV471" s="70"/>
      <c r="BB471" s="68"/>
      <c r="BC471" s="70"/>
      <c r="BD471" s="68"/>
      <c r="BE471" s="68"/>
      <c r="BF471" s="68"/>
      <c r="BG471" s="68"/>
      <c r="BH471" s="68"/>
      <c r="BI471" s="68"/>
      <c r="BJ471" s="70"/>
      <c r="BM471" s="68"/>
      <c r="BN471" s="70"/>
      <c r="BT471" s="68"/>
      <c r="BU471" s="70"/>
      <c r="BZ471" s="10"/>
      <c r="CF471" s="10"/>
      <c r="CI471" s="389"/>
      <c r="CJ471" s="389"/>
      <c r="CK471" s="68"/>
      <c r="CL471" s="70"/>
      <c r="CO471" s="10"/>
      <c r="CU471" s="10"/>
      <c r="DA471" s="10"/>
      <c r="DB471" s="70"/>
      <c r="DC471" s="70"/>
      <c r="DF471" s="68"/>
      <c r="DG471" s="70"/>
      <c r="DH471" s="68"/>
      <c r="DI471" s="386"/>
      <c r="DJ471" s="425"/>
      <c r="DL471" s="68"/>
      <c r="DM471" s="70"/>
      <c r="DQ471" s="68"/>
      <c r="DR471" s="70"/>
      <c r="DS471" s="338"/>
      <c r="DT471" s="338"/>
      <c r="DU471" s="338"/>
      <c r="DW471" s="338"/>
      <c r="DX471" s="338"/>
      <c r="DY471" s="338"/>
      <c r="EA471" s="338"/>
      <c r="EB471" s="338"/>
      <c r="EC471" s="338"/>
      <c r="EE471" s="338"/>
      <c r="EF471" s="338"/>
      <c r="EG471" s="338"/>
      <c r="EI471" s="336"/>
      <c r="EJ471" s="336"/>
      <c r="EK471" s="336"/>
      <c r="EL471" s="336"/>
      <c r="EM471" s="336"/>
      <c r="EN471" s="336"/>
      <c r="EO471" s="337"/>
      <c r="EP471" s="342"/>
      <c r="EQ471" s="336"/>
      <c r="ER471" s="342"/>
      <c r="ES471" s="336"/>
      <c r="ET471" s="342"/>
      <c r="EU471" s="336"/>
      <c r="EV471" s="342"/>
      <c r="EW471" s="336"/>
      <c r="EX471" s="342"/>
      <c r="EY471" s="342"/>
      <c r="EZ471" s="342"/>
      <c r="FA471" s="337"/>
      <c r="FE471" s="338"/>
      <c r="FH471" s="338"/>
      <c r="FI471" s="338"/>
      <c r="FJ471" s="338"/>
      <c r="FK471" s="338"/>
      <c r="FL471" s="338"/>
      <c r="FM471" s="337"/>
      <c r="FN471" s="336"/>
      <c r="FO471" s="336"/>
      <c r="FP471" s="336"/>
      <c r="FQ471" s="336"/>
      <c r="FR471" s="336"/>
      <c r="FS471" s="336"/>
      <c r="FT471" s="336"/>
      <c r="FU471" s="336"/>
      <c r="FV471" s="336"/>
      <c r="FW471" s="337"/>
      <c r="FX471" s="532"/>
      <c r="FY471" s="341"/>
      <c r="FZ471" s="341"/>
      <c r="GA471" s="336"/>
      <c r="GB471" s="341"/>
      <c r="GC471" s="341"/>
      <c r="GD471" s="341"/>
      <c r="GE471" s="336"/>
      <c r="GF471" s="336"/>
      <c r="GG471" s="336"/>
      <c r="GH471" s="336"/>
      <c r="GI471" s="336"/>
      <c r="GJ471" s="337"/>
      <c r="GM471" s="338"/>
      <c r="GN471" s="338"/>
      <c r="GO471" s="338"/>
      <c r="GS471" s="338"/>
      <c r="GT471" s="338"/>
      <c r="GU471" s="338"/>
      <c r="GY471" s="338"/>
      <c r="GZ471" s="338"/>
      <c r="HA471" s="338"/>
      <c r="HE471" s="338"/>
      <c r="HF471" s="338"/>
      <c r="HG471" s="338"/>
      <c r="HN471" s="68"/>
      <c r="HO471" s="68"/>
      <c r="HP471" s="68"/>
      <c r="HQ471" s="336"/>
      <c r="HR471" s="68"/>
      <c r="HS471" s="68"/>
      <c r="HT471" s="10"/>
      <c r="HW471" s="338"/>
      <c r="HX471" s="338"/>
      <c r="HY471" s="338"/>
      <c r="IC471" s="338"/>
      <c r="ID471" s="338"/>
      <c r="IE471" s="338"/>
      <c r="II471" s="338"/>
      <c r="IJ471" s="338"/>
      <c r="IK471" s="338"/>
      <c r="IO471" s="338"/>
      <c r="IP471" s="338"/>
      <c r="IQ471" s="338"/>
      <c r="IX471" s="68"/>
      <c r="IY471" s="68"/>
      <c r="IZ471" s="68"/>
      <c r="JA471" s="68"/>
      <c r="JB471" s="68"/>
      <c r="JC471" s="68"/>
      <c r="JD471" s="10"/>
      <c r="JG471" s="338"/>
      <c r="JH471" s="338"/>
      <c r="JI471" s="338"/>
      <c r="JM471" s="338"/>
      <c r="JN471" s="338"/>
      <c r="JQ471" s="338"/>
      <c r="JR471" s="338"/>
      <c r="JS471" s="338"/>
      <c r="JW471" s="358"/>
      <c r="JX471" s="336"/>
      <c r="JY471" s="336"/>
      <c r="JZ471" s="336"/>
      <c r="KA471" s="336"/>
      <c r="KB471" s="336"/>
      <c r="KC471" s="336"/>
      <c r="KD471" s="336"/>
      <c r="KE471" s="336"/>
      <c r="KF471" s="336"/>
      <c r="KG471" s="337"/>
      <c r="KH471" s="338"/>
      <c r="KI471" s="338"/>
      <c r="KJ471" s="338"/>
      <c r="KK471" s="338"/>
      <c r="KL471" s="338"/>
      <c r="KM471" s="338"/>
      <c r="KN471" s="338"/>
      <c r="KO471" s="338"/>
      <c r="KP471" s="338"/>
      <c r="KQ471" s="338"/>
      <c r="KR471" s="338"/>
      <c r="KS471" s="338"/>
      <c r="KT471" s="338"/>
      <c r="KU471" s="338"/>
      <c r="KV471" s="338"/>
      <c r="KW471" s="337"/>
      <c r="KX471" s="336"/>
      <c r="KY471" s="336"/>
      <c r="KZ471" s="336"/>
      <c r="LA471" s="336"/>
      <c r="LB471" s="336"/>
      <c r="LC471" s="336"/>
      <c r="LD471" s="336"/>
      <c r="LE471" s="336"/>
      <c r="LF471" s="336"/>
      <c r="LG471" s="336"/>
      <c r="LH471" s="336"/>
      <c r="LI471" s="336"/>
      <c r="LJ471" s="336"/>
      <c r="LK471" s="336"/>
      <c r="LL471" s="336"/>
      <c r="LM471" s="336"/>
      <c r="LN471" s="336"/>
      <c r="LO471" s="336"/>
      <c r="LP471" s="336"/>
      <c r="LQ471" s="337"/>
      <c r="MN471" s="10"/>
      <c r="OA471" s="10"/>
    </row>
    <row r="472" spans="1:391" s="370" customFormat="1" x14ac:dyDescent="0.25">
      <c r="A472" s="68"/>
      <c r="B472" s="10"/>
      <c r="C472" s="68"/>
      <c r="D472" s="68"/>
      <c r="E472" s="68"/>
      <c r="F472" s="68"/>
      <c r="G472" s="68"/>
      <c r="H472" s="68"/>
      <c r="I472" s="68"/>
      <c r="J472" s="68"/>
      <c r="K472" s="68"/>
      <c r="L472" s="68"/>
      <c r="M472" s="68"/>
      <c r="N472" s="68"/>
      <c r="O472" s="68"/>
      <c r="P472" s="68"/>
      <c r="Q472" s="68"/>
      <c r="R472" s="68"/>
      <c r="S472" s="68"/>
      <c r="T472" s="70"/>
      <c r="AC472" s="68"/>
      <c r="AD472" s="70"/>
      <c r="AM472" s="68"/>
      <c r="AN472" s="70"/>
      <c r="AU472" s="68"/>
      <c r="AV472" s="70"/>
      <c r="BB472" s="68"/>
      <c r="BC472" s="70"/>
      <c r="BD472" s="68"/>
      <c r="BE472" s="68"/>
      <c r="BF472" s="68"/>
      <c r="BG472" s="68"/>
      <c r="BH472" s="68"/>
      <c r="BI472" s="68"/>
      <c r="BJ472" s="70"/>
      <c r="BM472" s="68"/>
      <c r="BN472" s="70"/>
      <c r="BT472" s="68"/>
      <c r="BU472" s="70"/>
      <c r="BZ472" s="10"/>
      <c r="CF472" s="10"/>
      <c r="CI472" s="389"/>
      <c r="CJ472" s="389"/>
      <c r="CK472" s="68"/>
      <c r="CL472" s="70"/>
      <c r="CO472" s="10"/>
      <c r="CU472" s="10"/>
      <c r="DA472" s="10"/>
      <c r="DB472" s="70"/>
      <c r="DC472" s="70"/>
      <c r="DF472" s="68"/>
      <c r="DG472" s="70"/>
      <c r="DH472" s="68"/>
      <c r="DI472" s="386"/>
      <c r="DJ472" s="425"/>
      <c r="DL472" s="68"/>
      <c r="DM472" s="70"/>
      <c r="DQ472" s="68"/>
      <c r="DR472" s="70"/>
      <c r="DS472" s="338"/>
      <c r="DT472" s="338"/>
      <c r="DU472" s="338"/>
      <c r="DW472" s="338"/>
      <c r="DX472" s="338"/>
      <c r="DY472" s="338"/>
      <c r="EA472" s="338"/>
      <c r="EB472" s="338"/>
      <c r="EC472" s="338"/>
      <c r="EE472" s="338"/>
      <c r="EF472" s="338"/>
      <c r="EG472" s="338"/>
      <c r="EI472" s="336"/>
      <c r="EJ472" s="336"/>
      <c r="EK472" s="336"/>
      <c r="EL472" s="336"/>
      <c r="EM472" s="336"/>
      <c r="EN472" s="336"/>
      <c r="EO472" s="337"/>
      <c r="EP472" s="342"/>
      <c r="EQ472" s="336"/>
      <c r="ER472" s="342"/>
      <c r="ES472" s="336"/>
      <c r="ET472" s="342"/>
      <c r="EU472" s="336"/>
      <c r="EV472" s="342"/>
      <c r="EW472" s="336"/>
      <c r="EX472" s="342"/>
      <c r="EY472" s="342"/>
      <c r="EZ472" s="342"/>
      <c r="FA472" s="337"/>
      <c r="FE472" s="338"/>
      <c r="FH472" s="338"/>
      <c r="FI472" s="338"/>
      <c r="FJ472" s="338"/>
      <c r="FK472" s="338"/>
      <c r="FL472" s="338"/>
      <c r="FM472" s="337"/>
      <c r="FN472" s="336"/>
      <c r="FO472" s="336"/>
      <c r="FP472" s="336"/>
      <c r="FQ472" s="336"/>
      <c r="FR472" s="336"/>
      <c r="FS472" s="336"/>
      <c r="FT472" s="336"/>
      <c r="FU472" s="336"/>
      <c r="FV472" s="336"/>
      <c r="FW472" s="337"/>
      <c r="FX472" s="532"/>
      <c r="FY472" s="341"/>
      <c r="FZ472" s="341"/>
      <c r="GA472" s="336"/>
      <c r="GB472" s="341"/>
      <c r="GC472" s="341"/>
      <c r="GD472" s="341"/>
      <c r="GE472" s="336"/>
      <c r="GF472" s="336"/>
      <c r="GG472" s="336"/>
      <c r="GH472" s="336"/>
      <c r="GI472" s="336"/>
      <c r="GJ472" s="337"/>
      <c r="GM472" s="338"/>
      <c r="GN472" s="338"/>
      <c r="GO472" s="338"/>
      <c r="GS472" s="338"/>
      <c r="GT472" s="338"/>
      <c r="GU472" s="338"/>
      <c r="GY472" s="338"/>
      <c r="GZ472" s="338"/>
      <c r="HA472" s="338"/>
      <c r="HE472" s="338"/>
      <c r="HF472" s="338"/>
      <c r="HG472" s="338"/>
      <c r="HN472" s="68"/>
      <c r="HO472" s="68"/>
      <c r="HP472" s="68"/>
      <c r="HQ472" s="336"/>
      <c r="HR472" s="68"/>
      <c r="HS472" s="68"/>
      <c r="HT472" s="10"/>
      <c r="HW472" s="338"/>
      <c r="HX472" s="338"/>
      <c r="HY472" s="338"/>
      <c r="IC472" s="338"/>
      <c r="ID472" s="338"/>
      <c r="IE472" s="338"/>
      <c r="II472" s="338"/>
      <c r="IJ472" s="338"/>
      <c r="IK472" s="338"/>
      <c r="IO472" s="338"/>
      <c r="IP472" s="338"/>
      <c r="IQ472" s="338"/>
      <c r="IX472" s="68"/>
      <c r="IY472" s="68"/>
      <c r="IZ472" s="68"/>
      <c r="JA472" s="68"/>
      <c r="JB472" s="68"/>
      <c r="JC472" s="68"/>
      <c r="JD472" s="10"/>
      <c r="JG472" s="338"/>
      <c r="JH472" s="338"/>
      <c r="JI472" s="338"/>
      <c r="JM472" s="338"/>
      <c r="JN472" s="338"/>
      <c r="JQ472" s="338"/>
      <c r="JR472" s="338"/>
      <c r="JS472" s="338"/>
      <c r="JW472" s="358"/>
      <c r="JX472" s="336"/>
      <c r="JY472" s="336"/>
      <c r="JZ472" s="336"/>
      <c r="KA472" s="336"/>
      <c r="KB472" s="336"/>
      <c r="KC472" s="336"/>
      <c r="KD472" s="336"/>
      <c r="KE472" s="336"/>
      <c r="KF472" s="336"/>
      <c r="KG472" s="337"/>
      <c r="KH472" s="338"/>
      <c r="KI472" s="338"/>
      <c r="KJ472" s="338"/>
      <c r="KK472" s="338"/>
      <c r="KL472" s="338"/>
      <c r="KM472" s="338"/>
      <c r="KN472" s="338"/>
      <c r="KO472" s="338"/>
      <c r="KP472" s="338"/>
      <c r="KQ472" s="338"/>
      <c r="KR472" s="338"/>
      <c r="KS472" s="338"/>
      <c r="KT472" s="338"/>
      <c r="KU472" s="338"/>
      <c r="KV472" s="338"/>
      <c r="KW472" s="337"/>
      <c r="KX472" s="336"/>
      <c r="KY472" s="336"/>
      <c r="KZ472" s="336"/>
      <c r="LA472" s="336"/>
      <c r="LB472" s="336"/>
      <c r="LC472" s="336"/>
      <c r="LD472" s="336"/>
      <c r="LE472" s="336"/>
      <c r="LF472" s="336"/>
      <c r="LG472" s="336"/>
      <c r="LH472" s="336"/>
      <c r="LI472" s="336"/>
      <c r="LJ472" s="336"/>
      <c r="LK472" s="336"/>
      <c r="LL472" s="336"/>
      <c r="LM472" s="336"/>
      <c r="LN472" s="336"/>
      <c r="LO472" s="336"/>
      <c r="LP472" s="336"/>
      <c r="LQ472" s="337"/>
      <c r="MN472" s="10"/>
      <c r="OA472" s="10"/>
    </row>
    <row r="473" spans="1:391" s="370" customFormat="1" x14ac:dyDescent="0.25">
      <c r="A473" s="68"/>
      <c r="B473" s="10"/>
      <c r="C473" s="68"/>
      <c r="D473" s="68"/>
      <c r="E473" s="68"/>
      <c r="F473" s="68"/>
      <c r="G473" s="68"/>
      <c r="H473" s="68"/>
      <c r="I473" s="68"/>
      <c r="J473" s="68"/>
      <c r="K473" s="68"/>
      <c r="L473" s="68"/>
      <c r="M473" s="68"/>
      <c r="N473" s="68"/>
      <c r="O473" s="68"/>
      <c r="P473" s="68"/>
      <c r="Q473" s="68"/>
      <c r="R473" s="68"/>
      <c r="S473" s="68"/>
      <c r="T473" s="70"/>
      <c r="AC473" s="68"/>
      <c r="AD473" s="70"/>
      <c r="AM473" s="68"/>
      <c r="AN473" s="70"/>
      <c r="AU473" s="68"/>
      <c r="AV473" s="70"/>
      <c r="BB473" s="68"/>
      <c r="BC473" s="70"/>
      <c r="BD473" s="68"/>
      <c r="BE473" s="68"/>
      <c r="BF473" s="68"/>
      <c r="BG473" s="68"/>
      <c r="BH473" s="68"/>
      <c r="BI473" s="68"/>
      <c r="BJ473" s="70"/>
      <c r="BM473" s="68"/>
      <c r="BN473" s="70"/>
      <c r="BT473" s="68"/>
      <c r="BU473" s="70"/>
      <c r="BZ473" s="10"/>
      <c r="CF473" s="10"/>
      <c r="CI473" s="389"/>
      <c r="CJ473" s="389"/>
      <c r="CK473" s="68"/>
      <c r="CL473" s="70"/>
      <c r="CO473" s="10"/>
      <c r="CU473" s="10"/>
      <c r="DA473" s="10"/>
      <c r="DB473" s="70"/>
      <c r="DC473" s="70"/>
      <c r="DF473" s="68"/>
      <c r="DG473" s="70"/>
      <c r="DH473" s="68"/>
      <c r="DI473" s="386"/>
      <c r="DJ473" s="425"/>
      <c r="DL473" s="68"/>
      <c r="DM473" s="70"/>
      <c r="DQ473" s="68"/>
      <c r="DR473" s="70"/>
      <c r="DS473" s="338"/>
      <c r="DT473" s="338"/>
      <c r="DU473" s="338"/>
      <c r="DW473" s="338"/>
      <c r="DX473" s="338"/>
      <c r="DY473" s="338"/>
      <c r="EA473" s="338"/>
      <c r="EB473" s="338"/>
      <c r="EC473" s="338"/>
      <c r="EE473" s="338"/>
      <c r="EF473" s="338"/>
      <c r="EG473" s="338"/>
      <c r="EI473" s="336"/>
      <c r="EJ473" s="336"/>
      <c r="EK473" s="336"/>
      <c r="EL473" s="336"/>
      <c r="EM473" s="336"/>
      <c r="EN473" s="336"/>
      <c r="EO473" s="337"/>
      <c r="EP473" s="342"/>
      <c r="EQ473" s="336"/>
      <c r="ER473" s="342"/>
      <c r="ES473" s="336"/>
      <c r="ET473" s="342"/>
      <c r="EU473" s="336"/>
      <c r="EV473" s="342"/>
      <c r="EW473" s="336"/>
      <c r="EX473" s="342"/>
      <c r="EY473" s="342"/>
      <c r="EZ473" s="342"/>
      <c r="FA473" s="337"/>
      <c r="FE473" s="338"/>
      <c r="FH473" s="338"/>
      <c r="FI473" s="338"/>
      <c r="FJ473" s="338"/>
      <c r="FK473" s="338"/>
      <c r="FL473" s="338"/>
      <c r="FM473" s="337"/>
      <c r="FN473" s="336"/>
      <c r="FO473" s="336"/>
      <c r="FP473" s="336"/>
      <c r="FQ473" s="336"/>
      <c r="FR473" s="336"/>
      <c r="FS473" s="336"/>
      <c r="FT473" s="336"/>
      <c r="FU473" s="336"/>
      <c r="FV473" s="336"/>
      <c r="FW473" s="337"/>
      <c r="FX473" s="532"/>
      <c r="FY473" s="341"/>
      <c r="FZ473" s="341"/>
      <c r="GA473" s="336"/>
      <c r="GB473" s="341"/>
      <c r="GC473" s="341"/>
      <c r="GD473" s="341"/>
      <c r="GE473" s="336"/>
      <c r="GF473" s="336"/>
      <c r="GG473" s="336"/>
      <c r="GH473" s="336"/>
      <c r="GI473" s="336"/>
      <c r="GJ473" s="337"/>
      <c r="GM473" s="338"/>
      <c r="GN473" s="338"/>
      <c r="GO473" s="338"/>
      <c r="GS473" s="338"/>
      <c r="GT473" s="338"/>
      <c r="GU473" s="338"/>
      <c r="GY473" s="338"/>
      <c r="GZ473" s="338"/>
      <c r="HA473" s="338"/>
      <c r="HE473" s="338"/>
      <c r="HF473" s="338"/>
      <c r="HG473" s="338"/>
      <c r="HN473" s="68"/>
      <c r="HO473" s="68"/>
      <c r="HP473" s="68"/>
      <c r="HQ473" s="336"/>
      <c r="HR473" s="68"/>
      <c r="HS473" s="68"/>
      <c r="HT473" s="10"/>
      <c r="HW473" s="338"/>
      <c r="HX473" s="338"/>
      <c r="HY473" s="338"/>
      <c r="IC473" s="338"/>
      <c r="ID473" s="338"/>
      <c r="IE473" s="338"/>
      <c r="II473" s="338"/>
      <c r="IJ473" s="338"/>
      <c r="IK473" s="338"/>
      <c r="IO473" s="338"/>
      <c r="IP473" s="338"/>
      <c r="IQ473" s="338"/>
      <c r="IX473" s="68"/>
      <c r="IY473" s="68"/>
      <c r="IZ473" s="68"/>
      <c r="JA473" s="68"/>
      <c r="JB473" s="68"/>
      <c r="JC473" s="68"/>
      <c r="JD473" s="10"/>
      <c r="JG473" s="338"/>
      <c r="JH473" s="338"/>
      <c r="JI473" s="338"/>
      <c r="JM473" s="338"/>
      <c r="JN473" s="338"/>
      <c r="JQ473" s="338"/>
      <c r="JR473" s="338"/>
      <c r="JS473" s="338"/>
      <c r="JW473" s="358"/>
      <c r="JX473" s="336"/>
      <c r="JY473" s="336"/>
      <c r="JZ473" s="336"/>
      <c r="KA473" s="336"/>
      <c r="KB473" s="336"/>
      <c r="KC473" s="336"/>
      <c r="KD473" s="336"/>
      <c r="KE473" s="336"/>
      <c r="KF473" s="336"/>
      <c r="KG473" s="337"/>
      <c r="KH473" s="338"/>
      <c r="KI473" s="338"/>
      <c r="KJ473" s="338"/>
      <c r="KK473" s="338"/>
      <c r="KL473" s="338"/>
      <c r="KM473" s="338"/>
      <c r="KN473" s="338"/>
      <c r="KO473" s="338"/>
      <c r="KP473" s="338"/>
      <c r="KQ473" s="338"/>
      <c r="KR473" s="338"/>
      <c r="KS473" s="338"/>
      <c r="KT473" s="338"/>
      <c r="KU473" s="338"/>
      <c r="KV473" s="338"/>
      <c r="KW473" s="337"/>
      <c r="KX473" s="336"/>
      <c r="KY473" s="336"/>
      <c r="KZ473" s="336"/>
      <c r="LA473" s="336"/>
      <c r="LB473" s="336"/>
      <c r="LC473" s="336"/>
      <c r="LD473" s="336"/>
      <c r="LE473" s="336"/>
      <c r="LF473" s="336"/>
      <c r="LG473" s="336"/>
      <c r="LH473" s="336"/>
      <c r="LI473" s="336"/>
      <c r="LJ473" s="336"/>
      <c r="LK473" s="336"/>
      <c r="LL473" s="336"/>
      <c r="LM473" s="336"/>
      <c r="LN473" s="336"/>
      <c r="LO473" s="336"/>
      <c r="LP473" s="336"/>
      <c r="LQ473" s="337"/>
      <c r="MN473" s="10"/>
      <c r="OA473" s="10"/>
    </row>
    <row r="474" spans="1:391" s="370" customFormat="1" x14ac:dyDescent="0.25">
      <c r="A474" s="68"/>
      <c r="B474" s="10"/>
      <c r="C474" s="68"/>
      <c r="D474" s="68"/>
      <c r="E474" s="68"/>
      <c r="F474" s="68"/>
      <c r="G474" s="68"/>
      <c r="H474" s="68"/>
      <c r="I474" s="68"/>
      <c r="J474" s="68"/>
      <c r="K474" s="68"/>
      <c r="L474" s="68"/>
      <c r="M474" s="68"/>
      <c r="N474" s="68"/>
      <c r="O474" s="68"/>
      <c r="P474" s="68"/>
      <c r="Q474" s="68"/>
      <c r="R474" s="68"/>
      <c r="S474" s="68"/>
      <c r="T474" s="70"/>
      <c r="AC474" s="68"/>
      <c r="AD474" s="70"/>
      <c r="AM474" s="68"/>
      <c r="AN474" s="70"/>
      <c r="AU474" s="68"/>
      <c r="AV474" s="70"/>
      <c r="BB474" s="68"/>
      <c r="BC474" s="70"/>
      <c r="BD474" s="68"/>
      <c r="BE474" s="68"/>
      <c r="BF474" s="68"/>
      <c r="BG474" s="68"/>
      <c r="BH474" s="68"/>
      <c r="BI474" s="68"/>
      <c r="BJ474" s="70"/>
      <c r="BM474" s="68"/>
      <c r="BN474" s="70"/>
      <c r="BT474" s="68"/>
      <c r="BU474" s="70"/>
      <c r="BZ474" s="10"/>
      <c r="CF474" s="10"/>
      <c r="CI474" s="389"/>
      <c r="CJ474" s="389"/>
      <c r="CK474" s="68"/>
      <c r="CL474" s="70"/>
      <c r="CO474" s="10"/>
      <c r="CU474" s="10"/>
      <c r="DA474" s="10"/>
      <c r="DB474" s="70"/>
      <c r="DC474" s="70"/>
      <c r="DF474" s="68"/>
      <c r="DG474" s="70"/>
      <c r="DH474" s="68"/>
      <c r="DI474" s="386"/>
      <c r="DJ474" s="425"/>
      <c r="DL474" s="68"/>
      <c r="DM474" s="70"/>
      <c r="DQ474" s="68"/>
      <c r="DR474" s="70"/>
      <c r="DS474" s="338"/>
      <c r="DT474" s="338"/>
      <c r="DU474" s="338"/>
      <c r="DW474" s="338"/>
      <c r="DX474" s="338"/>
      <c r="DY474" s="338"/>
      <c r="EA474" s="338"/>
      <c r="EB474" s="338"/>
      <c r="EC474" s="338"/>
      <c r="EE474" s="338"/>
      <c r="EF474" s="338"/>
      <c r="EG474" s="338"/>
      <c r="EI474" s="336"/>
      <c r="EJ474" s="336"/>
      <c r="EK474" s="336"/>
      <c r="EL474" s="336"/>
      <c r="EM474" s="336"/>
      <c r="EN474" s="336"/>
      <c r="EO474" s="337"/>
      <c r="EP474" s="342"/>
      <c r="EQ474" s="336"/>
      <c r="ER474" s="342"/>
      <c r="ES474" s="336"/>
      <c r="ET474" s="342"/>
      <c r="EU474" s="336"/>
      <c r="EV474" s="342"/>
      <c r="EW474" s="336"/>
      <c r="EX474" s="342"/>
      <c r="EY474" s="342"/>
      <c r="EZ474" s="342"/>
      <c r="FA474" s="337"/>
      <c r="FE474" s="338"/>
      <c r="FH474" s="338"/>
      <c r="FI474" s="338"/>
      <c r="FJ474" s="338"/>
      <c r="FK474" s="338"/>
      <c r="FL474" s="338"/>
      <c r="FM474" s="337"/>
      <c r="FN474" s="336"/>
      <c r="FO474" s="336"/>
      <c r="FP474" s="336"/>
      <c r="FQ474" s="336"/>
      <c r="FR474" s="336"/>
      <c r="FS474" s="336"/>
      <c r="FT474" s="336"/>
      <c r="FU474" s="336"/>
      <c r="FV474" s="336"/>
      <c r="FW474" s="337"/>
      <c r="FX474" s="532"/>
      <c r="FY474" s="341"/>
      <c r="FZ474" s="341"/>
      <c r="GA474" s="336"/>
      <c r="GB474" s="341"/>
      <c r="GC474" s="341"/>
      <c r="GD474" s="341"/>
      <c r="GE474" s="336"/>
      <c r="GF474" s="336"/>
      <c r="GG474" s="336"/>
      <c r="GH474" s="336"/>
      <c r="GI474" s="336"/>
      <c r="GJ474" s="337"/>
      <c r="GM474" s="338"/>
      <c r="GN474" s="338"/>
      <c r="GO474" s="338"/>
      <c r="GS474" s="338"/>
      <c r="GT474" s="338"/>
      <c r="GU474" s="338"/>
      <c r="GY474" s="338"/>
      <c r="GZ474" s="338"/>
      <c r="HA474" s="338"/>
      <c r="HE474" s="338"/>
      <c r="HF474" s="338"/>
      <c r="HG474" s="338"/>
      <c r="HN474" s="68"/>
      <c r="HO474" s="68"/>
      <c r="HP474" s="68"/>
      <c r="HQ474" s="336"/>
      <c r="HR474" s="68"/>
      <c r="HS474" s="68"/>
      <c r="HT474" s="10"/>
      <c r="HW474" s="338"/>
      <c r="HX474" s="338"/>
      <c r="HY474" s="338"/>
      <c r="IC474" s="338"/>
      <c r="ID474" s="338"/>
      <c r="IE474" s="338"/>
      <c r="II474" s="338"/>
      <c r="IJ474" s="338"/>
      <c r="IK474" s="338"/>
      <c r="IO474" s="338"/>
      <c r="IP474" s="338"/>
      <c r="IQ474" s="338"/>
      <c r="IX474" s="68"/>
      <c r="IY474" s="68"/>
      <c r="IZ474" s="68"/>
      <c r="JA474" s="68"/>
      <c r="JB474" s="68"/>
      <c r="JC474" s="68"/>
      <c r="JD474" s="10"/>
      <c r="JG474" s="338"/>
      <c r="JH474" s="338"/>
      <c r="JI474" s="338"/>
      <c r="JM474" s="338"/>
      <c r="JN474" s="338"/>
      <c r="JQ474" s="338"/>
      <c r="JR474" s="338"/>
      <c r="JS474" s="338"/>
      <c r="JW474" s="358"/>
      <c r="JX474" s="336"/>
      <c r="JY474" s="336"/>
      <c r="JZ474" s="336"/>
      <c r="KA474" s="336"/>
      <c r="KB474" s="336"/>
      <c r="KC474" s="336"/>
      <c r="KD474" s="336"/>
      <c r="KE474" s="336"/>
      <c r="KF474" s="336"/>
      <c r="KG474" s="337"/>
      <c r="KH474" s="338"/>
      <c r="KI474" s="338"/>
      <c r="KJ474" s="338"/>
      <c r="KK474" s="338"/>
      <c r="KL474" s="338"/>
      <c r="KM474" s="338"/>
      <c r="KN474" s="338"/>
      <c r="KO474" s="338"/>
      <c r="KP474" s="338"/>
      <c r="KQ474" s="338"/>
      <c r="KR474" s="338"/>
      <c r="KS474" s="338"/>
      <c r="KT474" s="338"/>
      <c r="KU474" s="338"/>
      <c r="KV474" s="338"/>
      <c r="KW474" s="337"/>
      <c r="KX474" s="336"/>
      <c r="KY474" s="336"/>
      <c r="KZ474" s="336"/>
      <c r="LA474" s="336"/>
      <c r="LB474" s="336"/>
      <c r="LC474" s="336"/>
      <c r="LD474" s="336"/>
      <c r="LE474" s="336"/>
      <c r="LF474" s="336"/>
      <c r="LG474" s="336"/>
      <c r="LH474" s="336"/>
      <c r="LI474" s="336"/>
      <c r="LJ474" s="336"/>
      <c r="LK474" s="336"/>
      <c r="LL474" s="336"/>
      <c r="LM474" s="336"/>
      <c r="LN474" s="336"/>
      <c r="LO474" s="336"/>
      <c r="LP474" s="336"/>
      <c r="LQ474" s="337"/>
      <c r="MN474" s="10"/>
      <c r="OA474" s="10"/>
    </row>
    <row r="475" spans="1:391" s="370" customFormat="1" x14ac:dyDescent="0.25">
      <c r="A475" s="68"/>
      <c r="B475" s="10"/>
      <c r="C475" s="68"/>
      <c r="D475" s="68"/>
      <c r="E475" s="68"/>
      <c r="F475" s="68"/>
      <c r="G475" s="68"/>
      <c r="H475" s="68"/>
      <c r="I475" s="68"/>
      <c r="J475" s="68"/>
      <c r="K475" s="68"/>
      <c r="L475" s="68"/>
      <c r="M475" s="68"/>
      <c r="N475" s="68"/>
      <c r="O475" s="68"/>
      <c r="P475" s="68"/>
      <c r="Q475" s="68"/>
      <c r="R475" s="68"/>
      <c r="S475" s="68"/>
      <c r="T475" s="70"/>
      <c r="AC475" s="68"/>
      <c r="AD475" s="70"/>
      <c r="AM475" s="68"/>
      <c r="AN475" s="70"/>
      <c r="AU475" s="68"/>
      <c r="AV475" s="70"/>
      <c r="BB475" s="68"/>
      <c r="BC475" s="70"/>
      <c r="BD475" s="68"/>
      <c r="BE475" s="68"/>
      <c r="BF475" s="68"/>
      <c r="BG475" s="68"/>
      <c r="BH475" s="68"/>
      <c r="BI475" s="68"/>
      <c r="BJ475" s="70"/>
      <c r="BM475" s="68"/>
      <c r="BN475" s="70"/>
      <c r="BT475" s="68"/>
      <c r="BU475" s="70"/>
      <c r="BZ475" s="10"/>
      <c r="CF475" s="10"/>
      <c r="CI475" s="389"/>
      <c r="CJ475" s="389"/>
      <c r="CK475" s="68"/>
      <c r="CL475" s="70"/>
      <c r="CO475" s="10"/>
      <c r="CU475" s="10"/>
      <c r="DA475" s="10"/>
      <c r="DB475" s="70"/>
      <c r="DC475" s="70"/>
      <c r="DF475" s="68"/>
      <c r="DG475" s="70"/>
      <c r="DH475" s="68"/>
      <c r="DI475" s="386"/>
      <c r="DJ475" s="425"/>
      <c r="DL475" s="68"/>
      <c r="DM475" s="70"/>
      <c r="DQ475" s="68"/>
      <c r="DR475" s="70"/>
      <c r="DS475" s="338"/>
      <c r="DT475" s="338"/>
      <c r="DU475" s="338"/>
      <c r="DW475" s="338"/>
      <c r="DX475" s="338"/>
      <c r="DY475" s="338"/>
      <c r="EA475" s="338"/>
      <c r="EB475" s="338"/>
      <c r="EC475" s="338"/>
      <c r="EE475" s="338"/>
      <c r="EF475" s="338"/>
      <c r="EG475" s="338"/>
      <c r="EI475" s="336"/>
      <c r="EJ475" s="336"/>
      <c r="EK475" s="336"/>
      <c r="EL475" s="336"/>
      <c r="EM475" s="336"/>
      <c r="EN475" s="336"/>
      <c r="EO475" s="337"/>
      <c r="EP475" s="342"/>
      <c r="EQ475" s="336"/>
      <c r="ER475" s="342"/>
      <c r="ES475" s="336"/>
      <c r="ET475" s="342"/>
      <c r="EU475" s="336"/>
      <c r="EV475" s="342"/>
      <c r="EW475" s="336"/>
      <c r="EX475" s="342"/>
      <c r="EY475" s="342"/>
      <c r="EZ475" s="342"/>
      <c r="FA475" s="337"/>
      <c r="FE475" s="338"/>
      <c r="FH475" s="338"/>
      <c r="FI475" s="338"/>
      <c r="FJ475" s="338"/>
      <c r="FK475" s="338"/>
      <c r="FL475" s="338"/>
      <c r="FM475" s="337"/>
      <c r="FN475" s="336"/>
      <c r="FO475" s="336"/>
      <c r="FP475" s="336"/>
      <c r="FQ475" s="336"/>
      <c r="FR475" s="336"/>
      <c r="FS475" s="336"/>
      <c r="FT475" s="336"/>
      <c r="FU475" s="336"/>
      <c r="FV475" s="336"/>
      <c r="FW475" s="337"/>
      <c r="FX475" s="532"/>
      <c r="FY475" s="341"/>
      <c r="FZ475" s="341"/>
      <c r="GA475" s="336"/>
      <c r="GB475" s="341"/>
      <c r="GC475" s="341"/>
      <c r="GD475" s="341"/>
      <c r="GE475" s="336"/>
      <c r="GF475" s="336"/>
      <c r="GG475" s="336"/>
      <c r="GH475" s="336"/>
      <c r="GI475" s="336"/>
      <c r="GJ475" s="337"/>
      <c r="GM475" s="338"/>
      <c r="GN475" s="338"/>
      <c r="GO475" s="338"/>
      <c r="GS475" s="338"/>
      <c r="GT475" s="338"/>
      <c r="GU475" s="338"/>
      <c r="GY475" s="338"/>
      <c r="GZ475" s="338"/>
      <c r="HA475" s="338"/>
      <c r="HE475" s="338"/>
      <c r="HF475" s="338"/>
      <c r="HG475" s="338"/>
      <c r="HN475" s="68"/>
      <c r="HO475" s="68"/>
      <c r="HP475" s="68"/>
      <c r="HQ475" s="336"/>
      <c r="HR475" s="68"/>
      <c r="HS475" s="68"/>
      <c r="HT475" s="10"/>
      <c r="HW475" s="338"/>
      <c r="HX475" s="338"/>
      <c r="HY475" s="338"/>
      <c r="IC475" s="338"/>
      <c r="ID475" s="338"/>
      <c r="IE475" s="338"/>
      <c r="II475" s="338"/>
      <c r="IJ475" s="338"/>
      <c r="IK475" s="338"/>
      <c r="IO475" s="338"/>
      <c r="IP475" s="338"/>
      <c r="IQ475" s="338"/>
      <c r="IX475" s="68"/>
      <c r="IY475" s="68"/>
      <c r="IZ475" s="68"/>
      <c r="JA475" s="68"/>
      <c r="JB475" s="68"/>
      <c r="JC475" s="68"/>
      <c r="JD475" s="10"/>
      <c r="JG475" s="338"/>
      <c r="JH475" s="338"/>
      <c r="JI475" s="338"/>
      <c r="JM475" s="338"/>
      <c r="JN475" s="338"/>
      <c r="JQ475" s="338"/>
      <c r="JR475" s="338"/>
      <c r="JS475" s="338"/>
      <c r="JW475" s="358"/>
      <c r="JX475" s="336"/>
      <c r="JY475" s="336"/>
      <c r="JZ475" s="336"/>
      <c r="KA475" s="336"/>
      <c r="KB475" s="336"/>
      <c r="KC475" s="336"/>
      <c r="KD475" s="336"/>
      <c r="KE475" s="336"/>
      <c r="KF475" s="336"/>
      <c r="KG475" s="337"/>
      <c r="KH475" s="338"/>
      <c r="KI475" s="338"/>
      <c r="KJ475" s="338"/>
      <c r="KK475" s="338"/>
      <c r="KL475" s="338"/>
      <c r="KM475" s="338"/>
      <c r="KN475" s="338"/>
      <c r="KO475" s="338"/>
      <c r="KP475" s="338"/>
      <c r="KQ475" s="338"/>
      <c r="KR475" s="338"/>
      <c r="KS475" s="338"/>
      <c r="KT475" s="338"/>
      <c r="KU475" s="338"/>
      <c r="KV475" s="338"/>
      <c r="KW475" s="337"/>
      <c r="KX475" s="336"/>
      <c r="KY475" s="336"/>
      <c r="KZ475" s="336"/>
      <c r="LA475" s="336"/>
      <c r="LB475" s="336"/>
      <c r="LC475" s="336"/>
      <c r="LD475" s="336"/>
      <c r="LE475" s="336"/>
      <c r="LF475" s="336"/>
      <c r="LG475" s="336"/>
      <c r="LH475" s="336"/>
      <c r="LI475" s="336"/>
      <c r="LJ475" s="336"/>
      <c r="LK475" s="336"/>
      <c r="LL475" s="336"/>
      <c r="LM475" s="336"/>
      <c r="LN475" s="336"/>
      <c r="LO475" s="336"/>
      <c r="LP475" s="336"/>
      <c r="LQ475" s="337"/>
      <c r="MN475" s="10"/>
      <c r="OA475" s="10"/>
    </row>
    <row r="476" spans="1:391" s="370" customFormat="1" x14ac:dyDescent="0.25">
      <c r="A476" s="68"/>
      <c r="B476" s="10"/>
      <c r="C476" s="68"/>
      <c r="D476" s="68"/>
      <c r="E476" s="68"/>
      <c r="F476" s="68"/>
      <c r="G476" s="68"/>
      <c r="H476" s="68"/>
      <c r="I476" s="68"/>
      <c r="J476" s="68"/>
      <c r="K476" s="68"/>
      <c r="L476" s="68"/>
      <c r="M476" s="68"/>
      <c r="N476" s="68"/>
      <c r="O476" s="68"/>
      <c r="P476" s="68"/>
      <c r="Q476" s="68"/>
      <c r="R476" s="68"/>
      <c r="S476" s="68"/>
      <c r="T476" s="70"/>
      <c r="AC476" s="68"/>
      <c r="AD476" s="70"/>
      <c r="AM476" s="68"/>
      <c r="AN476" s="70"/>
      <c r="AU476" s="68"/>
      <c r="AV476" s="70"/>
      <c r="BB476" s="68"/>
      <c r="BC476" s="70"/>
      <c r="BD476" s="68"/>
      <c r="BE476" s="68"/>
      <c r="BF476" s="68"/>
      <c r="BG476" s="68"/>
      <c r="BH476" s="68"/>
      <c r="BI476" s="68"/>
      <c r="BJ476" s="70"/>
      <c r="BM476" s="68"/>
      <c r="BN476" s="70"/>
      <c r="BT476" s="68"/>
      <c r="BU476" s="70"/>
      <c r="BZ476" s="10"/>
      <c r="CF476" s="10"/>
      <c r="CI476" s="389"/>
      <c r="CJ476" s="389"/>
      <c r="CK476" s="68"/>
      <c r="CL476" s="70"/>
      <c r="CO476" s="10"/>
      <c r="CU476" s="10"/>
      <c r="DA476" s="10"/>
      <c r="DB476" s="70"/>
      <c r="DC476" s="70"/>
      <c r="DF476" s="68"/>
      <c r="DG476" s="70"/>
      <c r="DH476" s="68"/>
      <c r="DI476" s="386"/>
      <c r="DJ476" s="425"/>
      <c r="DL476" s="68"/>
      <c r="DM476" s="70"/>
      <c r="DQ476" s="68"/>
      <c r="DR476" s="70"/>
      <c r="DS476" s="338"/>
      <c r="DT476" s="338"/>
      <c r="DU476" s="338"/>
      <c r="DW476" s="338"/>
      <c r="DX476" s="338"/>
      <c r="DY476" s="338"/>
      <c r="EA476" s="338"/>
      <c r="EB476" s="338"/>
      <c r="EC476" s="338"/>
      <c r="EE476" s="338"/>
      <c r="EF476" s="338"/>
      <c r="EG476" s="338"/>
      <c r="EI476" s="336"/>
      <c r="EJ476" s="336"/>
      <c r="EK476" s="336"/>
      <c r="EL476" s="336"/>
      <c r="EM476" s="336"/>
      <c r="EN476" s="336"/>
      <c r="EO476" s="337"/>
      <c r="EP476" s="342"/>
      <c r="EQ476" s="336"/>
      <c r="ER476" s="342"/>
      <c r="ES476" s="336"/>
      <c r="ET476" s="342"/>
      <c r="EU476" s="336"/>
      <c r="EV476" s="342"/>
      <c r="EW476" s="336"/>
      <c r="EX476" s="342"/>
      <c r="EY476" s="342"/>
      <c r="EZ476" s="342"/>
      <c r="FA476" s="337"/>
      <c r="FE476" s="338"/>
      <c r="FH476" s="338"/>
      <c r="FI476" s="338"/>
      <c r="FJ476" s="338"/>
      <c r="FK476" s="338"/>
      <c r="FL476" s="338"/>
      <c r="FM476" s="337"/>
      <c r="FN476" s="336"/>
      <c r="FO476" s="336"/>
      <c r="FP476" s="336"/>
      <c r="FQ476" s="336"/>
      <c r="FR476" s="336"/>
      <c r="FS476" s="336"/>
      <c r="FT476" s="336"/>
      <c r="FU476" s="336"/>
      <c r="FV476" s="336"/>
      <c r="FW476" s="337"/>
      <c r="FX476" s="532"/>
      <c r="FY476" s="341"/>
      <c r="FZ476" s="341"/>
      <c r="GA476" s="336"/>
      <c r="GB476" s="341"/>
      <c r="GC476" s="341"/>
      <c r="GD476" s="341"/>
      <c r="GE476" s="336"/>
      <c r="GF476" s="336"/>
      <c r="GG476" s="336"/>
      <c r="GH476" s="336"/>
      <c r="GI476" s="336"/>
      <c r="GJ476" s="337"/>
      <c r="GM476" s="338"/>
      <c r="GN476" s="338"/>
      <c r="GO476" s="338"/>
      <c r="GS476" s="338"/>
      <c r="GT476" s="338"/>
      <c r="GU476" s="338"/>
      <c r="GY476" s="338"/>
      <c r="GZ476" s="338"/>
      <c r="HA476" s="338"/>
      <c r="HE476" s="338"/>
      <c r="HF476" s="338"/>
      <c r="HG476" s="338"/>
      <c r="HN476" s="68"/>
      <c r="HO476" s="68"/>
      <c r="HP476" s="68"/>
      <c r="HQ476" s="336"/>
      <c r="HR476" s="68"/>
      <c r="HS476" s="68"/>
      <c r="HT476" s="10"/>
      <c r="HW476" s="338"/>
      <c r="HX476" s="338"/>
      <c r="HY476" s="338"/>
      <c r="IC476" s="338"/>
      <c r="ID476" s="338"/>
      <c r="IE476" s="338"/>
      <c r="II476" s="338"/>
      <c r="IJ476" s="338"/>
      <c r="IK476" s="338"/>
      <c r="IO476" s="338"/>
      <c r="IP476" s="338"/>
      <c r="IQ476" s="338"/>
      <c r="IX476" s="68"/>
      <c r="IY476" s="68"/>
      <c r="IZ476" s="68"/>
      <c r="JA476" s="68"/>
      <c r="JB476" s="68"/>
      <c r="JC476" s="68"/>
      <c r="JD476" s="10"/>
      <c r="JG476" s="338"/>
      <c r="JH476" s="338"/>
      <c r="JI476" s="338"/>
      <c r="JM476" s="338"/>
      <c r="JN476" s="338"/>
      <c r="JQ476" s="338"/>
      <c r="JR476" s="338"/>
      <c r="JS476" s="338"/>
      <c r="JW476" s="358"/>
      <c r="JX476" s="336"/>
      <c r="JY476" s="336"/>
      <c r="JZ476" s="336"/>
      <c r="KA476" s="336"/>
      <c r="KB476" s="336"/>
      <c r="KC476" s="336"/>
      <c r="KD476" s="336"/>
      <c r="KE476" s="336"/>
      <c r="KF476" s="336"/>
      <c r="KG476" s="337"/>
      <c r="KH476" s="338"/>
      <c r="KI476" s="338"/>
      <c r="KJ476" s="338"/>
      <c r="KK476" s="338"/>
      <c r="KL476" s="338"/>
      <c r="KM476" s="338"/>
      <c r="KN476" s="338"/>
      <c r="KO476" s="338"/>
      <c r="KP476" s="338"/>
      <c r="KQ476" s="338"/>
      <c r="KR476" s="338"/>
      <c r="KS476" s="338"/>
      <c r="KT476" s="338"/>
      <c r="KU476" s="338"/>
      <c r="KV476" s="338"/>
      <c r="KW476" s="337"/>
      <c r="KX476" s="336"/>
      <c r="KY476" s="336"/>
      <c r="KZ476" s="336"/>
      <c r="LA476" s="336"/>
      <c r="LB476" s="336"/>
      <c r="LC476" s="336"/>
      <c r="LD476" s="336"/>
      <c r="LE476" s="336"/>
      <c r="LF476" s="336"/>
      <c r="LG476" s="336"/>
      <c r="LH476" s="336"/>
      <c r="LI476" s="336"/>
      <c r="LJ476" s="336"/>
      <c r="LK476" s="336"/>
      <c r="LL476" s="336"/>
      <c r="LM476" s="336"/>
      <c r="LN476" s="336"/>
      <c r="LO476" s="336"/>
      <c r="LP476" s="336"/>
      <c r="LQ476" s="337"/>
      <c r="MN476" s="10"/>
      <c r="OA476" s="10"/>
    </row>
    <row r="477" spans="1:391" s="370" customFormat="1" x14ac:dyDescent="0.25">
      <c r="A477" s="68"/>
      <c r="B477" s="10"/>
      <c r="C477" s="68"/>
      <c r="D477" s="68"/>
      <c r="E477" s="68"/>
      <c r="F477" s="68"/>
      <c r="G477" s="68"/>
      <c r="H477" s="68"/>
      <c r="I477" s="68"/>
      <c r="J477" s="68"/>
      <c r="K477" s="68"/>
      <c r="L477" s="68"/>
      <c r="M477" s="68"/>
      <c r="N477" s="68"/>
      <c r="O477" s="68"/>
      <c r="P477" s="68"/>
      <c r="Q477" s="68"/>
      <c r="R477" s="68"/>
      <c r="S477" s="68"/>
      <c r="T477" s="70"/>
      <c r="AC477" s="68"/>
      <c r="AD477" s="70"/>
      <c r="AM477" s="68"/>
      <c r="AN477" s="70"/>
      <c r="AU477" s="68"/>
      <c r="AV477" s="70"/>
      <c r="BB477" s="68"/>
      <c r="BC477" s="70"/>
      <c r="BD477" s="68"/>
      <c r="BE477" s="68"/>
      <c r="BF477" s="68"/>
      <c r="BG477" s="68"/>
      <c r="BH477" s="68"/>
      <c r="BI477" s="68"/>
      <c r="BJ477" s="70"/>
      <c r="BM477" s="68"/>
      <c r="BN477" s="70"/>
      <c r="BT477" s="68"/>
      <c r="BU477" s="70"/>
      <c r="BZ477" s="10"/>
      <c r="CF477" s="10"/>
      <c r="CI477" s="389"/>
      <c r="CJ477" s="389"/>
      <c r="CK477" s="68"/>
      <c r="CL477" s="70"/>
      <c r="CO477" s="10"/>
      <c r="CU477" s="10"/>
      <c r="DA477" s="10"/>
      <c r="DB477" s="70"/>
      <c r="DC477" s="70"/>
      <c r="DF477" s="68"/>
      <c r="DG477" s="70"/>
      <c r="DH477" s="68"/>
      <c r="DI477" s="386"/>
      <c r="DJ477" s="425"/>
      <c r="DL477" s="68"/>
      <c r="DM477" s="70"/>
      <c r="DQ477" s="68"/>
      <c r="DR477" s="70"/>
      <c r="DS477" s="338"/>
      <c r="DT477" s="338"/>
      <c r="DU477" s="338"/>
      <c r="DW477" s="338"/>
      <c r="DX477" s="338"/>
      <c r="DY477" s="338"/>
      <c r="EA477" s="338"/>
      <c r="EB477" s="338"/>
      <c r="EC477" s="338"/>
      <c r="EE477" s="338"/>
      <c r="EF477" s="338"/>
      <c r="EG477" s="338"/>
      <c r="EI477" s="336"/>
      <c r="EJ477" s="336"/>
      <c r="EK477" s="336"/>
      <c r="EL477" s="336"/>
      <c r="EM477" s="336"/>
      <c r="EN477" s="336"/>
      <c r="EO477" s="337"/>
      <c r="EP477" s="342"/>
      <c r="EQ477" s="336"/>
      <c r="ER477" s="342"/>
      <c r="ES477" s="336"/>
      <c r="ET477" s="342"/>
      <c r="EU477" s="336"/>
      <c r="EV477" s="342"/>
      <c r="EW477" s="336"/>
      <c r="EX477" s="342"/>
      <c r="EY477" s="342"/>
      <c r="EZ477" s="342"/>
      <c r="FA477" s="337"/>
      <c r="FE477" s="338"/>
      <c r="FH477" s="338"/>
      <c r="FI477" s="338"/>
      <c r="FJ477" s="338"/>
      <c r="FK477" s="338"/>
      <c r="FL477" s="338"/>
      <c r="FM477" s="337"/>
      <c r="FN477" s="336"/>
      <c r="FO477" s="336"/>
      <c r="FP477" s="336"/>
      <c r="FQ477" s="336"/>
      <c r="FR477" s="336"/>
      <c r="FS477" s="336"/>
      <c r="FT477" s="336"/>
      <c r="FU477" s="336"/>
      <c r="FV477" s="336"/>
      <c r="FW477" s="337"/>
      <c r="FX477" s="532"/>
      <c r="FY477" s="341"/>
      <c r="FZ477" s="341"/>
      <c r="GA477" s="336"/>
      <c r="GB477" s="341"/>
      <c r="GC477" s="341"/>
      <c r="GD477" s="341"/>
      <c r="GE477" s="336"/>
      <c r="GF477" s="336"/>
      <c r="GG477" s="336"/>
      <c r="GH477" s="336"/>
      <c r="GI477" s="336"/>
      <c r="GJ477" s="337"/>
      <c r="GM477" s="338"/>
      <c r="GN477" s="338"/>
      <c r="GO477" s="338"/>
      <c r="GS477" s="338"/>
      <c r="GT477" s="338"/>
      <c r="GU477" s="338"/>
      <c r="GY477" s="338"/>
      <c r="GZ477" s="338"/>
      <c r="HA477" s="338"/>
      <c r="HE477" s="338"/>
      <c r="HF477" s="338"/>
      <c r="HG477" s="338"/>
      <c r="HN477" s="68"/>
      <c r="HO477" s="68"/>
      <c r="HP477" s="68"/>
      <c r="HQ477" s="336"/>
      <c r="HR477" s="68"/>
      <c r="HS477" s="68"/>
      <c r="HT477" s="10"/>
      <c r="HW477" s="338"/>
      <c r="HX477" s="338"/>
      <c r="HY477" s="338"/>
      <c r="IC477" s="338"/>
      <c r="ID477" s="338"/>
      <c r="IE477" s="338"/>
      <c r="II477" s="338"/>
      <c r="IJ477" s="338"/>
      <c r="IK477" s="338"/>
      <c r="IO477" s="338"/>
      <c r="IP477" s="338"/>
      <c r="IQ477" s="338"/>
      <c r="IX477" s="68"/>
      <c r="IY477" s="68"/>
      <c r="IZ477" s="68"/>
      <c r="JA477" s="68"/>
      <c r="JB477" s="68"/>
      <c r="JC477" s="68"/>
      <c r="JD477" s="10"/>
      <c r="JG477" s="338"/>
      <c r="JH477" s="338"/>
      <c r="JI477" s="338"/>
      <c r="JM477" s="338"/>
      <c r="JN477" s="338"/>
      <c r="JQ477" s="338"/>
      <c r="JR477" s="338"/>
      <c r="JS477" s="338"/>
      <c r="JW477" s="358"/>
      <c r="JX477" s="336"/>
      <c r="JY477" s="336"/>
      <c r="JZ477" s="336"/>
      <c r="KA477" s="336"/>
      <c r="KB477" s="336"/>
      <c r="KC477" s="336"/>
      <c r="KD477" s="336"/>
      <c r="KE477" s="336"/>
      <c r="KF477" s="336"/>
      <c r="KG477" s="337"/>
      <c r="KH477" s="338"/>
      <c r="KI477" s="338"/>
      <c r="KJ477" s="338"/>
      <c r="KK477" s="338"/>
      <c r="KL477" s="338"/>
      <c r="KM477" s="338"/>
      <c r="KN477" s="338"/>
      <c r="KO477" s="338"/>
      <c r="KP477" s="338"/>
      <c r="KQ477" s="338"/>
      <c r="KR477" s="338"/>
      <c r="KS477" s="338"/>
      <c r="KT477" s="338"/>
      <c r="KU477" s="338"/>
      <c r="KV477" s="338"/>
      <c r="KW477" s="337"/>
      <c r="KX477" s="336"/>
      <c r="KY477" s="336"/>
      <c r="KZ477" s="336"/>
      <c r="LA477" s="336"/>
      <c r="LB477" s="336"/>
      <c r="LC477" s="336"/>
      <c r="LD477" s="336"/>
      <c r="LE477" s="336"/>
      <c r="LF477" s="336"/>
      <c r="LG477" s="336"/>
      <c r="LH477" s="336"/>
      <c r="LI477" s="336"/>
      <c r="LJ477" s="336"/>
      <c r="LK477" s="336"/>
      <c r="LL477" s="336"/>
      <c r="LM477" s="336"/>
      <c r="LN477" s="336"/>
      <c r="LO477" s="336"/>
      <c r="LP477" s="336"/>
      <c r="LQ477" s="337"/>
      <c r="MN477" s="10"/>
      <c r="OA477" s="10"/>
    </row>
    <row r="478" spans="1:391" s="370" customFormat="1" x14ac:dyDescent="0.25">
      <c r="A478" s="68"/>
      <c r="B478" s="10"/>
      <c r="C478" s="68"/>
      <c r="D478" s="68"/>
      <c r="E478" s="68"/>
      <c r="F478" s="68"/>
      <c r="G478" s="68"/>
      <c r="H478" s="68"/>
      <c r="I478" s="68"/>
      <c r="J478" s="68"/>
      <c r="K478" s="68"/>
      <c r="L478" s="68"/>
      <c r="M478" s="68"/>
      <c r="N478" s="68"/>
      <c r="O478" s="68"/>
      <c r="P478" s="68"/>
      <c r="Q478" s="68"/>
      <c r="R478" s="68"/>
      <c r="S478" s="68"/>
      <c r="T478" s="70"/>
      <c r="AC478" s="68"/>
      <c r="AD478" s="70"/>
      <c r="AM478" s="68"/>
      <c r="AN478" s="70"/>
      <c r="AU478" s="68"/>
      <c r="AV478" s="70"/>
      <c r="BB478" s="68"/>
      <c r="BC478" s="70"/>
      <c r="BD478" s="68"/>
      <c r="BE478" s="68"/>
      <c r="BF478" s="68"/>
      <c r="BG478" s="68"/>
      <c r="BH478" s="68"/>
      <c r="BI478" s="68"/>
      <c r="BJ478" s="70"/>
      <c r="BM478" s="68"/>
      <c r="BN478" s="70"/>
      <c r="BT478" s="68"/>
      <c r="BU478" s="70"/>
      <c r="BZ478" s="10"/>
      <c r="CF478" s="10"/>
      <c r="CI478" s="389"/>
      <c r="CJ478" s="389"/>
      <c r="CK478" s="68"/>
      <c r="CL478" s="70"/>
      <c r="CO478" s="10"/>
      <c r="CU478" s="10"/>
      <c r="DA478" s="10"/>
      <c r="DB478" s="70"/>
      <c r="DC478" s="70"/>
      <c r="DF478" s="68"/>
      <c r="DG478" s="70"/>
      <c r="DH478" s="68"/>
      <c r="DI478" s="386"/>
      <c r="DJ478" s="425"/>
      <c r="DL478" s="68"/>
      <c r="DM478" s="70"/>
      <c r="DQ478" s="68"/>
      <c r="DR478" s="70"/>
      <c r="DS478" s="338"/>
      <c r="DT478" s="338"/>
      <c r="DU478" s="338"/>
      <c r="DW478" s="338"/>
      <c r="DX478" s="338"/>
      <c r="DY478" s="338"/>
      <c r="EA478" s="338"/>
      <c r="EB478" s="338"/>
      <c r="EC478" s="338"/>
      <c r="EE478" s="338"/>
      <c r="EF478" s="338"/>
      <c r="EG478" s="338"/>
      <c r="EI478" s="336"/>
      <c r="EJ478" s="336"/>
      <c r="EK478" s="336"/>
      <c r="EL478" s="336"/>
      <c r="EM478" s="336"/>
      <c r="EN478" s="336"/>
      <c r="EO478" s="337"/>
      <c r="EP478" s="342"/>
      <c r="EQ478" s="336"/>
      <c r="ER478" s="342"/>
      <c r="ES478" s="336"/>
      <c r="ET478" s="342"/>
      <c r="EU478" s="336"/>
      <c r="EV478" s="342"/>
      <c r="EW478" s="336"/>
      <c r="EX478" s="342"/>
      <c r="EY478" s="342"/>
      <c r="EZ478" s="342"/>
      <c r="FA478" s="337"/>
      <c r="FE478" s="338"/>
      <c r="FH478" s="338"/>
      <c r="FI478" s="338"/>
      <c r="FJ478" s="338"/>
      <c r="FK478" s="338"/>
      <c r="FL478" s="338"/>
      <c r="FM478" s="337"/>
      <c r="FN478" s="336"/>
      <c r="FO478" s="336"/>
      <c r="FP478" s="336"/>
      <c r="FQ478" s="336"/>
      <c r="FR478" s="336"/>
      <c r="FS478" s="336"/>
      <c r="FT478" s="336"/>
      <c r="FU478" s="336"/>
      <c r="FV478" s="336"/>
      <c r="FW478" s="337"/>
      <c r="FX478" s="532"/>
      <c r="FY478" s="341"/>
      <c r="FZ478" s="341"/>
      <c r="GA478" s="336"/>
      <c r="GB478" s="341"/>
      <c r="GC478" s="341"/>
      <c r="GD478" s="341"/>
      <c r="GE478" s="336"/>
      <c r="GF478" s="336"/>
      <c r="GG478" s="336"/>
      <c r="GH478" s="336"/>
      <c r="GI478" s="336"/>
      <c r="GJ478" s="337"/>
      <c r="GM478" s="338"/>
      <c r="GN478" s="338"/>
      <c r="GO478" s="338"/>
      <c r="GS478" s="338"/>
      <c r="GT478" s="338"/>
      <c r="GU478" s="338"/>
      <c r="GY478" s="338"/>
      <c r="GZ478" s="338"/>
      <c r="HA478" s="338"/>
      <c r="HE478" s="338"/>
      <c r="HF478" s="338"/>
      <c r="HG478" s="338"/>
      <c r="HN478" s="68"/>
      <c r="HO478" s="68"/>
      <c r="HP478" s="68"/>
      <c r="HQ478" s="336"/>
      <c r="HR478" s="68"/>
      <c r="HS478" s="68"/>
      <c r="HT478" s="10"/>
      <c r="HW478" s="338"/>
      <c r="HX478" s="338"/>
      <c r="HY478" s="338"/>
      <c r="IC478" s="338"/>
      <c r="ID478" s="338"/>
      <c r="IE478" s="338"/>
      <c r="II478" s="338"/>
      <c r="IJ478" s="338"/>
      <c r="IK478" s="338"/>
      <c r="IO478" s="338"/>
      <c r="IP478" s="338"/>
      <c r="IQ478" s="338"/>
      <c r="IX478" s="68"/>
      <c r="IY478" s="68"/>
      <c r="IZ478" s="68"/>
      <c r="JA478" s="68"/>
      <c r="JB478" s="68"/>
      <c r="JC478" s="68"/>
      <c r="JD478" s="10"/>
      <c r="JG478" s="338"/>
      <c r="JH478" s="338"/>
      <c r="JI478" s="338"/>
      <c r="JM478" s="338"/>
      <c r="JN478" s="338"/>
      <c r="JQ478" s="338"/>
      <c r="JR478" s="338"/>
      <c r="JS478" s="338"/>
      <c r="JW478" s="358"/>
      <c r="JX478" s="336"/>
      <c r="JY478" s="336"/>
      <c r="JZ478" s="336"/>
      <c r="KA478" s="336"/>
      <c r="KB478" s="336"/>
      <c r="KC478" s="336"/>
      <c r="KD478" s="336"/>
      <c r="KE478" s="336"/>
      <c r="KF478" s="336"/>
      <c r="KG478" s="337"/>
      <c r="KH478" s="338"/>
      <c r="KI478" s="338"/>
      <c r="KJ478" s="338"/>
      <c r="KK478" s="338"/>
      <c r="KL478" s="338"/>
      <c r="KM478" s="338"/>
      <c r="KN478" s="338"/>
      <c r="KO478" s="338"/>
      <c r="KP478" s="338"/>
      <c r="KQ478" s="338"/>
      <c r="KR478" s="338"/>
      <c r="KS478" s="338"/>
      <c r="KT478" s="338"/>
      <c r="KU478" s="338"/>
      <c r="KV478" s="338"/>
      <c r="KW478" s="337"/>
      <c r="KX478" s="336"/>
      <c r="KY478" s="336"/>
      <c r="KZ478" s="336"/>
      <c r="LA478" s="336"/>
      <c r="LB478" s="336"/>
      <c r="LC478" s="336"/>
      <c r="LD478" s="336"/>
      <c r="LE478" s="336"/>
      <c r="LF478" s="336"/>
      <c r="LG478" s="336"/>
      <c r="LH478" s="336"/>
      <c r="LI478" s="336"/>
      <c r="LJ478" s="336"/>
      <c r="LK478" s="336"/>
      <c r="LL478" s="336"/>
      <c r="LM478" s="336"/>
      <c r="LN478" s="336"/>
      <c r="LO478" s="336"/>
      <c r="LP478" s="336"/>
      <c r="LQ478" s="337"/>
      <c r="MN478" s="10"/>
      <c r="OA478" s="10"/>
    </row>
    <row r="479" spans="1:391" s="370" customFormat="1" x14ac:dyDescent="0.25">
      <c r="A479" s="68"/>
      <c r="B479" s="10"/>
      <c r="C479" s="68"/>
      <c r="D479" s="68"/>
      <c r="E479" s="68"/>
      <c r="F479" s="68"/>
      <c r="G479" s="68"/>
      <c r="H479" s="68"/>
      <c r="I479" s="68"/>
      <c r="J479" s="68"/>
      <c r="K479" s="68"/>
      <c r="L479" s="68"/>
      <c r="M479" s="68"/>
      <c r="N479" s="68"/>
      <c r="O479" s="68"/>
      <c r="P479" s="68"/>
      <c r="Q479" s="68"/>
      <c r="R479" s="68"/>
      <c r="S479" s="68"/>
      <c r="T479" s="70"/>
      <c r="AC479" s="68"/>
      <c r="AD479" s="70"/>
      <c r="AM479" s="68"/>
      <c r="AN479" s="70"/>
      <c r="AU479" s="68"/>
      <c r="AV479" s="70"/>
      <c r="BB479" s="68"/>
      <c r="BC479" s="70"/>
      <c r="BD479" s="68"/>
      <c r="BE479" s="68"/>
      <c r="BF479" s="68"/>
      <c r="BG479" s="68"/>
      <c r="BH479" s="68"/>
      <c r="BI479" s="68"/>
      <c r="BJ479" s="70"/>
      <c r="BM479" s="68"/>
      <c r="BN479" s="70"/>
      <c r="BT479" s="68"/>
      <c r="BU479" s="70"/>
      <c r="BZ479" s="10"/>
      <c r="CF479" s="10"/>
      <c r="CI479" s="389"/>
      <c r="CJ479" s="389"/>
      <c r="CK479" s="68"/>
      <c r="CL479" s="70"/>
      <c r="CO479" s="10"/>
      <c r="CU479" s="10"/>
      <c r="DA479" s="10"/>
      <c r="DB479" s="70"/>
      <c r="DC479" s="70"/>
      <c r="DF479" s="68"/>
      <c r="DG479" s="70"/>
      <c r="DH479" s="68"/>
      <c r="DI479" s="386"/>
      <c r="DJ479" s="425"/>
      <c r="DL479" s="68"/>
      <c r="DM479" s="70"/>
      <c r="DQ479" s="68"/>
      <c r="DR479" s="70"/>
      <c r="DS479" s="338"/>
      <c r="DT479" s="338"/>
      <c r="DU479" s="338"/>
      <c r="DW479" s="338"/>
      <c r="DX479" s="338"/>
      <c r="DY479" s="338"/>
      <c r="EA479" s="338"/>
      <c r="EB479" s="338"/>
      <c r="EC479" s="338"/>
      <c r="EE479" s="338"/>
      <c r="EF479" s="338"/>
      <c r="EG479" s="338"/>
      <c r="EI479" s="336"/>
      <c r="EJ479" s="336"/>
      <c r="EK479" s="336"/>
      <c r="EL479" s="336"/>
      <c r="EM479" s="336"/>
      <c r="EN479" s="336"/>
      <c r="EO479" s="337"/>
      <c r="EP479" s="342"/>
      <c r="EQ479" s="336"/>
      <c r="ER479" s="342"/>
      <c r="ES479" s="336"/>
      <c r="ET479" s="342"/>
      <c r="EU479" s="336"/>
      <c r="EV479" s="342"/>
      <c r="EW479" s="336"/>
      <c r="EX479" s="342"/>
      <c r="EY479" s="342"/>
      <c r="EZ479" s="342"/>
      <c r="FA479" s="337"/>
      <c r="FE479" s="338"/>
      <c r="FH479" s="338"/>
      <c r="FI479" s="338"/>
      <c r="FJ479" s="338"/>
      <c r="FK479" s="338"/>
      <c r="FL479" s="338"/>
      <c r="FM479" s="337"/>
      <c r="FN479" s="336"/>
      <c r="FO479" s="336"/>
      <c r="FP479" s="336"/>
      <c r="FQ479" s="336"/>
      <c r="FR479" s="336"/>
      <c r="FS479" s="336"/>
      <c r="FT479" s="336"/>
      <c r="FU479" s="336"/>
      <c r="FV479" s="336"/>
      <c r="FW479" s="337"/>
      <c r="FX479" s="532"/>
      <c r="FY479" s="341"/>
      <c r="FZ479" s="341"/>
      <c r="GA479" s="336"/>
      <c r="GB479" s="341"/>
      <c r="GC479" s="341"/>
      <c r="GD479" s="341"/>
      <c r="GE479" s="336"/>
      <c r="GF479" s="336"/>
      <c r="GG479" s="336"/>
      <c r="GH479" s="336"/>
      <c r="GI479" s="336"/>
      <c r="GJ479" s="337"/>
      <c r="GM479" s="338"/>
      <c r="GN479" s="338"/>
      <c r="GO479" s="338"/>
      <c r="GS479" s="338"/>
      <c r="GT479" s="338"/>
      <c r="GU479" s="338"/>
      <c r="GY479" s="338"/>
      <c r="GZ479" s="338"/>
      <c r="HA479" s="338"/>
      <c r="HE479" s="338"/>
      <c r="HF479" s="338"/>
      <c r="HG479" s="338"/>
      <c r="HN479" s="68"/>
      <c r="HO479" s="68"/>
      <c r="HP479" s="68"/>
      <c r="HQ479" s="336"/>
      <c r="HR479" s="68"/>
      <c r="HS479" s="68"/>
      <c r="HT479" s="10"/>
      <c r="HW479" s="338"/>
      <c r="HX479" s="338"/>
      <c r="HY479" s="338"/>
      <c r="IC479" s="338"/>
      <c r="ID479" s="338"/>
      <c r="IE479" s="338"/>
      <c r="II479" s="338"/>
      <c r="IJ479" s="338"/>
      <c r="IK479" s="338"/>
      <c r="IO479" s="338"/>
      <c r="IP479" s="338"/>
      <c r="IQ479" s="338"/>
      <c r="IX479" s="68"/>
      <c r="IY479" s="68"/>
      <c r="IZ479" s="68"/>
      <c r="JA479" s="68"/>
      <c r="JB479" s="68"/>
      <c r="JC479" s="68"/>
      <c r="JD479" s="10"/>
      <c r="JG479" s="338"/>
      <c r="JH479" s="338"/>
      <c r="JI479" s="338"/>
      <c r="JM479" s="338"/>
      <c r="JN479" s="338"/>
      <c r="JQ479" s="338"/>
      <c r="JR479" s="338"/>
      <c r="JS479" s="338"/>
      <c r="JW479" s="358"/>
      <c r="JX479" s="336"/>
      <c r="JY479" s="336"/>
      <c r="JZ479" s="336"/>
      <c r="KA479" s="336"/>
      <c r="KB479" s="336"/>
      <c r="KC479" s="336"/>
      <c r="KD479" s="336"/>
      <c r="KE479" s="336"/>
      <c r="KF479" s="336"/>
      <c r="KG479" s="337"/>
      <c r="KH479" s="338"/>
      <c r="KI479" s="338"/>
      <c r="KJ479" s="338"/>
      <c r="KK479" s="338"/>
      <c r="KL479" s="338"/>
      <c r="KM479" s="338"/>
      <c r="KN479" s="338"/>
      <c r="KO479" s="338"/>
      <c r="KP479" s="338"/>
      <c r="KQ479" s="338"/>
      <c r="KR479" s="338"/>
      <c r="KS479" s="338"/>
      <c r="KT479" s="338"/>
      <c r="KU479" s="338"/>
      <c r="KV479" s="338"/>
      <c r="KW479" s="337"/>
      <c r="KX479" s="336"/>
      <c r="KY479" s="336"/>
      <c r="KZ479" s="336"/>
      <c r="LA479" s="336"/>
      <c r="LB479" s="336"/>
      <c r="LC479" s="336"/>
      <c r="LD479" s="336"/>
      <c r="LE479" s="336"/>
      <c r="LF479" s="336"/>
      <c r="LG479" s="336"/>
      <c r="LH479" s="336"/>
      <c r="LI479" s="336"/>
      <c r="LJ479" s="336"/>
      <c r="LK479" s="336"/>
      <c r="LL479" s="336"/>
      <c r="LM479" s="336"/>
      <c r="LN479" s="336"/>
      <c r="LO479" s="336"/>
      <c r="LP479" s="336"/>
      <c r="LQ479" s="337"/>
      <c r="MN479" s="10"/>
      <c r="OA479" s="10"/>
    </row>
    <row r="480" spans="1:391" s="370" customFormat="1" x14ac:dyDescent="0.25">
      <c r="A480" s="68"/>
      <c r="B480" s="10"/>
      <c r="C480" s="68"/>
      <c r="D480" s="68"/>
      <c r="E480" s="68"/>
      <c r="F480" s="68"/>
      <c r="G480" s="68"/>
      <c r="H480" s="68"/>
      <c r="I480" s="68"/>
      <c r="J480" s="68"/>
      <c r="K480" s="68"/>
      <c r="L480" s="68"/>
      <c r="M480" s="68"/>
      <c r="N480" s="68"/>
      <c r="O480" s="68"/>
      <c r="P480" s="68"/>
      <c r="Q480" s="68"/>
      <c r="R480" s="68"/>
      <c r="S480" s="68"/>
      <c r="T480" s="70"/>
      <c r="AC480" s="68"/>
      <c r="AD480" s="70"/>
      <c r="AM480" s="68"/>
      <c r="AN480" s="70"/>
      <c r="AU480" s="68"/>
      <c r="AV480" s="70"/>
      <c r="BB480" s="68"/>
      <c r="BC480" s="70"/>
      <c r="BD480" s="68"/>
      <c r="BE480" s="68"/>
      <c r="BF480" s="68"/>
      <c r="BG480" s="68"/>
      <c r="BH480" s="68"/>
      <c r="BI480" s="68"/>
      <c r="BJ480" s="70"/>
      <c r="BM480" s="68"/>
      <c r="BN480" s="70"/>
      <c r="BT480" s="68"/>
      <c r="BU480" s="70"/>
      <c r="BZ480" s="10"/>
      <c r="CF480" s="10"/>
      <c r="CI480" s="389"/>
      <c r="CJ480" s="389"/>
      <c r="CK480" s="68"/>
      <c r="CL480" s="70"/>
      <c r="CO480" s="10"/>
      <c r="CU480" s="10"/>
      <c r="DA480" s="10"/>
      <c r="DB480" s="70"/>
      <c r="DC480" s="70"/>
      <c r="DF480" s="68"/>
      <c r="DG480" s="70"/>
      <c r="DH480" s="68"/>
      <c r="DI480" s="386"/>
      <c r="DJ480" s="425"/>
      <c r="DL480" s="68"/>
      <c r="DM480" s="70"/>
      <c r="DQ480" s="68"/>
      <c r="DR480" s="70"/>
      <c r="DS480" s="338"/>
      <c r="DT480" s="338"/>
      <c r="DU480" s="338"/>
      <c r="DW480" s="338"/>
      <c r="DX480" s="338"/>
      <c r="DY480" s="338"/>
      <c r="EA480" s="338"/>
      <c r="EB480" s="338"/>
      <c r="EC480" s="338"/>
      <c r="EE480" s="338"/>
      <c r="EF480" s="338"/>
      <c r="EG480" s="338"/>
      <c r="EI480" s="336"/>
      <c r="EJ480" s="336"/>
      <c r="EK480" s="336"/>
      <c r="EL480" s="336"/>
      <c r="EM480" s="336"/>
      <c r="EN480" s="336"/>
      <c r="EO480" s="337"/>
      <c r="EP480" s="342"/>
      <c r="EQ480" s="336"/>
      <c r="ER480" s="342"/>
      <c r="ES480" s="336"/>
      <c r="ET480" s="342"/>
      <c r="EU480" s="336"/>
      <c r="EV480" s="342"/>
      <c r="EW480" s="336"/>
      <c r="EX480" s="342"/>
      <c r="EY480" s="342"/>
      <c r="EZ480" s="342"/>
      <c r="FA480" s="337"/>
      <c r="FE480" s="338"/>
      <c r="FH480" s="338"/>
      <c r="FI480" s="338"/>
      <c r="FJ480" s="338"/>
      <c r="FK480" s="338"/>
      <c r="FL480" s="338"/>
      <c r="FM480" s="337"/>
      <c r="FN480" s="336"/>
      <c r="FO480" s="336"/>
      <c r="FP480" s="336"/>
      <c r="FQ480" s="336"/>
      <c r="FR480" s="336"/>
      <c r="FS480" s="336"/>
      <c r="FT480" s="336"/>
      <c r="FU480" s="336"/>
      <c r="FV480" s="336"/>
      <c r="FW480" s="337"/>
      <c r="FX480" s="532"/>
      <c r="FY480" s="341"/>
      <c r="FZ480" s="341"/>
      <c r="GA480" s="336"/>
      <c r="GB480" s="341"/>
      <c r="GC480" s="341"/>
      <c r="GD480" s="341"/>
      <c r="GE480" s="336"/>
      <c r="GF480" s="336"/>
      <c r="GG480" s="336"/>
      <c r="GH480" s="336"/>
      <c r="GI480" s="336"/>
      <c r="GJ480" s="337"/>
      <c r="GM480" s="338"/>
      <c r="GN480" s="338"/>
      <c r="GO480" s="338"/>
      <c r="GS480" s="338"/>
      <c r="GT480" s="338"/>
      <c r="GU480" s="338"/>
      <c r="GY480" s="338"/>
      <c r="GZ480" s="338"/>
      <c r="HA480" s="338"/>
      <c r="HE480" s="338"/>
      <c r="HF480" s="338"/>
      <c r="HG480" s="338"/>
      <c r="HN480" s="68"/>
      <c r="HO480" s="68"/>
      <c r="HP480" s="68"/>
      <c r="HQ480" s="336"/>
      <c r="HR480" s="68"/>
      <c r="HS480" s="68"/>
      <c r="HT480" s="10"/>
      <c r="HW480" s="338"/>
      <c r="HX480" s="338"/>
      <c r="HY480" s="338"/>
      <c r="IC480" s="338"/>
      <c r="ID480" s="338"/>
      <c r="IE480" s="338"/>
      <c r="II480" s="338"/>
      <c r="IJ480" s="338"/>
      <c r="IK480" s="338"/>
      <c r="IO480" s="338"/>
      <c r="IP480" s="338"/>
      <c r="IQ480" s="338"/>
      <c r="IX480" s="68"/>
      <c r="IY480" s="68"/>
      <c r="IZ480" s="68"/>
      <c r="JA480" s="68"/>
      <c r="JB480" s="68"/>
      <c r="JC480" s="68"/>
      <c r="JD480" s="10"/>
      <c r="JG480" s="338"/>
      <c r="JH480" s="338"/>
      <c r="JI480" s="338"/>
      <c r="JM480" s="338"/>
      <c r="JN480" s="338"/>
      <c r="JQ480" s="338"/>
      <c r="JR480" s="338"/>
      <c r="JS480" s="338"/>
      <c r="JW480" s="358"/>
      <c r="JX480" s="336"/>
      <c r="JY480" s="336"/>
      <c r="JZ480" s="336"/>
      <c r="KA480" s="336"/>
      <c r="KB480" s="336"/>
      <c r="KC480" s="336"/>
      <c r="KD480" s="336"/>
      <c r="KE480" s="336"/>
      <c r="KF480" s="336"/>
      <c r="KG480" s="337"/>
      <c r="KH480" s="338"/>
      <c r="KI480" s="338"/>
      <c r="KJ480" s="338"/>
      <c r="KK480" s="338"/>
      <c r="KL480" s="338"/>
      <c r="KM480" s="338"/>
      <c r="KN480" s="338"/>
      <c r="KO480" s="338"/>
      <c r="KP480" s="338"/>
      <c r="KQ480" s="338"/>
      <c r="KR480" s="338"/>
      <c r="KS480" s="338"/>
      <c r="KT480" s="338"/>
      <c r="KU480" s="338"/>
      <c r="KV480" s="338"/>
      <c r="KW480" s="337"/>
      <c r="KX480" s="336"/>
      <c r="KY480" s="336"/>
      <c r="KZ480" s="336"/>
      <c r="LA480" s="336"/>
      <c r="LB480" s="336"/>
      <c r="LC480" s="336"/>
      <c r="LD480" s="336"/>
      <c r="LE480" s="336"/>
      <c r="LF480" s="336"/>
      <c r="LG480" s="336"/>
      <c r="LH480" s="336"/>
      <c r="LI480" s="336"/>
      <c r="LJ480" s="336"/>
      <c r="LK480" s="336"/>
      <c r="LL480" s="336"/>
      <c r="LM480" s="336"/>
      <c r="LN480" s="336"/>
      <c r="LO480" s="336"/>
      <c r="LP480" s="336"/>
      <c r="LQ480" s="337"/>
      <c r="MN480" s="10"/>
      <c r="OA480" s="10"/>
    </row>
    <row r="481" spans="1:391" s="370" customFormat="1" x14ac:dyDescent="0.25">
      <c r="A481" s="68"/>
      <c r="B481" s="10"/>
      <c r="C481" s="68"/>
      <c r="D481" s="68"/>
      <c r="E481" s="68"/>
      <c r="F481" s="68"/>
      <c r="G481" s="68"/>
      <c r="H481" s="68"/>
      <c r="I481" s="68"/>
      <c r="J481" s="68"/>
      <c r="K481" s="68"/>
      <c r="L481" s="68"/>
      <c r="M481" s="68"/>
      <c r="N481" s="68"/>
      <c r="O481" s="68"/>
      <c r="P481" s="68"/>
      <c r="Q481" s="68"/>
      <c r="R481" s="68"/>
      <c r="S481" s="68"/>
      <c r="T481" s="70"/>
      <c r="AC481" s="68"/>
      <c r="AD481" s="70"/>
      <c r="AM481" s="68"/>
      <c r="AN481" s="70"/>
      <c r="AU481" s="68"/>
      <c r="AV481" s="70"/>
      <c r="BB481" s="68"/>
      <c r="BC481" s="70"/>
      <c r="BD481" s="68"/>
      <c r="BE481" s="68"/>
      <c r="BF481" s="68"/>
      <c r="BG481" s="68"/>
      <c r="BH481" s="68"/>
      <c r="BI481" s="68"/>
      <c r="BJ481" s="70"/>
      <c r="BM481" s="68"/>
      <c r="BN481" s="70"/>
      <c r="BT481" s="68"/>
      <c r="BU481" s="70"/>
      <c r="BZ481" s="10"/>
      <c r="CF481" s="10"/>
      <c r="CI481" s="389"/>
      <c r="CJ481" s="389"/>
      <c r="CK481" s="68"/>
      <c r="CL481" s="70"/>
      <c r="CO481" s="10"/>
      <c r="CU481" s="10"/>
      <c r="DA481" s="10"/>
      <c r="DB481" s="70"/>
      <c r="DC481" s="70"/>
      <c r="DF481" s="68"/>
      <c r="DG481" s="70"/>
      <c r="DH481" s="68"/>
      <c r="DI481" s="386"/>
      <c r="DJ481" s="425"/>
      <c r="DL481" s="68"/>
      <c r="DM481" s="70"/>
      <c r="DQ481" s="68"/>
      <c r="DR481" s="70"/>
      <c r="DS481" s="338"/>
      <c r="DT481" s="338"/>
      <c r="DU481" s="338"/>
      <c r="DW481" s="338"/>
      <c r="DX481" s="338"/>
      <c r="DY481" s="338"/>
      <c r="EA481" s="338"/>
      <c r="EB481" s="338"/>
      <c r="EC481" s="338"/>
      <c r="EE481" s="338"/>
      <c r="EF481" s="338"/>
      <c r="EG481" s="338"/>
      <c r="EI481" s="336"/>
      <c r="EJ481" s="336"/>
      <c r="EK481" s="336"/>
      <c r="EL481" s="336"/>
      <c r="EM481" s="336"/>
      <c r="EN481" s="336"/>
      <c r="EO481" s="337"/>
      <c r="EP481" s="342"/>
      <c r="EQ481" s="336"/>
      <c r="ER481" s="342"/>
      <c r="ES481" s="336"/>
      <c r="ET481" s="342"/>
      <c r="EU481" s="336"/>
      <c r="EV481" s="342"/>
      <c r="EW481" s="336"/>
      <c r="EX481" s="342"/>
      <c r="EY481" s="342"/>
      <c r="EZ481" s="342"/>
      <c r="FA481" s="337"/>
      <c r="FE481" s="338"/>
      <c r="FH481" s="338"/>
      <c r="FI481" s="338"/>
      <c r="FJ481" s="338"/>
      <c r="FK481" s="338"/>
      <c r="FL481" s="338"/>
      <c r="FM481" s="337"/>
      <c r="FN481" s="336"/>
      <c r="FO481" s="336"/>
      <c r="FP481" s="336"/>
      <c r="FQ481" s="336"/>
      <c r="FR481" s="336"/>
      <c r="FS481" s="336"/>
      <c r="FT481" s="336"/>
      <c r="FU481" s="336"/>
      <c r="FV481" s="336"/>
      <c r="FW481" s="337"/>
      <c r="FX481" s="532"/>
      <c r="FY481" s="341"/>
      <c r="FZ481" s="341"/>
      <c r="GA481" s="336"/>
      <c r="GB481" s="341"/>
      <c r="GC481" s="341"/>
      <c r="GD481" s="341"/>
      <c r="GE481" s="336"/>
      <c r="GF481" s="336"/>
      <c r="GG481" s="336"/>
      <c r="GH481" s="336"/>
      <c r="GI481" s="336"/>
      <c r="GJ481" s="337"/>
      <c r="GM481" s="338"/>
      <c r="GN481" s="338"/>
      <c r="GO481" s="338"/>
      <c r="GS481" s="338"/>
      <c r="GT481" s="338"/>
      <c r="GU481" s="338"/>
      <c r="GY481" s="338"/>
      <c r="GZ481" s="338"/>
      <c r="HA481" s="338"/>
      <c r="HE481" s="338"/>
      <c r="HF481" s="338"/>
      <c r="HG481" s="338"/>
      <c r="HN481" s="68"/>
      <c r="HO481" s="68"/>
      <c r="HP481" s="68"/>
      <c r="HQ481" s="336"/>
      <c r="HR481" s="68"/>
      <c r="HS481" s="68"/>
      <c r="HT481" s="10"/>
      <c r="HW481" s="338"/>
      <c r="HX481" s="338"/>
      <c r="HY481" s="338"/>
      <c r="IC481" s="338"/>
      <c r="ID481" s="338"/>
      <c r="IE481" s="338"/>
      <c r="II481" s="338"/>
      <c r="IJ481" s="338"/>
      <c r="IK481" s="338"/>
      <c r="IO481" s="338"/>
      <c r="IP481" s="338"/>
      <c r="IQ481" s="338"/>
      <c r="IX481" s="68"/>
      <c r="IY481" s="68"/>
      <c r="IZ481" s="68"/>
      <c r="JA481" s="68"/>
      <c r="JB481" s="68"/>
      <c r="JC481" s="68"/>
      <c r="JD481" s="10"/>
      <c r="JG481" s="338"/>
      <c r="JH481" s="338"/>
      <c r="JI481" s="338"/>
      <c r="JM481" s="338"/>
      <c r="JN481" s="338"/>
      <c r="JQ481" s="338"/>
      <c r="JR481" s="338"/>
      <c r="JS481" s="338"/>
      <c r="JW481" s="358"/>
      <c r="JX481" s="336"/>
      <c r="JY481" s="336"/>
      <c r="JZ481" s="336"/>
      <c r="KA481" s="336"/>
      <c r="KB481" s="336"/>
      <c r="KC481" s="336"/>
      <c r="KD481" s="336"/>
      <c r="KE481" s="336"/>
      <c r="KF481" s="336"/>
      <c r="KG481" s="337"/>
      <c r="KH481" s="338"/>
      <c r="KI481" s="338"/>
      <c r="KJ481" s="338"/>
      <c r="KK481" s="338"/>
      <c r="KL481" s="338"/>
      <c r="KM481" s="338"/>
      <c r="KN481" s="338"/>
      <c r="KO481" s="338"/>
      <c r="KP481" s="338"/>
      <c r="KQ481" s="338"/>
      <c r="KR481" s="338"/>
      <c r="KS481" s="338"/>
      <c r="KT481" s="338"/>
      <c r="KU481" s="338"/>
      <c r="KV481" s="338"/>
      <c r="KW481" s="337"/>
      <c r="KX481" s="336"/>
      <c r="KY481" s="336"/>
      <c r="KZ481" s="336"/>
      <c r="LA481" s="336"/>
      <c r="LB481" s="336"/>
      <c r="LC481" s="336"/>
      <c r="LD481" s="336"/>
      <c r="LE481" s="336"/>
      <c r="LF481" s="336"/>
      <c r="LG481" s="336"/>
      <c r="LH481" s="336"/>
      <c r="LI481" s="336"/>
      <c r="LJ481" s="336"/>
      <c r="LK481" s="336"/>
      <c r="LL481" s="336"/>
      <c r="LM481" s="336"/>
      <c r="LN481" s="336"/>
      <c r="LO481" s="336"/>
      <c r="LP481" s="336"/>
      <c r="LQ481" s="337"/>
      <c r="MN481" s="10"/>
      <c r="OA481" s="10"/>
    </row>
    <row r="482" spans="1:391" s="370" customFormat="1" x14ac:dyDescent="0.25">
      <c r="A482" s="68"/>
      <c r="B482" s="10"/>
      <c r="C482" s="68"/>
      <c r="D482" s="68"/>
      <c r="E482" s="68"/>
      <c r="F482" s="68"/>
      <c r="G482" s="68"/>
      <c r="H482" s="68"/>
      <c r="I482" s="68"/>
      <c r="J482" s="68"/>
      <c r="K482" s="68"/>
      <c r="L482" s="68"/>
      <c r="M482" s="68"/>
      <c r="N482" s="68"/>
      <c r="O482" s="68"/>
      <c r="P482" s="68"/>
      <c r="Q482" s="68"/>
      <c r="R482" s="68"/>
      <c r="S482" s="68"/>
      <c r="T482" s="70"/>
      <c r="AC482" s="68"/>
      <c r="AD482" s="70"/>
      <c r="AM482" s="68"/>
      <c r="AN482" s="70"/>
      <c r="AU482" s="68"/>
      <c r="AV482" s="70"/>
      <c r="BB482" s="68"/>
      <c r="BC482" s="70"/>
      <c r="BD482" s="68"/>
      <c r="BE482" s="68"/>
      <c r="BF482" s="68"/>
      <c r="BG482" s="68"/>
      <c r="BH482" s="68"/>
      <c r="BI482" s="68"/>
      <c r="BJ482" s="70"/>
      <c r="BM482" s="68"/>
      <c r="BN482" s="70"/>
      <c r="BT482" s="68"/>
      <c r="BU482" s="70"/>
      <c r="BZ482" s="10"/>
      <c r="CF482" s="10"/>
      <c r="CI482" s="389"/>
      <c r="CJ482" s="389"/>
      <c r="CK482" s="68"/>
      <c r="CL482" s="70"/>
      <c r="CO482" s="10"/>
      <c r="CU482" s="10"/>
      <c r="DA482" s="10"/>
      <c r="DB482" s="70"/>
      <c r="DC482" s="70"/>
      <c r="DF482" s="68"/>
      <c r="DG482" s="70"/>
      <c r="DH482" s="68"/>
      <c r="DI482" s="386"/>
      <c r="DJ482" s="425"/>
      <c r="DL482" s="68"/>
      <c r="DM482" s="70"/>
      <c r="DQ482" s="68"/>
      <c r="DR482" s="70"/>
      <c r="DS482" s="338"/>
      <c r="DT482" s="338"/>
      <c r="DU482" s="338"/>
      <c r="DW482" s="338"/>
      <c r="DX482" s="338"/>
      <c r="DY482" s="338"/>
      <c r="EA482" s="338"/>
      <c r="EB482" s="338"/>
      <c r="EC482" s="338"/>
      <c r="EE482" s="338"/>
      <c r="EF482" s="338"/>
      <c r="EG482" s="338"/>
      <c r="EI482" s="336"/>
      <c r="EJ482" s="336"/>
      <c r="EK482" s="336"/>
      <c r="EL482" s="336"/>
      <c r="EM482" s="336"/>
      <c r="EN482" s="336"/>
      <c r="EO482" s="337"/>
      <c r="EP482" s="342"/>
      <c r="EQ482" s="336"/>
      <c r="ER482" s="342"/>
      <c r="ES482" s="336"/>
      <c r="ET482" s="342"/>
      <c r="EU482" s="336"/>
      <c r="EV482" s="342"/>
      <c r="EW482" s="336"/>
      <c r="EX482" s="342"/>
      <c r="EY482" s="342"/>
      <c r="EZ482" s="342"/>
      <c r="FA482" s="337"/>
      <c r="FE482" s="338"/>
      <c r="FH482" s="338"/>
      <c r="FI482" s="338"/>
      <c r="FJ482" s="338"/>
      <c r="FK482" s="338"/>
      <c r="FL482" s="338"/>
      <c r="FM482" s="337"/>
      <c r="FN482" s="336"/>
      <c r="FO482" s="336"/>
      <c r="FP482" s="336"/>
      <c r="FQ482" s="336"/>
      <c r="FR482" s="336"/>
      <c r="FS482" s="336"/>
      <c r="FT482" s="336"/>
      <c r="FU482" s="336"/>
      <c r="FV482" s="336"/>
      <c r="FW482" s="337"/>
      <c r="FX482" s="532"/>
      <c r="FY482" s="341"/>
      <c r="FZ482" s="341"/>
      <c r="GA482" s="336"/>
      <c r="GB482" s="341"/>
      <c r="GC482" s="341"/>
      <c r="GD482" s="341"/>
      <c r="GE482" s="336"/>
      <c r="GF482" s="336"/>
      <c r="GG482" s="336"/>
      <c r="GH482" s="336"/>
      <c r="GI482" s="336"/>
      <c r="GJ482" s="337"/>
      <c r="GM482" s="338"/>
      <c r="GN482" s="338"/>
      <c r="GO482" s="338"/>
      <c r="GS482" s="338"/>
      <c r="GT482" s="338"/>
      <c r="GU482" s="338"/>
      <c r="GY482" s="338"/>
      <c r="GZ482" s="338"/>
      <c r="HA482" s="338"/>
      <c r="HE482" s="338"/>
      <c r="HF482" s="338"/>
      <c r="HG482" s="338"/>
      <c r="HN482" s="68"/>
      <c r="HO482" s="68"/>
      <c r="HP482" s="68"/>
      <c r="HQ482" s="336"/>
      <c r="HR482" s="68"/>
      <c r="HS482" s="68"/>
      <c r="HT482" s="10"/>
      <c r="HW482" s="338"/>
      <c r="HX482" s="338"/>
      <c r="HY482" s="338"/>
      <c r="IC482" s="338"/>
      <c r="ID482" s="338"/>
      <c r="IE482" s="338"/>
      <c r="II482" s="338"/>
      <c r="IJ482" s="338"/>
      <c r="IK482" s="338"/>
      <c r="IO482" s="338"/>
      <c r="IP482" s="338"/>
      <c r="IQ482" s="338"/>
      <c r="IX482" s="68"/>
      <c r="IY482" s="68"/>
      <c r="IZ482" s="68"/>
      <c r="JA482" s="68"/>
      <c r="JB482" s="68"/>
      <c r="JC482" s="68"/>
      <c r="JD482" s="10"/>
      <c r="JG482" s="338"/>
      <c r="JH482" s="338"/>
      <c r="JI482" s="338"/>
      <c r="JM482" s="338"/>
      <c r="JN482" s="338"/>
      <c r="JQ482" s="338"/>
      <c r="JR482" s="338"/>
      <c r="JS482" s="338"/>
      <c r="JW482" s="358"/>
      <c r="JX482" s="336"/>
      <c r="JY482" s="336"/>
      <c r="JZ482" s="336"/>
      <c r="KA482" s="336"/>
      <c r="KB482" s="336"/>
      <c r="KC482" s="336"/>
      <c r="KD482" s="336"/>
      <c r="KE482" s="336"/>
      <c r="KF482" s="336"/>
      <c r="KG482" s="337"/>
      <c r="KH482" s="338"/>
      <c r="KI482" s="338"/>
      <c r="KJ482" s="338"/>
      <c r="KK482" s="338"/>
      <c r="KL482" s="338"/>
      <c r="KM482" s="338"/>
      <c r="KN482" s="338"/>
      <c r="KO482" s="338"/>
      <c r="KP482" s="338"/>
      <c r="KQ482" s="338"/>
      <c r="KR482" s="338"/>
      <c r="KS482" s="338"/>
      <c r="KT482" s="338"/>
      <c r="KU482" s="338"/>
      <c r="KV482" s="338"/>
      <c r="KW482" s="337"/>
      <c r="KX482" s="336"/>
      <c r="KY482" s="336"/>
      <c r="KZ482" s="336"/>
      <c r="LA482" s="336"/>
      <c r="LB482" s="336"/>
      <c r="LC482" s="336"/>
      <c r="LD482" s="336"/>
      <c r="LE482" s="336"/>
      <c r="LF482" s="336"/>
      <c r="LG482" s="336"/>
      <c r="LH482" s="336"/>
      <c r="LI482" s="336"/>
      <c r="LJ482" s="336"/>
      <c r="LK482" s="336"/>
      <c r="LL482" s="336"/>
      <c r="LM482" s="336"/>
      <c r="LN482" s="336"/>
      <c r="LO482" s="336"/>
      <c r="LP482" s="336"/>
      <c r="LQ482" s="337"/>
      <c r="MN482" s="10"/>
      <c r="OA482" s="10"/>
    </row>
    <row r="483" spans="1:391" s="370" customFormat="1" x14ac:dyDescent="0.25">
      <c r="A483" s="68"/>
      <c r="B483" s="10"/>
      <c r="C483" s="68"/>
      <c r="D483" s="68"/>
      <c r="E483" s="68"/>
      <c r="F483" s="68"/>
      <c r="G483" s="68"/>
      <c r="H483" s="68"/>
      <c r="I483" s="68"/>
      <c r="J483" s="68"/>
      <c r="K483" s="68"/>
      <c r="L483" s="68"/>
      <c r="M483" s="68"/>
      <c r="N483" s="68"/>
      <c r="O483" s="68"/>
      <c r="P483" s="68"/>
      <c r="Q483" s="68"/>
      <c r="R483" s="68"/>
      <c r="S483" s="68"/>
      <c r="T483" s="70"/>
      <c r="AC483" s="68"/>
      <c r="AD483" s="70"/>
      <c r="AM483" s="68"/>
      <c r="AN483" s="70"/>
      <c r="AU483" s="68"/>
      <c r="AV483" s="70"/>
      <c r="BB483" s="68"/>
      <c r="BC483" s="70"/>
      <c r="BD483" s="68"/>
      <c r="BE483" s="68"/>
      <c r="BF483" s="68"/>
      <c r="BG483" s="68"/>
      <c r="BH483" s="68"/>
      <c r="BI483" s="68"/>
      <c r="BJ483" s="70"/>
      <c r="BM483" s="68"/>
      <c r="BN483" s="70"/>
      <c r="BT483" s="68"/>
      <c r="BU483" s="70"/>
      <c r="BZ483" s="10"/>
      <c r="CF483" s="10"/>
      <c r="CI483" s="389"/>
      <c r="CJ483" s="389"/>
      <c r="CK483" s="68"/>
      <c r="CL483" s="70"/>
      <c r="CO483" s="10"/>
      <c r="CU483" s="10"/>
      <c r="DA483" s="10"/>
      <c r="DB483" s="70"/>
      <c r="DC483" s="70"/>
      <c r="DF483" s="68"/>
      <c r="DG483" s="70"/>
      <c r="DH483" s="68"/>
      <c r="DI483" s="386"/>
      <c r="DJ483" s="425"/>
      <c r="DL483" s="68"/>
      <c r="DM483" s="70"/>
      <c r="DQ483" s="68"/>
      <c r="DR483" s="70"/>
      <c r="DS483" s="338"/>
      <c r="DT483" s="338"/>
      <c r="DU483" s="338"/>
      <c r="DW483" s="338"/>
      <c r="DX483" s="338"/>
      <c r="DY483" s="338"/>
      <c r="EA483" s="338"/>
      <c r="EB483" s="338"/>
      <c r="EC483" s="338"/>
      <c r="EE483" s="338"/>
      <c r="EF483" s="338"/>
      <c r="EG483" s="338"/>
      <c r="EI483" s="336"/>
      <c r="EJ483" s="336"/>
      <c r="EK483" s="336"/>
      <c r="EL483" s="336"/>
      <c r="EM483" s="336"/>
      <c r="EN483" s="336"/>
      <c r="EO483" s="337"/>
      <c r="EP483" s="342"/>
      <c r="EQ483" s="336"/>
      <c r="ER483" s="342"/>
      <c r="ES483" s="336"/>
      <c r="ET483" s="342"/>
      <c r="EU483" s="336"/>
      <c r="EV483" s="342"/>
      <c r="EW483" s="336"/>
      <c r="EX483" s="342"/>
      <c r="EY483" s="342"/>
      <c r="EZ483" s="342"/>
      <c r="FA483" s="337"/>
      <c r="FE483" s="338"/>
      <c r="FH483" s="338"/>
      <c r="FI483" s="338"/>
      <c r="FJ483" s="338"/>
      <c r="FK483" s="338"/>
      <c r="FL483" s="338"/>
      <c r="FM483" s="337"/>
      <c r="FN483" s="336"/>
      <c r="FO483" s="336"/>
      <c r="FP483" s="336"/>
      <c r="FQ483" s="336"/>
      <c r="FR483" s="336"/>
      <c r="FS483" s="336"/>
      <c r="FT483" s="336"/>
      <c r="FU483" s="336"/>
      <c r="FV483" s="336"/>
      <c r="FW483" s="337"/>
      <c r="FX483" s="532"/>
      <c r="FY483" s="341"/>
      <c r="FZ483" s="341"/>
      <c r="GA483" s="336"/>
      <c r="GB483" s="341"/>
      <c r="GC483" s="341"/>
      <c r="GD483" s="341"/>
      <c r="GE483" s="336"/>
      <c r="GF483" s="336"/>
      <c r="GG483" s="336"/>
      <c r="GH483" s="336"/>
      <c r="GI483" s="336"/>
      <c r="GJ483" s="337"/>
      <c r="GM483" s="338"/>
      <c r="GN483" s="338"/>
      <c r="GO483" s="338"/>
      <c r="GS483" s="338"/>
      <c r="GT483" s="338"/>
      <c r="GU483" s="338"/>
      <c r="GY483" s="338"/>
      <c r="GZ483" s="338"/>
      <c r="HA483" s="338"/>
      <c r="HE483" s="338"/>
      <c r="HF483" s="338"/>
      <c r="HG483" s="338"/>
      <c r="HN483" s="68"/>
      <c r="HO483" s="68"/>
      <c r="HP483" s="68"/>
      <c r="HQ483" s="336"/>
      <c r="HR483" s="68"/>
      <c r="HS483" s="68"/>
      <c r="HT483" s="10"/>
      <c r="HW483" s="338"/>
      <c r="HX483" s="338"/>
      <c r="HY483" s="338"/>
      <c r="IC483" s="338"/>
      <c r="ID483" s="338"/>
      <c r="IE483" s="338"/>
      <c r="II483" s="338"/>
      <c r="IJ483" s="338"/>
      <c r="IK483" s="338"/>
      <c r="IO483" s="338"/>
      <c r="IP483" s="338"/>
      <c r="IQ483" s="338"/>
      <c r="IX483" s="68"/>
      <c r="IY483" s="68"/>
      <c r="IZ483" s="68"/>
      <c r="JA483" s="68"/>
      <c r="JB483" s="68"/>
      <c r="JC483" s="68"/>
      <c r="JD483" s="10"/>
      <c r="JG483" s="338"/>
      <c r="JH483" s="338"/>
      <c r="JI483" s="338"/>
      <c r="JM483" s="338"/>
      <c r="JN483" s="338"/>
      <c r="JQ483" s="338"/>
      <c r="JR483" s="338"/>
      <c r="JS483" s="338"/>
      <c r="JW483" s="358"/>
      <c r="JX483" s="336"/>
      <c r="JY483" s="336"/>
      <c r="JZ483" s="336"/>
      <c r="KA483" s="336"/>
      <c r="KB483" s="336"/>
      <c r="KC483" s="336"/>
      <c r="KD483" s="336"/>
      <c r="KE483" s="336"/>
      <c r="KF483" s="336"/>
      <c r="KG483" s="337"/>
      <c r="KH483" s="338"/>
      <c r="KI483" s="338"/>
      <c r="KJ483" s="338"/>
      <c r="KK483" s="338"/>
      <c r="KL483" s="338"/>
      <c r="KM483" s="338"/>
      <c r="KN483" s="338"/>
      <c r="KO483" s="338"/>
      <c r="KP483" s="338"/>
      <c r="KQ483" s="338"/>
      <c r="KR483" s="338"/>
      <c r="KS483" s="338"/>
      <c r="KT483" s="338"/>
      <c r="KU483" s="338"/>
      <c r="KV483" s="338"/>
      <c r="KW483" s="337"/>
      <c r="KX483" s="336"/>
      <c r="KY483" s="336"/>
      <c r="KZ483" s="336"/>
      <c r="LA483" s="336"/>
      <c r="LB483" s="336"/>
      <c r="LC483" s="336"/>
      <c r="LD483" s="336"/>
      <c r="LE483" s="336"/>
      <c r="LF483" s="336"/>
      <c r="LG483" s="336"/>
      <c r="LH483" s="336"/>
      <c r="LI483" s="336"/>
      <c r="LJ483" s="336"/>
      <c r="LK483" s="336"/>
      <c r="LL483" s="336"/>
      <c r="LM483" s="336"/>
      <c r="LN483" s="336"/>
      <c r="LO483" s="336"/>
      <c r="LP483" s="336"/>
      <c r="LQ483" s="337"/>
      <c r="MN483" s="10"/>
      <c r="OA483" s="10"/>
    </row>
    <row r="484" spans="1:391" s="370" customFormat="1" x14ac:dyDescent="0.25">
      <c r="A484" s="68"/>
      <c r="B484" s="10"/>
      <c r="C484" s="68"/>
      <c r="D484" s="68"/>
      <c r="E484" s="68"/>
      <c r="F484" s="68"/>
      <c r="G484" s="68"/>
      <c r="H484" s="68"/>
      <c r="I484" s="68"/>
      <c r="J484" s="68"/>
      <c r="K484" s="68"/>
      <c r="L484" s="68"/>
      <c r="M484" s="68"/>
      <c r="N484" s="68"/>
      <c r="O484" s="68"/>
      <c r="P484" s="68"/>
      <c r="Q484" s="68"/>
      <c r="R484" s="68"/>
      <c r="S484" s="68"/>
      <c r="T484" s="70"/>
      <c r="AC484" s="68"/>
      <c r="AD484" s="70"/>
      <c r="AM484" s="68"/>
      <c r="AN484" s="70"/>
      <c r="AU484" s="68"/>
      <c r="AV484" s="70"/>
      <c r="BB484" s="68"/>
      <c r="BC484" s="70"/>
      <c r="BD484" s="68"/>
      <c r="BE484" s="68"/>
      <c r="BF484" s="68"/>
      <c r="BG484" s="68"/>
      <c r="BH484" s="68"/>
      <c r="BI484" s="68"/>
      <c r="BJ484" s="70"/>
      <c r="BM484" s="68"/>
      <c r="BN484" s="70"/>
      <c r="BT484" s="68"/>
      <c r="BU484" s="70"/>
      <c r="BZ484" s="10"/>
      <c r="CF484" s="10"/>
      <c r="CI484" s="389"/>
      <c r="CJ484" s="389"/>
      <c r="CK484" s="68"/>
      <c r="CL484" s="70"/>
      <c r="CO484" s="10"/>
      <c r="CU484" s="10"/>
      <c r="DA484" s="10"/>
      <c r="DB484" s="70"/>
      <c r="DC484" s="70"/>
      <c r="DF484" s="68"/>
      <c r="DG484" s="70"/>
      <c r="DH484" s="68"/>
      <c r="DI484" s="386"/>
      <c r="DJ484" s="425"/>
      <c r="DL484" s="68"/>
      <c r="DM484" s="70"/>
      <c r="DQ484" s="68"/>
      <c r="DR484" s="70"/>
      <c r="DS484" s="338"/>
      <c r="DT484" s="338"/>
      <c r="DU484" s="338"/>
      <c r="DW484" s="338"/>
      <c r="DX484" s="338"/>
      <c r="DY484" s="338"/>
      <c r="EA484" s="338"/>
      <c r="EB484" s="338"/>
      <c r="EC484" s="338"/>
      <c r="EE484" s="338"/>
      <c r="EF484" s="338"/>
      <c r="EG484" s="338"/>
      <c r="EI484" s="336"/>
      <c r="EJ484" s="336"/>
      <c r="EK484" s="336"/>
      <c r="EL484" s="336"/>
      <c r="EM484" s="336"/>
      <c r="EN484" s="336"/>
      <c r="EO484" s="337"/>
      <c r="EP484" s="342"/>
      <c r="EQ484" s="336"/>
      <c r="ER484" s="342"/>
      <c r="ES484" s="336"/>
      <c r="ET484" s="342"/>
      <c r="EU484" s="336"/>
      <c r="EV484" s="342"/>
      <c r="EW484" s="336"/>
      <c r="EX484" s="342"/>
      <c r="EY484" s="342"/>
      <c r="EZ484" s="342"/>
      <c r="FA484" s="337"/>
      <c r="FE484" s="338"/>
      <c r="FH484" s="338"/>
      <c r="FI484" s="338"/>
      <c r="FJ484" s="338"/>
      <c r="FK484" s="338"/>
      <c r="FL484" s="338"/>
      <c r="FM484" s="337"/>
      <c r="FN484" s="336"/>
      <c r="FO484" s="336"/>
      <c r="FP484" s="336"/>
      <c r="FQ484" s="336"/>
      <c r="FR484" s="336"/>
      <c r="FS484" s="336"/>
      <c r="FT484" s="336"/>
      <c r="FU484" s="336"/>
      <c r="FV484" s="336"/>
      <c r="FW484" s="337"/>
      <c r="FX484" s="532"/>
      <c r="FY484" s="341"/>
      <c r="FZ484" s="341"/>
      <c r="GA484" s="336"/>
      <c r="GB484" s="341"/>
      <c r="GC484" s="341"/>
      <c r="GD484" s="341"/>
      <c r="GE484" s="336"/>
      <c r="GF484" s="336"/>
      <c r="GG484" s="336"/>
      <c r="GH484" s="336"/>
      <c r="GI484" s="336"/>
      <c r="GJ484" s="337"/>
      <c r="GM484" s="338"/>
      <c r="GN484" s="338"/>
      <c r="GO484" s="338"/>
      <c r="GS484" s="338"/>
      <c r="GT484" s="338"/>
      <c r="GU484" s="338"/>
      <c r="GY484" s="338"/>
      <c r="GZ484" s="338"/>
      <c r="HA484" s="338"/>
      <c r="HE484" s="338"/>
      <c r="HF484" s="338"/>
      <c r="HG484" s="338"/>
      <c r="HN484" s="68"/>
      <c r="HO484" s="68"/>
      <c r="HP484" s="68"/>
      <c r="HQ484" s="336"/>
      <c r="HR484" s="68"/>
      <c r="HS484" s="68"/>
      <c r="HT484" s="10"/>
      <c r="HW484" s="338"/>
      <c r="HX484" s="338"/>
      <c r="HY484" s="338"/>
      <c r="IC484" s="338"/>
      <c r="ID484" s="338"/>
      <c r="IE484" s="338"/>
      <c r="II484" s="338"/>
      <c r="IJ484" s="338"/>
      <c r="IK484" s="338"/>
      <c r="IO484" s="338"/>
      <c r="IP484" s="338"/>
      <c r="IQ484" s="338"/>
      <c r="IX484" s="68"/>
      <c r="IY484" s="68"/>
      <c r="IZ484" s="68"/>
      <c r="JA484" s="68"/>
      <c r="JB484" s="68"/>
      <c r="JC484" s="68"/>
      <c r="JD484" s="10"/>
      <c r="JG484" s="338"/>
      <c r="JH484" s="338"/>
      <c r="JI484" s="338"/>
      <c r="JM484" s="338"/>
      <c r="JN484" s="338"/>
      <c r="JQ484" s="338"/>
      <c r="JR484" s="338"/>
      <c r="JS484" s="338"/>
      <c r="JW484" s="358"/>
      <c r="JX484" s="336"/>
      <c r="JY484" s="336"/>
      <c r="JZ484" s="336"/>
      <c r="KA484" s="336"/>
      <c r="KB484" s="336"/>
      <c r="KC484" s="336"/>
      <c r="KD484" s="336"/>
      <c r="KE484" s="336"/>
      <c r="KF484" s="336"/>
      <c r="KG484" s="337"/>
      <c r="KH484" s="338"/>
      <c r="KI484" s="338"/>
      <c r="KJ484" s="338"/>
      <c r="KK484" s="338"/>
      <c r="KL484" s="338"/>
      <c r="KM484" s="338"/>
      <c r="KN484" s="338"/>
      <c r="KO484" s="338"/>
      <c r="KP484" s="338"/>
      <c r="KQ484" s="338"/>
      <c r="KR484" s="338"/>
      <c r="KS484" s="338"/>
      <c r="KT484" s="338"/>
      <c r="KU484" s="338"/>
      <c r="KV484" s="338"/>
      <c r="KW484" s="337"/>
      <c r="KX484" s="336"/>
      <c r="KY484" s="336"/>
      <c r="KZ484" s="336"/>
      <c r="LA484" s="336"/>
      <c r="LB484" s="336"/>
      <c r="LC484" s="336"/>
      <c r="LD484" s="336"/>
      <c r="LE484" s="336"/>
      <c r="LF484" s="336"/>
      <c r="LG484" s="336"/>
      <c r="LH484" s="336"/>
      <c r="LI484" s="336"/>
      <c r="LJ484" s="336"/>
      <c r="LK484" s="336"/>
      <c r="LL484" s="336"/>
      <c r="LM484" s="336"/>
      <c r="LN484" s="336"/>
      <c r="LO484" s="336"/>
      <c r="LP484" s="336"/>
      <c r="LQ484" s="337"/>
      <c r="MN484" s="10"/>
      <c r="OA484" s="10"/>
    </row>
    <row r="485" spans="1:391" s="370" customFormat="1" x14ac:dyDescent="0.25">
      <c r="A485" s="68"/>
      <c r="B485" s="10"/>
      <c r="C485" s="68"/>
      <c r="D485" s="68"/>
      <c r="E485" s="68"/>
      <c r="F485" s="68"/>
      <c r="G485" s="68"/>
      <c r="H485" s="68"/>
      <c r="I485" s="68"/>
      <c r="J485" s="68"/>
      <c r="K485" s="68"/>
      <c r="L485" s="68"/>
      <c r="M485" s="68"/>
      <c r="N485" s="68"/>
      <c r="O485" s="68"/>
      <c r="P485" s="68"/>
      <c r="Q485" s="68"/>
      <c r="R485" s="68"/>
      <c r="S485" s="68"/>
      <c r="T485" s="70"/>
      <c r="AC485" s="68"/>
      <c r="AD485" s="70"/>
      <c r="AM485" s="68"/>
      <c r="AN485" s="70"/>
      <c r="AU485" s="68"/>
      <c r="AV485" s="70"/>
      <c r="BB485" s="68"/>
      <c r="BC485" s="70"/>
      <c r="BD485" s="68"/>
      <c r="BE485" s="68"/>
      <c r="BF485" s="68"/>
      <c r="BG485" s="68"/>
      <c r="BH485" s="68"/>
      <c r="BI485" s="68"/>
      <c r="BJ485" s="70"/>
      <c r="BM485" s="68"/>
      <c r="BN485" s="70"/>
      <c r="BT485" s="68"/>
      <c r="BU485" s="70"/>
      <c r="BZ485" s="10"/>
      <c r="CF485" s="10"/>
      <c r="CI485" s="389"/>
      <c r="CJ485" s="389"/>
      <c r="CK485" s="68"/>
      <c r="CL485" s="70"/>
      <c r="CO485" s="10"/>
      <c r="CU485" s="10"/>
      <c r="DA485" s="10"/>
      <c r="DB485" s="70"/>
      <c r="DC485" s="70"/>
      <c r="DF485" s="68"/>
      <c r="DG485" s="70"/>
      <c r="DH485" s="68"/>
      <c r="DI485" s="386"/>
      <c r="DJ485" s="425"/>
      <c r="DL485" s="68"/>
      <c r="DM485" s="70"/>
      <c r="DQ485" s="68"/>
      <c r="DR485" s="70"/>
      <c r="DS485" s="338"/>
      <c r="DT485" s="338"/>
      <c r="DU485" s="338"/>
      <c r="DW485" s="338"/>
      <c r="DX485" s="338"/>
      <c r="DY485" s="338"/>
      <c r="EA485" s="338"/>
      <c r="EB485" s="338"/>
      <c r="EC485" s="338"/>
      <c r="EE485" s="338"/>
      <c r="EF485" s="338"/>
      <c r="EG485" s="338"/>
      <c r="EI485" s="336"/>
      <c r="EJ485" s="336"/>
      <c r="EK485" s="336"/>
      <c r="EL485" s="336"/>
      <c r="EM485" s="336"/>
      <c r="EN485" s="336"/>
      <c r="EO485" s="337"/>
      <c r="EP485" s="342"/>
      <c r="EQ485" s="336"/>
      <c r="ER485" s="342"/>
      <c r="ES485" s="336"/>
      <c r="ET485" s="342"/>
      <c r="EU485" s="336"/>
      <c r="EV485" s="342"/>
      <c r="EW485" s="336"/>
      <c r="EX485" s="342"/>
      <c r="EY485" s="342"/>
      <c r="EZ485" s="342"/>
      <c r="FA485" s="337"/>
      <c r="FE485" s="338"/>
      <c r="FH485" s="338"/>
      <c r="FI485" s="338"/>
      <c r="FJ485" s="338"/>
      <c r="FK485" s="338"/>
      <c r="FL485" s="338"/>
      <c r="FM485" s="337"/>
      <c r="FN485" s="336"/>
      <c r="FO485" s="336"/>
      <c r="FP485" s="336"/>
      <c r="FQ485" s="336"/>
      <c r="FR485" s="336"/>
      <c r="FS485" s="336"/>
      <c r="FT485" s="336"/>
      <c r="FU485" s="336"/>
      <c r="FV485" s="336"/>
      <c r="FW485" s="337"/>
      <c r="FX485" s="532"/>
      <c r="FY485" s="341"/>
      <c r="FZ485" s="341"/>
      <c r="GA485" s="336"/>
      <c r="GB485" s="341"/>
      <c r="GC485" s="341"/>
      <c r="GD485" s="341"/>
      <c r="GE485" s="336"/>
      <c r="GF485" s="336"/>
      <c r="GG485" s="336"/>
      <c r="GH485" s="336"/>
      <c r="GI485" s="336"/>
      <c r="GJ485" s="337"/>
      <c r="GM485" s="338"/>
      <c r="GN485" s="338"/>
      <c r="GO485" s="338"/>
      <c r="GS485" s="338"/>
      <c r="GT485" s="338"/>
      <c r="GU485" s="338"/>
      <c r="GY485" s="338"/>
      <c r="GZ485" s="338"/>
      <c r="HA485" s="338"/>
      <c r="HE485" s="338"/>
      <c r="HF485" s="338"/>
      <c r="HG485" s="338"/>
      <c r="HN485" s="68"/>
      <c r="HO485" s="68"/>
      <c r="HP485" s="68"/>
      <c r="HQ485" s="336"/>
      <c r="HR485" s="68"/>
      <c r="HS485" s="68"/>
      <c r="HT485" s="10"/>
      <c r="HW485" s="338"/>
      <c r="HX485" s="338"/>
      <c r="HY485" s="338"/>
      <c r="IC485" s="338"/>
      <c r="ID485" s="338"/>
      <c r="IE485" s="338"/>
      <c r="II485" s="338"/>
      <c r="IJ485" s="338"/>
      <c r="IK485" s="338"/>
      <c r="IO485" s="338"/>
      <c r="IP485" s="338"/>
      <c r="IQ485" s="338"/>
      <c r="IX485" s="68"/>
      <c r="IY485" s="68"/>
      <c r="IZ485" s="68"/>
      <c r="JA485" s="68"/>
      <c r="JB485" s="68"/>
      <c r="JC485" s="68"/>
      <c r="JD485" s="10"/>
      <c r="JG485" s="338"/>
      <c r="JH485" s="338"/>
      <c r="JI485" s="338"/>
      <c r="JM485" s="338"/>
      <c r="JN485" s="338"/>
      <c r="JQ485" s="338"/>
      <c r="JR485" s="338"/>
      <c r="JS485" s="338"/>
      <c r="JW485" s="358"/>
      <c r="JX485" s="336"/>
      <c r="JY485" s="336"/>
      <c r="JZ485" s="336"/>
      <c r="KA485" s="336"/>
      <c r="KB485" s="336"/>
      <c r="KC485" s="336"/>
      <c r="KD485" s="336"/>
      <c r="KE485" s="336"/>
      <c r="KF485" s="336"/>
      <c r="KG485" s="337"/>
      <c r="KH485" s="338"/>
      <c r="KI485" s="338"/>
      <c r="KJ485" s="338"/>
      <c r="KK485" s="338"/>
      <c r="KL485" s="338"/>
      <c r="KM485" s="338"/>
      <c r="KN485" s="338"/>
      <c r="KO485" s="338"/>
      <c r="KP485" s="338"/>
      <c r="KQ485" s="338"/>
      <c r="KR485" s="338"/>
      <c r="KS485" s="338"/>
      <c r="KT485" s="338"/>
      <c r="KU485" s="338"/>
      <c r="KV485" s="338"/>
      <c r="KW485" s="337"/>
      <c r="KX485" s="336"/>
      <c r="KY485" s="336"/>
      <c r="KZ485" s="336"/>
      <c r="LA485" s="336"/>
      <c r="LB485" s="336"/>
      <c r="LC485" s="336"/>
      <c r="LD485" s="336"/>
      <c r="LE485" s="336"/>
      <c r="LF485" s="336"/>
      <c r="LG485" s="336"/>
      <c r="LH485" s="336"/>
      <c r="LI485" s="336"/>
      <c r="LJ485" s="336"/>
      <c r="LK485" s="336"/>
      <c r="LL485" s="336"/>
      <c r="LM485" s="336"/>
      <c r="LN485" s="336"/>
      <c r="LO485" s="336"/>
      <c r="LP485" s="336"/>
      <c r="LQ485" s="337"/>
      <c r="MN485" s="10"/>
      <c r="OA485" s="10"/>
    </row>
    <row r="486" spans="1:391" s="370" customFormat="1" x14ac:dyDescent="0.25">
      <c r="A486" s="68"/>
      <c r="B486" s="10"/>
      <c r="C486" s="68"/>
      <c r="D486" s="68"/>
      <c r="E486" s="68"/>
      <c r="F486" s="68"/>
      <c r="G486" s="68"/>
      <c r="H486" s="68"/>
      <c r="I486" s="68"/>
      <c r="J486" s="68"/>
      <c r="K486" s="68"/>
      <c r="L486" s="68"/>
      <c r="M486" s="68"/>
      <c r="N486" s="68"/>
      <c r="O486" s="68"/>
      <c r="P486" s="68"/>
      <c r="Q486" s="68"/>
      <c r="R486" s="68"/>
      <c r="S486" s="68"/>
      <c r="T486" s="70"/>
      <c r="AC486" s="68"/>
      <c r="AD486" s="70"/>
      <c r="AM486" s="68"/>
      <c r="AN486" s="70"/>
      <c r="AU486" s="68"/>
      <c r="AV486" s="70"/>
      <c r="BB486" s="68"/>
      <c r="BC486" s="70"/>
      <c r="BD486" s="68"/>
      <c r="BE486" s="68"/>
      <c r="BF486" s="68"/>
      <c r="BG486" s="68"/>
      <c r="BH486" s="68"/>
      <c r="BI486" s="68"/>
      <c r="BJ486" s="70"/>
      <c r="BM486" s="68"/>
      <c r="BN486" s="70"/>
      <c r="BT486" s="68"/>
      <c r="BU486" s="70"/>
      <c r="BZ486" s="10"/>
      <c r="CF486" s="10"/>
      <c r="CI486" s="389"/>
      <c r="CJ486" s="389"/>
      <c r="CK486" s="68"/>
      <c r="CL486" s="70"/>
      <c r="CO486" s="10"/>
      <c r="CU486" s="10"/>
      <c r="DA486" s="10"/>
      <c r="DB486" s="70"/>
      <c r="DC486" s="70"/>
      <c r="DF486" s="68"/>
      <c r="DG486" s="70"/>
      <c r="DH486" s="68"/>
      <c r="DI486" s="386"/>
      <c r="DJ486" s="425"/>
      <c r="DL486" s="68"/>
      <c r="DM486" s="70"/>
      <c r="DQ486" s="68"/>
      <c r="DR486" s="70"/>
      <c r="DS486" s="338"/>
      <c r="DT486" s="338"/>
      <c r="DU486" s="338"/>
      <c r="DW486" s="338"/>
      <c r="DX486" s="338"/>
      <c r="DY486" s="338"/>
      <c r="EA486" s="338"/>
      <c r="EB486" s="338"/>
      <c r="EC486" s="338"/>
      <c r="EE486" s="338"/>
      <c r="EF486" s="338"/>
      <c r="EG486" s="338"/>
      <c r="EI486" s="336"/>
      <c r="EJ486" s="336"/>
      <c r="EK486" s="336"/>
      <c r="EL486" s="336"/>
      <c r="EM486" s="336"/>
      <c r="EN486" s="336"/>
      <c r="EO486" s="337"/>
      <c r="EP486" s="342"/>
      <c r="EQ486" s="336"/>
      <c r="ER486" s="342"/>
      <c r="ES486" s="336"/>
      <c r="ET486" s="342"/>
      <c r="EU486" s="336"/>
      <c r="EV486" s="342"/>
      <c r="EW486" s="336"/>
      <c r="EX486" s="342"/>
      <c r="EY486" s="342"/>
      <c r="EZ486" s="342"/>
      <c r="FA486" s="337"/>
      <c r="FE486" s="338"/>
      <c r="FH486" s="338"/>
      <c r="FI486" s="338"/>
      <c r="FJ486" s="338"/>
      <c r="FK486" s="338"/>
      <c r="FL486" s="338"/>
      <c r="FM486" s="337"/>
      <c r="FN486" s="336"/>
      <c r="FO486" s="336"/>
      <c r="FP486" s="336"/>
      <c r="FQ486" s="336"/>
      <c r="FR486" s="336"/>
      <c r="FS486" s="336"/>
      <c r="FT486" s="336"/>
      <c r="FU486" s="336"/>
      <c r="FV486" s="336"/>
      <c r="FW486" s="337"/>
      <c r="FX486" s="532"/>
      <c r="FY486" s="341"/>
      <c r="FZ486" s="341"/>
      <c r="GA486" s="336"/>
      <c r="GB486" s="341"/>
      <c r="GC486" s="341"/>
      <c r="GD486" s="341"/>
      <c r="GE486" s="336"/>
      <c r="GF486" s="336"/>
      <c r="GG486" s="336"/>
      <c r="GH486" s="336"/>
      <c r="GI486" s="336"/>
      <c r="GJ486" s="337"/>
      <c r="GM486" s="338"/>
      <c r="GN486" s="338"/>
      <c r="GO486" s="338"/>
      <c r="GS486" s="338"/>
      <c r="GT486" s="338"/>
      <c r="GU486" s="338"/>
      <c r="GY486" s="338"/>
      <c r="GZ486" s="338"/>
      <c r="HA486" s="338"/>
      <c r="HE486" s="338"/>
      <c r="HF486" s="338"/>
      <c r="HG486" s="338"/>
      <c r="HN486" s="68"/>
      <c r="HO486" s="68"/>
      <c r="HP486" s="68"/>
      <c r="HQ486" s="336"/>
      <c r="HR486" s="68"/>
      <c r="HS486" s="68"/>
      <c r="HT486" s="10"/>
      <c r="HW486" s="338"/>
      <c r="HX486" s="338"/>
      <c r="HY486" s="338"/>
      <c r="IC486" s="338"/>
      <c r="ID486" s="338"/>
      <c r="IE486" s="338"/>
      <c r="II486" s="338"/>
      <c r="IJ486" s="338"/>
      <c r="IK486" s="338"/>
      <c r="IO486" s="338"/>
      <c r="IP486" s="338"/>
      <c r="IQ486" s="338"/>
      <c r="IX486" s="68"/>
      <c r="IY486" s="68"/>
      <c r="IZ486" s="68"/>
      <c r="JA486" s="68"/>
      <c r="JB486" s="68"/>
      <c r="JC486" s="68"/>
      <c r="JD486" s="10"/>
      <c r="JG486" s="338"/>
      <c r="JH486" s="338"/>
      <c r="JI486" s="338"/>
      <c r="JM486" s="338"/>
      <c r="JN486" s="338"/>
      <c r="JQ486" s="338"/>
      <c r="JR486" s="338"/>
      <c r="JS486" s="338"/>
      <c r="JW486" s="358"/>
      <c r="JX486" s="336"/>
      <c r="JY486" s="336"/>
      <c r="JZ486" s="336"/>
      <c r="KA486" s="336"/>
      <c r="KB486" s="336"/>
      <c r="KC486" s="336"/>
      <c r="KD486" s="336"/>
      <c r="KE486" s="336"/>
      <c r="KF486" s="336"/>
      <c r="KG486" s="337"/>
      <c r="KH486" s="338"/>
      <c r="KI486" s="338"/>
      <c r="KJ486" s="338"/>
      <c r="KK486" s="338"/>
      <c r="KL486" s="338"/>
      <c r="KM486" s="338"/>
      <c r="KN486" s="338"/>
      <c r="KO486" s="338"/>
      <c r="KP486" s="338"/>
      <c r="KQ486" s="338"/>
      <c r="KR486" s="338"/>
      <c r="KS486" s="338"/>
      <c r="KT486" s="338"/>
      <c r="KU486" s="338"/>
      <c r="KV486" s="338"/>
      <c r="KW486" s="337"/>
      <c r="KX486" s="336"/>
      <c r="KY486" s="336"/>
      <c r="KZ486" s="336"/>
      <c r="LA486" s="336"/>
      <c r="LB486" s="336"/>
      <c r="LC486" s="336"/>
      <c r="LD486" s="336"/>
      <c r="LE486" s="336"/>
      <c r="LF486" s="336"/>
      <c r="LG486" s="336"/>
      <c r="LH486" s="336"/>
      <c r="LI486" s="336"/>
      <c r="LJ486" s="336"/>
      <c r="LK486" s="336"/>
      <c r="LL486" s="336"/>
      <c r="LM486" s="336"/>
      <c r="LN486" s="336"/>
      <c r="LO486" s="336"/>
      <c r="LP486" s="336"/>
      <c r="LQ486" s="337"/>
      <c r="MN486" s="10"/>
      <c r="OA486" s="10"/>
    </row>
    <row r="487" spans="1:391" s="370" customFormat="1" x14ac:dyDescent="0.25">
      <c r="A487" s="68"/>
      <c r="B487" s="10"/>
      <c r="C487" s="68"/>
      <c r="D487" s="68"/>
      <c r="E487" s="68"/>
      <c r="F487" s="68"/>
      <c r="G487" s="68"/>
      <c r="H487" s="68"/>
      <c r="I487" s="68"/>
      <c r="J487" s="68"/>
      <c r="K487" s="68"/>
      <c r="L487" s="68"/>
      <c r="M487" s="68"/>
      <c r="N487" s="68"/>
      <c r="O487" s="68"/>
      <c r="P487" s="68"/>
      <c r="Q487" s="68"/>
      <c r="R487" s="68"/>
      <c r="S487" s="68"/>
      <c r="T487" s="70"/>
      <c r="AC487" s="68"/>
      <c r="AD487" s="70"/>
      <c r="AM487" s="68"/>
      <c r="AN487" s="70"/>
      <c r="AU487" s="68"/>
      <c r="AV487" s="70"/>
      <c r="BB487" s="68"/>
      <c r="BC487" s="70"/>
      <c r="BD487" s="68"/>
      <c r="BE487" s="68"/>
      <c r="BF487" s="68"/>
      <c r="BG487" s="68"/>
      <c r="BH487" s="68"/>
      <c r="BI487" s="68"/>
      <c r="BJ487" s="70"/>
      <c r="BM487" s="68"/>
      <c r="BN487" s="70"/>
      <c r="BT487" s="68"/>
      <c r="BU487" s="70"/>
      <c r="BZ487" s="10"/>
      <c r="CF487" s="10"/>
      <c r="CI487" s="389"/>
      <c r="CJ487" s="389"/>
      <c r="CK487" s="68"/>
      <c r="CL487" s="70"/>
      <c r="CO487" s="10"/>
      <c r="CU487" s="10"/>
      <c r="DA487" s="10"/>
      <c r="DB487" s="70"/>
      <c r="DC487" s="70"/>
      <c r="DF487" s="68"/>
      <c r="DG487" s="70"/>
      <c r="DH487" s="68"/>
      <c r="DI487" s="386"/>
      <c r="DJ487" s="425"/>
      <c r="DL487" s="68"/>
      <c r="DM487" s="70"/>
      <c r="DQ487" s="68"/>
      <c r="DR487" s="70"/>
      <c r="DS487" s="338"/>
      <c r="DT487" s="338"/>
      <c r="DU487" s="338"/>
      <c r="DW487" s="338"/>
      <c r="DX487" s="338"/>
      <c r="DY487" s="338"/>
      <c r="EA487" s="338"/>
      <c r="EB487" s="338"/>
      <c r="EC487" s="338"/>
      <c r="EE487" s="338"/>
      <c r="EF487" s="338"/>
      <c r="EG487" s="338"/>
      <c r="EI487" s="336"/>
      <c r="EJ487" s="336"/>
      <c r="EK487" s="336"/>
      <c r="EL487" s="336"/>
      <c r="EM487" s="336"/>
      <c r="EN487" s="336"/>
      <c r="EO487" s="337"/>
      <c r="EP487" s="342"/>
      <c r="EQ487" s="336"/>
      <c r="ER487" s="342"/>
      <c r="ES487" s="336"/>
      <c r="ET487" s="342"/>
      <c r="EU487" s="336"/>
      <c r="EV487" s="342"/>
      <c r="EW487" s="336"/>
      <c r="EX487" s="342"/>
      <c r="EY487" s="342"/>
      <c r="EZ487" s="342"/>
      <c r="FA487" s="337"/>
      <c r="FE487" s="338"/>
      <c r="FH487" s="338"/>
      <c r="FI487" s="338"/>
      <c r="FJ487" s="338"/>
      <c r="FK487" s="338"/>
      <c r="FL487" s="338"/>
      <c r="FM487" s="337"/>
      <c r="FN487" s="336"/>
      <c r="FO487" s="336"/>
      <c r="FP487" s="336"/>
      <c r="FQ487" s="336"/>
      <c r="FR487" s="336"/>
      <c r="FS487" s="336"/>
      <c r="FT487" s="336"/>
      <c r="FU487" s="336"/>
      <c r="FV487" s="336"/>
      <c r="FW487" s="337"/>
      <c r="FX487" s="532"/>
      <c r="FY487" s="341"/>
      <c r="FZ487" s="341"/>
      <c r="GA487" s="336"/>
      <c r="GB487" s="341"/>
      <c r="GC487" s="341"/>
      <c r="GD487" s="341"/>
      <c r="GE487" s="336"/>
      <c r="GF487" s="336"/>
      <c r="GG487" s="336"/>
      <c r="GH487" s="336"/>
      <c r="GI487" s="336"/>
      <c r="GJ487" s="337"/>
      <c r="GM487" s="338"/>
      <c r="GN487" s="338"/>
      <c r="GO487" s="338"/>
      <c r="GS487" s="338"/>
      <c r="GT487" s="338"/>
      <c r="GU487" s="338"/>
      <c r="GY487" s="338"/>
      <c r="GZ487" s="338"/>
      <c r="HA487" s="338"/>
      <c r="HE487" s="338"/>
      <c r="HF487" s="338"/>
      <c r="HG487" s="338"/>
      <c r="HN487" s="68"/>
      <c r="HO487" s="68"/>
      <c r="HP487" s="68"/>
      <c r="HQ487" s="336"/>
      <c r="HR487" s="68"/>
      <c r="HS487" s="68"/>
      <c r="HT487" s="10"/>
      <c r="HW487" s="338"/>
      <c r="HX487" s="338"/>
      <c r="HY487" s="338"/>
      <c r="IC487" s="338"/>
      <c r="ID487" s="338"/>
      <c r="IE487" s="338"/>
      <c r="II487" s="338"/>
      <c r="IJ487" s="338"/>
      <c r="IK487" s="338"/>
      <c r="IO487" s="338"/>
      <c r="IP487" s="338"/>
      <c r="IQ487" s="338"/>
      <c r="IX487" s="68"/>
      <c r="IY487" s="68"/>
      <c r="IZ487" s="68"/>
      <c r="JA487" s="68"/>
      <c r="JB487" s="68"/>
      <c r="JC487" s="68"/>
      <c r="JD487" s="10"/>
      <c r="JG487" s="338"/>
      <c r="JH487" s="338"/>
      <c r="JI487" s="338"/>
      <c r="JM487" s="338"/>
      <c r="JN487" s="338"/>
      <c r="JQ487" s="338"/>
      <c r="JR487" s="338"/>
      <c r="JS487" s="338"/>
      <c r="JW487" s="358"/>
      <c r="JX487" s="336"/>
      <c r="JY487" s="336"/>
      <c r="JZ487" s="336"/>
      <c r="KA487" s="336"/>
      <c r="KB487" s="336"/>
      <c r="KC487" s="336"/>
      <c r="KD487" s="336"/>
      <c r="KE487" s="336"/>
      <c r="KF487" s="336"/>
      <c r="KG487" s="337"/>
      <c r="KH487" s="338"/>
      <c r="KI487" s="338"/>
      <c r="KJ487" s="338"/>
      <c r="KK487" s="338"/>
      <c r="KL487" s="338"/>
      <c r="KM487" s="338"/>
      <c r="KN487" s="338"/>
      <c r="KO487" s="338"/>
      <c r="KP487" s="338"/>
      <c r="KQ487" s="338"/>
      <c r="KR487" s="338"/>
      <c r="KS487" s="338"/>
      <c r="KT487" s="338"/>
      <c r="KU487" s="338"/>
      <c r="KV487" s="338"/>
      <c r="KW487" s="337"/>
      <c r="KX487" s="336"/>
      <c r="KY487" s="336"/>
      <c r="KZ487" s="336"/>
      <c r="LA487" s="336"/>
      <c r="LB487" s="336"/>
      <c r="LC487" s="336"/>
      <c r="LD487" s="336"/>
      <c r="LE487" s="336"/>
      <c r="LF487" s="336"/>
      <c r="LG487" s="336"/>
      <c r="LH487" s="336"/>
      <c r="LI487" s="336"/>
      <c r="LJ487" s="336"/>
      <c r="LK487" s="336"/>
      <c r="LL487" s="336"/>
      <c r="LM487" s="336"/>
      <c r="LN487" s="336"/>
      <c r="LO487" s="336"/>
      <c r="LP487" s="336"/>
      <c r="LQ487" s="337"/>
      <c r="MN487" s="10"/>
      <c r="OA487" s="10"/>
    </row>
    <row r="488" spans="1:391" s="370" customFormat="1" x14ac:dyDescent="0.25">
      <c r="A488" s="68"/>
      <c r="B488" s="10"/>
      <c r="C488" s="68"/>
      <c r="D488" s="68"/>
      <c r="E488" s="68"/>
      <c r="F488" s="68"/>
      <c r="G488" s="68"/>
      <c r="H488" s="68"/>
      <c r="I488" s="68"/>
      <c r="J488" s="68"/>
      <c r="K488" s="68"/>
      <c r="L488" s="68"/>
      <c r="M488" s="68"/>
      <c r="N488" s="68"/>
      <c r="O488" s="68"/>
      <c r="P488" s="68"/>
      <c r="Q488" s="68"/>
      <c r="R488" s="68"/>
      <c r="S488" s="68"/>
      <c r="T488" s="70"/>
      <c r="AC488" s="68"/>
      <c r="AD488" s="70"/>
      <c r="AM488" s="68"/>
      <c r="AN488" s="70"/>
      <c r="AU488" s="68"/>
      <c r="AV488" s="70"/>
      <c r="BB488" s="68"/>
      <c r="BC488" s="70"/>
      <c r="BD488" s="68"/>
      <c r="BE488" s="68"/>
      <c r="BF488" s="68"/>
      <c r="BG488" s="68"/>
      <c r="BH488" s="68"/>
      <c r="BI488" s="68"/>
      <c r="BJ488" s="70"/>
      <c r="BM488" s="68"/>
      <c r="BN488" s="70"/>
      <c r="BT488" s="68"/>
      <c r="BU488" s="70"/>
      <c r="BZ488" s="10"/>
      <c r="CF488" s="10"/>
      <c r="CI488" s="389"/>
      <c r="CJ488" s="389"/>
      <c r="CK488" s="68"/>
      <c r="CL488" s="70"/>
      <c r="CO488" s="10"/>
      <c r="CU488" s="10"/>
      <c r="DA488" s="10"/>
      <c r="DB488" s="70"/>
      <c r="DC488" s="70"/>
      <c r="DF488" s="68"/>
      <c r="DG488" s="70"/>
      <c r="DH488" s="68"/>
      <c r="DI488" s="386"/>
      <c r="DJ488" s="425"/>
      <c r="DL488" s="68"/>
      <c r="DM488" s="70"/>
      <c r="DQ488" s="68"/>
      <c r="DR488" s="70"/>
      <c r="DS488" s="338"/>
      <c r="DT488" s="338"/>
      <c r="DU488" s="338"/>
      <c r="DW488" s="338"/>
      <c r="DX488" s="338"/>
      <c r="DY488" s="338"/>
      <c r="EA488" s="338"/>
      <c r="EB488" s="338"/>
      <c r="EC488" s="338"/>
      <c r="EE488" s="338"/>
      <c r="EF488" s="338"/>
      <c r="EG488" s="338"/>
      <c r="EI488" s="336"/>
      <c r="EJ488" s="336"/>
      <c r="EK488" s="336"/>
      <c r="EL488" s="336"/>
      <c r="EM488" s="336"/>
      <c r="EN488" s="336"/>
      <c r="EO488" s="337"/>
      <c r="EP488" s="342"/>
      <c r="EQ488" s="336"/>
      <c r="ER488" s="342"/>
      <c r="ES488" s="336"/>
      <c r="ET488" s="342"/>
      <c r="EU488" s="336"/>
      <c r="EV488" s="342"/>
      <c r="EW488" s="336"/>
      <c r="EX488" s="342"/>
      <c r="EY488" s="342"/>
      <c r="EZ488" s="342"/>
      <c r="FA488" s="337"/>
      <c r="FE488" s="338"/>
      <c r="FH488" s="338"/>
      <c r="FI488" s="338"/>
      <c r="FJ488" s="338"/>
      <c r="FK488" s="338"/>
      <c r="FL488" s="338"/>
      <c r="FM488" s="337"/>
      <c r="FN488" s="336"/>
      <c r="FO488" s="336"/>
      <c r="FP488" s="336"/>
      <c r="FQ488" s="336"/>
      <c r="FR488" s="336"/>
      <c r="FS488" s="336"/>
      <c r="FT488" s="336"/>
      <c r="FU488" s="336"/>
      <c r="FV488" s="336"/>
      <c r="FW488" s="337"/>
      <c r="FX488" s="532"/>
      <c r="FY488" s="341"/>
      <c r="FZ488" s="341"/>
      <c r="GA488" s="336"/>
      <c r="GB488" s="341"/>
      <c r="GC488" s="341"/>
      <c r="GD488" s="341"/>
      <c r="GE488" s="336"/>
      <c r="GF488" s="336"/>
      <c r="GG488" s="336"/>
      <c r="GH488" s="336"/>
      <c r="GI488" s="336"/>
      <c r="GJ488" s="337"/>
      <c r="GM488" s="338"/>
      <c r="GN488" s="338"/>
      <c r="GO488" s="338"/>
      <c r="GS488" s="338"/>
      <c r="GT488" s="338"/>
      <c r="GU488" s="338"/>
      <c r="GY488" s="338"/>
      <c r="GZ488" s="338"/>
      <c r="HA488" s="338"/>
      <c r="HE488" s="338"/>
      <c r="HF488" s="338"/>
      <c r="HG488" s="338"/>
      <c r="HN488" s="68"/>
      <c r="HO488" s="68"/>
      <c r="HP488" s="68"/>
      <c r="HQ488" s="336"/>
      <c r="HR488" s="68"/>
      <c r="HS488" s="68"/>
      <c r="HT488" s="10"/>
      <c r="HW488" s="338"/>
      <c r="HX488" s="338"/>
      <c r="HY488" s="338"/>
      <c r="IC488" s="338"/>
      <c r="ID488" s="338"/>
      <c r="IE488" s="338"/>
      <c r="II488" s="338"/>
      <c r="IJ488" s="338"/>
      <c r="IK488" s="338"/>
      <c r="IO488" s="338"/>
      <c r="IP488" s="338"/>
      <c r="IQ488" s="338"/>
      <c r="IX488" s="68"/>
      <c r="IY488" s="68"/>
      <c r="IZ488" s="68"/>
      <c r="JA488" s="68"/>
      <c r="JB488" s="68"/>
      <c r="JC488" s="68"/>
      <c r="JD488" s="10"/>
      <c r="JG488" s="338"/>
      <c r="JH488" s="338"/>
      <c r="JI488" s="338"/>
      <c r="JM488" s="338"/>
      <c r="JN488" s="338"/>
      <c r="JQ488" s="338"/>
      <c r="JR488" s="338"/>
      <c r="JS488" s="338"/>
      <c r="JW488" s="358"/>
      <c r="JX488" s="336"/>
      <c r="JY488" s="336"/>
      <c r="JZ488" s="336"/>
      <c r="KA488" s="336"/>
      <c r="KB488" s="336"/>
      <c r="KC488" s="336"/>
      <c r="KD488" s="336"/>
      <c r="KE488" s="336"/>
      <c r="KF488" s="336"/>
      <c r="KG488" s="337"/>
      <c r="KH488" s="338"/>
      <c r="KI488" s="338"/>
      <c r="KJ488" s="338"/>
      <c r="KK488" s="338"/>
      <c r="KL488" s="338"/>
      <c r="KM488" s="338"/>
      <c r="KN488" s="338"/>
      <c r="KO488" s="338"/>
      <c r="KP488" s="338"/>
      <c r="KQ488" s="338"/>
      <c r="KR488" s="338"/>
      <c r="KS488" s="338"/>
      <c r="KT488" s="338"/>
      <c r="KU488" s="338"/>
      <c r="KV488" s="338"/>
      <c r="KW488" s="337"/>
      <c r="KX488" s="336"/>
      <c r="KY488" s="336"/>
      <c r="KZ488" s="336"/>
      <c r="LA488" s="336"/>
      <c r="LB488" s="336"/>
      <c r="LC488" s="336"/>
      <c r="LD488" s="336"/>
      <c r="LE488" s="336"/>
      <c r="LF488" s="336"/>
      <c r="LG488" s="336"/>
      <c r="LH488" s="336"/>
      <c r="LI488" s="336"/>
      <c r="LJ488" s="336"/>
      <c r="LK488" s="336"/>
      <c r="LL488" s="336"/>
      <c r="LM488" s="336"/>
      <c r="LN488" s="336"/>
      <c r="LO488" s="336"/>
      <c r="LP488" s="336"/>
      <c r="LQ488" s="337"/>
      <c r="MN488" s="10"/>
      <c r="OA488" s="10"/>
    </row>
    <row r="489" spans="1:391" s="370" customFormat="1" x14ac:dyDescent="0.25">
      <c r="A489" s="68"/>
      <c r="B489" s="10"/>
      <c r="C489" s="68"/>
      <c r="D489" s="68"/>
      <c r="E489" s="68"/>
      <c r="F489" s="68"/>
      <c r="G489" s="68"/>
      <c r="H489" s="68"/>
      <c r="I489" s="68"/>
      <c r="J489" s="68"/>
      <c r="K489" s="68"/>
      <c r="L489" s="68"/>
      <c r="M489" s="68"/>
      <c r="N489" s="68"/>
      <c r="O489" s="68"/>
      <c r="P489" s="68"/>
      <c r="Q489" s="68"/>
      <c r="R489" s="68"/>
      <c r="S489" s="68"/>
      <c r="T489" s="70"/>
      <c r="AC489" s="68"/>
      <c r="AD489" s="70"/>
      <c r="AM489" s="68"/>
      <c r="AN489" s="70"/>
      <c r="AU489" s="68"/>
      <c r="AV489" s="70"/>
      <c r="BB489" s="68"/>
      <c r="BC489" s="70"/>
      <c r="BD489" s="68"/>
      <c r="BE489" s="68"/>
      <c r="BF489" s="68"/>
      <c r="BG489" s="68"/>
      <c r="BH489" s="68"/>
      <c r="BI489" s="68"/>
      <c r="BJ489" s="70"/>
      <c r="BM489" s="68"/>
      <c r="BN489" s="70"/>
      <c r="BT489" s="68"/>
      <c r="BU489" s="70"/>
      <c r="BZ489" s="10"/>
      <c r="CF489" s="10"/>
      <c r="CI489" s="389"/>
      <c r="CJ489" s="389"/>
      <c r="CK489" s="68"/>
      <c r="CL489" s="70"/>
      <c r="CO489" s="10"/>
      <c r="CU489" s="10"/>
      <c r="DA489" s="10"/>
      <c r="DB489" s="70"/>
      <c r="DC489" s="70"/>
      <c r="DF489" s="68"/>
      <c r="DG489" s="70"/>
      <c r="DH489" s="68"/>
      <c r="DI489" s="386"/>
      <c r="DJ489" s="425"/>
      <c r="DL489" s="68"/>
      <c r="DM489" s="70"/>
      <c r="DQ489" s="68"/>
      <c r="DR489" s="70"/>
      <c r="DS489" s="338"/>
      <c r="DT489" s="338"/>
      <c r="DU489" s="338"/>
      <c r="DW489" s="338"/>
      <c r="DX489" s="338"/>
      <c r="DY489" s="338"/>
      <c r="EA489" s="338"/>
      <c r="EB489" s="338"/>
      <c r="EC489" s="338"/>
      <c r="EE489" s="338"/>
      <c r="EF489" s="338"/>
      <c r="EG489" s="338"/>
      <c r="EI489" s="336"/>
      <c r="EJ489" s="336"/>
      <c r="EK489" s="336"/>
      <c r="EL489" s="336"/>
      <c r="EM489" s="336"/>
      <c r="EN489" s="336"/>
      <c r="EO489" s="337"/>
      <c r="EP489" s="342"/>
      <c r="EQ489" s="336"/>
      <c r="ER489" s="342"/>
      <c r="ES489" s="336"/>
      <c r="ET489" s="342"/>
      <c r="EU489" s="336"/>
      <c r="EV489" s="342"/>
      <c r="EW489" s="336"/>
      <c r="EX489" s="342"/>
      <c r="EY489" s="342"/>
      <c r="EZ489" s="342"/>
      <c r="FA489" s="337"/>
      <c r="FE489" s="338"/>
      <c r="FH489" s="338"/>
      <c r="FI489" s="338"/>
      <c r="FJ489" s="338"/>
      <c r="FK489" s="338"/>
      <c r="FL489" s="338"/>
      <c r="FM489" s="337"/>
      <c r="FN489" s="336"/>
      <c r="FO489" s="336"/>
      <c r="FP489" s="336"/>
      <c r="FQ489" s="336"/>
      <c r="FR489" s="336"/>
      <c r="FS489" s="336"/>
      <c r="FT489" s="336"/>
      <c r="FU489" s="336"/>
      <c r="FV489" s="336"/>
      <c r="FW489" s="337"/>
      <c r="FX489" s="532"/>
      <c r="FY489" s="341"/>
      <c r="FZ489" s="341"/>
      <c r="GA489" s="336"/>
      <c r="GB489" s="341"/>
      <c r="GC489" s="341"/>
      <c r="GD489" s="341"/>
      <c r="GE489" s="336"/>
      <c r="GF489" s="336"/>
      <c r="GG489" s="336"/>
      <c r="GH489" s="336"/>
      <c r="GI489" s="336"/>
      <c r="GJ489" s="337"/>
      <c r="GM489" s="338"/>
      <c r="GN489" s="338"/>
      <c r="GO489" s="338"/>
      <c r="GS489" s="338"/>
      <c r="GT489" s="338"/>
      <c r="GU489" s="338"/>
      <c r="GY489" s="338"/>
      <c r="GZ489" s="338"/>
      <c r="HA489" s="338"/>
      <c r="HE489" s="338"/>
      <c r="HF489" s="338"/>
      <c r="HG489" s="338"/>
      <c r="HN489" s="68"/>
      <c r="HO489" s="68"/>
      <c r="HP489" s="68"/>
      <c r="HQ489" s="336"/>
      <c r="HR489" s="68"/>
      <c r="HS489" s="68"/>
      <c r="HT489" s="10"/>
      <c r="HW489" s="338"/>
      <c r="HX489" s="338"/>
      <c r="HY489" s="338"/>
      <c r="IC489" s="338"/>
      <c r="ID489" s="338"/>
      <c r="IE489" s="338"/>
      <c r="II489" s="338"/>
      <c r="IJ489" s="338"/>
      <c r="IK489" s="338"/>
      <c r="IO489" s="338"/>
      <c r="IP489" s="338"/>
      <c r="IQ489" s="338"/>
      <c r="IX489" s="68"/>
      <c r="IY489" s="68"/>
      <c r="IZ489" s="68"/>
      <c r="JA489" s="68"/>
      <c r="JB489" s="68"/>
      <c r="JC489" s="68"/>
      <c r="JD489" s="10"/>
      <c r="JG489" s="338"/>
      <c r="JH489" s="338"/>
      <c r="JI489" s="338"/>
      <c r="JM489" s="338"/>
      <c r="JN489" s="338"/>
      <c r="JQ489" s="338"/>
      <c r="JR489" s="338"/>
      <c r="JS489" s="338"/>
      <c r="JW489" s="358"/>
      <c r="JX489" s="336"/>
      <c r="JY489" s="336"/>
      <c r="JZ489" s="336"/>
      <c r="KA489" s="336"/>
      <c r="KB489" s="336"/>
      <c r="KC489" s="336"/>
      <c r="KD489" s="336"/>
      <c r="KE489" s="336"/>
      <c r="KF489" s="336"/>
      <c r="KG489" s="337"/>
      <c r="KH489" s="338"/>
      <c r="KI489" s="338"/>
      <c r="KJ489" s="338"/>
      <c r="KK489" s="338"/>
      <c r="KL489" s="338"/>
      <c r="KM489" s="338"/>
      <c r="KN489" s="338"/>
      <c r="KO489" s="338"/>
      <c r="KP489" s="338"/>
      <c r="KQ489" s="338"/>
      <c r="KR489" s="338"/>
      <c r="KS489" s="338"/>
      <c r="KT489" s="338"/>
      <c r="KU489" s="338"/>
      <c r="KV489" s="338"/>
      <c r="KW489" s="337"/>
      <c r="KX489" s="336"/>
      <c r="KY489" s="336"/>
      <c r="KZ489" s="336"/>
      <c r="LA489" s="336"/>
      <c r="LB489" s="336"/>
      <c r="LC489" s="336"/>
      <c r="LD489" s="336"/>
      <c r="LE489" s="336"/>
      <c r="LF489" s="336"/>
      <c r="LG489" s="336"/>
      <c r="LH489" s="336"/>
      <c r="LI489" s="336"/>
      <c r="LJ489" s="336"/>
      <c r="LK489" s="336"/>
      <c r="LL489" s="336"/>
      <c r="LM489" s="336"/>
      <c r="LN489" s="336"/>
      <c r="LO489" s="336"/>
      <c r="LP489" s="336"/>
      <c r="LQ489" s="337"/>
      <c r="MN489" s="10"/>
      <c r="OA489" s="10"/>
    </row>
    <row r="490" spans="1:391" s="370" customFormat="1" x14ac:dyDescent="0.25">
      <c r="A490" s="68"/>
      <c r="B490" s="10"/>
      <c r="C490" s="68"/>
      <c r="D490" s="68"/>
      <c r="E490" s="68"/>
      <c r="F490" s="68"/>
      <c r="G490" s="68"/>
      <c r="H490" s="68"/>
      <c r="I490" s="68"/>
      <c r="J490" s="68"/>
      <c r="K490" s="68"/>
      <c r="L490" s="68"/>
      <c r="M490" s="68"/>
      <c r="N490" s="68"/>
      <c r="O490" s="68"/>
      <c r="P490" s="68"/>
      <c r="Q490" s="68"/>
      <c r="R490" s="68"/>
      <c r="S490" s="68"/>
      <c r="T490" s="70"/>
      <c r="AC490" s="68"/>
      <c r="AD490" s="70"/>
      <c r="AM490" s="68"/>
      <c r="AN490" s="70"/>
      <c r="AU490" s="68"/>
      <c r="AV490" s="70"/>
      <c r="BB490" s="68"/>
      <c r="BC490" s="70"/>
      <c r="BD490" s="68"/>
      <c r="BE490" s="68"/>
      <c r="BF490" s="68"/>
      <c r="BG490" s="68"/>
      <c r="BH490" s="68"/>
      <c r="BI490" s="68"/>
      <c r="BJ490" s="70"/>
      <c r="BM490" s="68"/>
      <c r="BN490" s="70"/>
      <c r="BT490" s="68"/>
      <c r="BU490" s="70"/>
      <c r="BZ490" s="10"/>
      <c r="CF490" s="10"/>
      <c r="CI490" s="389"/>
      <c r="CJ490" s="389"/>
      <c r="CK490" s="68"/>
      <c r="CL490" s="70"/>
      <c r="CO490" s="10"/>
      <c r="CU490" s="10"/>
      <c r="DA490" s="10"/>
      <c r="DB490" s="70"/>
      <c r="DC490" s="70"/>
      <c r="DF490" s="68"/>
      <c r="DG490" s="70"/>
      <c r="DH490" s="68"/>
      <c r="DI490" s="386"/>
      <c r="DJ490" s="425"/>
      <c r="DL490" s="68"/>
      <c r="DM490" s="70"/>
      <c r="DQ490" s="68"/>
      <c r="DR490" s="70"/>
      <c r="DS490" s="338"/>
      <c r="DT490" s="338"/>
      <c r="DU490" s="338"/>
      <c r="DW490" s="338"/>
      <c r="DX490" s="338"/>
      <c r="DY490" s="338"/>
      <c r="EA490" s="338"/>
      <c r="EB490" s="338"/>
      <c r="EC490" s="338"/>
      <c r="EE490" s="338"/>
      <c r="EF490" s="338"/>
      <c r="EG490" s="338"/>
      <c r="EI490" s="336"/>
      <c r="EJ490" s="336"/>
      <c r="EK490" s="336"/>
      <c r="EL490" s="336"/>
      <c r="EM490" s="336"/>
      <c r="EN490" s="336"/>
      <c r="EO490" s="337"/>
      <c r="EP490" s="342"/>
      <c r="EQ490" s="336"/>
      <c r="ER490" s="342"/>
      <c r="ES490" s="336"/>
      <c r="ET490" s="342"/>
      <c r="EU490" s="336"/>
      <c r="EV490" s="342"/>
      <c r="EW490" s="336"/>
      <c r="EX490" s="342"/>
      <c r="EY490" s="342"/>
      <c r="EZ490" s="342"/>
      <c r="FA490" s="337"/>
      <c r="FE490" s="338"/>
      <c r="FH490" s="338"/>
      <c r="FI490" s="338"/>
      <c r="FJ490" s="338"/>
      <c r="FK490" s="338"/>
      <c r="FL490" s="338"/>
      <c r="FM490" s="337"/>
      <c r="FN490" s="336"/>
      <c r="FO490" s="336"/>
      <c r="FP490" s="336"/>
      <c r="FQ490" s="336"/>
      <c r="FR490" s="336"/>
      <c r="FS490" s="336"/>
      <c r="FT490" s="336"/>
      <c r="FU490" s="336"/>
      <c r="FV490" s="336"/>
      <c r="FW490" s="337"/>
      <c r="FX490" s="532"/>
      <c r="FY490" s="341"/>
      <c r="FZ490" s="341"/>
      <c r="GA490" s="336"/>
      <c r="GB490" s="341"/>
      <c r="GC490" s="341"/>
      <c r="GD490" s="341"/>
      <c r="GE490" s="336"/>
      <c r="GF490" s="336"/>
      <c r="GG490" s="336"/>
      <c r="GH490" s="336"/>
      <c r="GI490" s="336"/>
      <c r="GJ490" s="337"/>
      <c r="GM490" s="338"/>
      <c r="GN490" s="338"/>
      <c r="GO490" s="338"/>
      <c r="GS490" s="338"/>
      <c r="GT490" s="338"/>
      <c r="GU490" s="338"/>
      <c r="GY490" s="338"/>
      <c r="GZ490" s="338"/>
      <c r="HA490" s="338"/>
      <c r="HE490" s="338"/>
      <c r="HF490" s="338"/>
      <c r="HG490" s="338"/>
      <c r="HN490" s="68"/>
      <c r="HO490" s="68"/>
      <c r="HP490" s="68"/>
      <c r="HQ490" s="336"/>
      <c r="HR490" s="68"/>
      <c r="HS490" s="68"/>
      <c r="HT490" s="10"/>
      <c r="HW490" s="338"/>
      <c r="HX490" s="338"/>
      <c r="HY490" s="338"/>
      <c r="IC490" s="338"/>
      <c r="ID490" s="338"/>
      <c r="IE490" s="338"/>
      <c r="II490" s="338"/>
      <c r="IJ490" s="338"/>
      <c r="IK490" s="338"/>
      <c r="IO490" s="338"/>
      <c r="IP490" s="338"/>
      <c r="IQ490" s="338"/>
      <c r="IX490" s="68"/>
      <c r="IY490" s="68"/>
      <c r="IZ490" s="68"/>
      <c r="JA490" s="68"/>
      <c r="JB490" s="68"/>
      <c r="JC490" s="68"/>
      <c r="JD490" s="10"/>
      <c r="JG490" s="338"/>
      <c r="JH490" s="338"/>
      <c r="JI490" s="338"/>
      <c r="JM490" s="338"/>
      <c r="JN490" s="338"/>
      <c r="JQ490" s="338"/>
      <c r="JR490" s="338"/>
      <c r="JS490" s="338"/>
      <c r="JW490" s="358"/>
      <c r="JX490" s="336"/>
      <c r="JY490" s="336"/>
      <c r="JZ490" s="336"/>
      <c r="KA490" s="336"/>
      <c r="KB490" s="336"/>
      <c r="KC490" s="336"/>
      <c r="KD490" s="336"/>
      <c r="KE490" s="336"/>
      <c r="KF490" s="336"/>
      <c r="KG490" s="337"/>
      <c r="KH490" s="338"/>
      <c r="KI490" s="338"/>
      <c r="KJ490" s="338"/>
      <c r="KK490" s="338"/>
      <c r="KL490" s="338"/>
      <c r="KM490" s="338"/>
      <c r="KN490" s="338"/>
      <c r="KO490" s="338"/>
      <c r="KP490" s="338"/>
      <c r="KQ490" s="338"/>
      <c r="KR490" s="338"/>
      <c r="KS490" s="338"/>
      <c r="KT490" s="338"/>
      <c r="KU490" s="338"/>
      <c r="KV490" s="338"/>
      <c r="KW490" s="337"/>
      <c r="KX490" s="336"/>
      <c r="KY490" s="336"/>
      <c r="KZ490" s="336"/>
      <c r="LA490" s="336"/>
      <c r="LB490" s="336"/>
      <c r="LC490" s="336"/>
      <c r="LD490" s="336"/>
      <c r="LE490" s="336"/>
      <c r="LF490" s="336"/>
      <c r="LG490" s="336"/>
      <c r="LH490" s="336"/>
      <c r="LI490" s="336"/>
      <c r="LJ490" s="336"/>
      <c r="LK490" s="336"/>
      <c r="LL490" s="336"/>
      <c r="LM490" s="336"/>
      <c r="LN490" s="336"/>
      <c r="LO490" s="336"/>
      <c r="LP490" s="336"/>
      <c r="LQ490" s="337"/>
      <c r="MN490" s="10"/>
      <c r="OA490" s="10"/>
    </row>
    <row r="491" spans="1:391" s="370" customFormat="1" x14ac:dyDescent="0.25">
      <c r="A491" s="68"/>
      <c r="B491" s="10"/>
      <c r="C491" s="68"/>
      <c r="D491" s="68"/>
      <c r="E491" s="68"/>
      <c r="F491" s="68"/>
      <c r="G491" s="68"/>
      <c r="H491" s="68"/>
      <c r="I491" s="68"/>
      <c r="J491" s="68"/>
      <c r="K491" s="68"/>
      <c r="L491" s="68"/>
      <c r="M491" s="68"/>
      <c r="N491" s="68"/>
      <c r="O491" s="68"/>
      <c r="P491" s="68"/>
      <c r="Q491" s="68"/>
      <c r="R491" s="68"/>
      <c r="S491" s="68"/>
      <c r="T491" s="70"/>
      <c r="AC491" s="68"/>
      <c r="AD491" s="70"/>
      <c r="AM491" s="68"/>
      <c r="AN491" s="70"/>
      <c r="AU491" s="68"/>
      <c r="AV491" s="70"/>
      <c r="BB491" s="68"/>
      <c r="BC491" s="70"/>
      <c r="BD491" s="68"/>
      <c r="BE491" s="68"/>
      <c r="BF491" s="68"/>
      <c r="BG491" s="68"/>
      <c r="BH491" s="68"/>
      <c r="BI491" s="68"/>
      <c r="BJ491" s="70"/>
      <c r="BM491" s="68"/>
      <c r="BN491" s="70"/>
      <c r="BT491" s="68"/>
      <c r="BU491" s="70"/>
      <c r="BZ491" s="10"/>
      <c r="CF491" s="10"/>
      <c r="CI491" s="389"/>
      <c r="CJ491" s="389"/>
      <c r="CK491" s="68"/>
      <c r="CL491" s="70"/>
      <c r="CO491" s="10"/>
      <c r="CU491" s="10"/>
      <c r="DA491" s="10"/>
      <c r="DB491" s="70"/>
      <c r="DC491" s="70"/>
      <c r="DF491" s="68"/>
      <c r="DG491" s="70"/>
      <c r="DH491" s="68"/>
      <c r="DI491" s="386"/>
      <c r="DJ491" s="425"/>
      <c r="DL491" s="68"/>
      <c r="DM491" s="70"/>
      <c r="DQ491" s="68"/>
      <c r="DR491" s="70"/>
      <c r="DS491" s="338"/>
      <c r="DT491" s="338"/>
      <c r="DU491" s="338"/>
      <c r="DW491" s="338"/>
      <c r="DX491" s="338"/>
      <c r="DY491" s="338"/>
      <c r="EA491" s="338"/>
      <c r="EB491" s="338"/>
      <c r="EC491" s="338"/>
      <c r="EE491" s="338"/>
      <c r="EF491" s="338"/>
      <c r="EG491" s="338"/>
      <c r="EI491" s="336"/>
      <c r="EJ491" s="336"/>
      <c r="EK491" s="336"/>
      <c r="EL491" s="336"/>
      <c r="EM491" s="336"/>
      <c r="EN491" s="336"/>
      <c r="EO491" s="337"/>
      <c r="EP491" s="342"/>
      <c r="EQ491" s="336"/>
      <c r="ER491" s="342"/>
      <c r="ES491" s="336"/>
      <c r="ET491" s="342"/>
      <c r="EU491" s="336"/>
      <c r="EV491" s="342"/>
      <c r="EW491" s="336"/>
      <c r="EX491" s="342"/>
      <c r="EY491" s="342"/>
      <c r="EZ491" s="342"/>
      <c r="FA491" s="337"/>
      <c r="FE491" s="338"/>
      <c r="FH491" s="338"/>
      <c r="FI491" s="338"/>
      <c r="FJ491" s="338"/>
      <c r="FK491" s="338"/>
      <c r="FL491" s="338"/>
      <c r="FM491" s="337"/>
      <c r="FN491" s="336"/>
      <c r="FO491" s="336"/>
      <c r="FP491" s="336"/>
      <c r="FQ491" s="336"/>
      <c r="FR491" s="336"/>
      <c r="FS491" s="336"/>
      <c r="FT491" s="336"/>
      <c r="FU491" s="336"/>
      <c r="FV491" s="336"/>
      <c r="FW491" s="337"/>
      <c r="FX491" s="532"/>
      <c r="FY491" s="341"/>
      <c r="FZ491" s="341"/>
      <c r="GA491" s="336"/>
      <c r="GB491" s="341"/>
      <c r="GC491" s="341"/>
      <c r="GD491" s="341"/>
      <c r="GE491" s="336"/>
      <c r="GF491" s="336"/>
      <c r="GG491" s="336"/>
      <c r="GH491" s="336"/>
      <c r="GI491" s="336"/>
      <c r="GJ491" s="337"/>
      <c r="GM491" s="338"/>
      <c r="GN491" s="338"/>
      <c r="GO491" s="338"/>
      <c r="GS491" s="338"/>
      <c r="GT491" s="338"/>
      <c r="GU491" s="338"/>
      <c r="GY491" s="338"/>
      <c r="GZ491" s="338"/>
      <c r="HA491" s="338"/>
      <c r="HE491" s="338"/>
      <c r="HF491" s="338"/>
      <c r="HG491" s="338"/>
      <c r="HN491" s="68"/>
      <c r="HO491" s="68"/>
      <c r="HP491" s="68"/>
      <c r="HQ491" s="336"/>
      <c r="HR491" s="68"/>
      <c r="HS491" s="68"/>
      <c r="HT491" s="10"/>
      <c r="HW491" s="338"/>
      <c r="HX491" s="338"/>
      <c r="HY491" s="338"/>
      <c r="IC491" s="338"/>
      <c r="ID491" s="338"/>
      <c r="IE491" s="338"/>
      <c r="II491" s="338"/>
      <c r="IJ491" s="338"/>
      <c r="IK491" s="338"/>
      <c r="IO491" s="338"/>
      <c r="IP491" s="338"/>
      <c r="IQ491" s="338"/>
      <c r="IX491" s="68"/>
      <c r="IY491" s="68"/>
      <c r="IZ491" s="68"/>
      <c r="JA491" s="68"/>
      <c r="JB491" s="68"/>
      <c r="JC491" s="68"/>
      <c r="JD491" s="10"/>
      <c r="JG491" s="338"/>
      <c r="JH491" s="338"/>
      <c r="JI491" s="338"/>
      <c r="JM491" s="338"/>
      <c r="JN491" s="338"/>
      <c r="JQ491" s="338"/>
      <c r="JR491" s="338"/>
      <c r="JS491" s="338"/>
      <c r="JW491" s="358"/>
      <c r="JX491" s="336"/>
      <c r="JY491" s="336"/>
      <c r="JZ491" s="336"/>
      <c r="KA491" s="336"/>
      <c r="KB491" s="336"/>
      <c r="KC491" s="336"/>
      <c r="KD491" s="336"/>
      <c r="KE491" s="336"/>
      <c r="KF491" s="336"/>
      <c r="KG491" s="337"/>
      <c r="KH491" s="338"/>
      <c r="KI491" s="338"/>
      <c r="KJ491" s="338"/>
      <c r="KK491" s="338"/>
      <c r="KL491" s="338"/>
      <c r="KM491" s="338"/>
      <c r="KN491" s="338"/>
      <c r="KO491" s="338"/>
      <c r="KP491" s="338"/>
      <c r="KQ491" s="338"/>
      <c r="KR491" s="338"/>
      <c r="KS491" s="338"/>
      <c r="KT491" s="338"/>
      <c r="KU491" s="338"/>
      <c r="KV491" s="338"/>
      <c r="KW491" s="337"/>
      <c r="KX491" s="336"/>
      <c r="KY491" s="336"/>
      <c r="KZ491" s="336"/>
      <c r="LA491" s="336"/>
      <c r="LB491" s="336"/>
      <c r="LC491" s="336"/>
      <c r="LD491" s="336"/>
      <c r="LE491" s="336"/>
      <c r="LF491" s="336"/>
      <c r="LG491" s="336"/>
      <c r="LH491" s="336"/>
      <c r="LI491" s="336"/>
      <c r="LJ491" s="336"/>
      <c r="LK491" s="336"/>
      <c r="LL491" s="336"/>
      <c r="LM491" s="336"/>
      <c r="LN491" s="336"/>
      <c r="LO491" s="336"/>
      <c r="LP491" s="336"/>
      <c r="LQ491" s="337"/>
      <c r="MN491" s="10"/>
      <c r="OA491" s="10"/>
    </row>
    <row r="492" spans="1:391" s="370" customFormat="1" x14ac:dyDescent="0.25">
      <c r="A492" s="68"/>
      <c r="B492" s="10"/>
      <c r="C492" s="68"/>
      <c r="D492" s="68"/>
      <c r="E492" s="68"/>
      <c r="F492" s="68"/>
      <c r="G492" s="68"/>
      <c r="H492" s="68"/>
      <c r="I492" s="68"/>
      <c r="J492" s="68"/>
      <c r="K492" s="68"/>
      <c r="L492" s="68"/>
      <c r="M492" s="68"/>
      <c r="N492" s="68"/>
      <c r="O492" s="68"/>
      <c r="P492" s="68"/>
      <c r="Q492" s="68"/>
      <c r="R492" s="68"/>
      <c r="S492" s="68"/>
      <c r="T492" s="70"/>
      <c r="AC492" s="68"/>
      <c r="AD492" s="70"/>
      <c r="AM492" s="68"/>
      <c r="AN492" s="70"/>
      <c r="AU492" s="68"/>
      <c r="AV492" s="70"/>
      <c r="BB492" s="68"/>
      <c r="BC492" s="70"/>
      <c r="BD492" s="68"/>
      <c r="BE492" s="68"/>
      <c r="BF492" s="68"/>
      <c r="BG492" s="68"/>
      <c r="BH492" s="68"/>
      <c r="BI492" s="68"/>
      <c r="BJ492" s="70"/>
      <c r="BM492" s="68"/>
      <c r="BN492" s="70"/>
      <c r="BT492" s="68"/>
      <c r="BU492" s="70"/>
      <c r="BZ492" s="10"/>
      <c r="CF492" s="10"/>
      <c r="CI492" s="389"/>
      <c r="CJ492" s="389"/>
      <c r="CK492" s="68"/>
      <c r="CL492" s="70"/>
      <c r="CO492" s="10"/>
      <c r="CU492" s="10"/>
      <c r="DA492" s="10"/>
      <c r="DB492" s="70"/>
      <c r="DC492" s="70"/>
      <c r="DF492" s="68"/>
      <c r="DG492" s="70"/>
      <c r="DH492" s="68"/>
      <c r="DI492" s="386"/>
      <c r="DJ492" s="425"/>
      <c r="DL492" s="68"/>
      <c r="DM492" s="70"/>
      <c r="DQ492" s="68"/>
      <c r="DR492" s="70"/>
      <c r="DS492" s="338"/>
      <c r="DT492" s="338"/>
      <c r="DU492" s="338"/>
      <c r="DW492" s="338"/>
      <c r="DX492" s="338"/>
      <c r="DY492" s="338"/>
      <c r="EA492" s="338"/>
      <c r="EB492" s="338"/>
      <c r="EC492" s="338"/>
      <c r="EE492" s="338"/>
      <c r="EF492" s="338"/>
      <c r="EG492" s="338"/>
      <c r="EI492" s="336"/>
      <c r="EJ492" s="336"/>
      <c r="EK492" s="336"/>
      <c r="EL492" s="336"/>
      <c r="EM492" s="336"/>
      <c r="EN492" s="336"/>
      <c r="EO492" s="337"/>
      <c r="EP492" s="342"/>
      <c r="EQ492" s="336"/>
      <c r="ER492" s="342"/>
      <c r="ES492" s="336"/>
      <c r="ET492" s="342"/>
      <c r="EU492" s="336"/>
      <c r="EV492" s="342"/>
      <c r="EW492" s="336"/>
      <c r="EX492" s="342"/>
      <c r="EY492" s="342"/>
      <c r="EZ492" s="342"/>
      <c r="FA492" s="337"/>
      <c r="FE492" s="338"/>
      <c r="FH492" s="338"/>
      <c r="FI492" s="338"/>
      <c r="FJ492" s="338"/>
      <c r="FK492" s="338"/>
      <c r="FL492" s="338"/>
      <c r="FM492" s="337"/>
      <c r="FN492" s="336"/>
      <c r="FO492" s="336"/>
      <c r="FP492" s="336"/>
      <c r="FQ492" s="336"/>
      <c r="FR492" s="336"/>
      <c r="FS492" s="336"/>
      <c r="FT492" s="336"/>
      <c r="FU492" s="336"/>
      <c r="FV492" s="336"/>
      <c r="FW492" s="337"/>
      <c r="FX492" s="532"/>
      <c r="FY492" s="341"/>
      <c r="FZ492" s="341"/>
      <c r="GA492" s="336"/>
      <c r="GB492" s="341"/>
      <c r="GC492" s="341"/>
      <c r="GD492" s="341"/>
      <c r="GE492" s="336"/>
      <c r="GF492" s="336"/>
      <c r="GG492" s="336"/>
      <c r="GH492" s="336"/>
      <c r="GI492" s="336"/>
      <c r="GJ492" s="337"/>
      <c r="GM492" s="338"/>
      <c r="GN492" s="338"/>
      <c r="GO492" s="338"/>
      <c r="GS492" s="338"/>
      <c r="GT492" s="338"/>
      <c r="GU492" s="338"/>
      <c r="GY492" s="338"/>
      <c r="GZ492" s="338"/>
      <c r="HA492" s="338"/>
      <c r="HE492" s="338"/>
      <c r="HF492" s="338"/>
      <c r="HG492" s="338"/>
      <c r="HN492" s="68"/>
      <c r="HO492" s="68"/>
      <c r="HP492" s="68"/>
      <c r="HQ492" s="336"/>
      <c r="HR492" s="68"/>
      <c r="HS492" s="68"/>
      <c r="HT492" s="10"/>
      <c r="HW492" s="338"/>
      <c r="HX492" s="338"/>
      <c r="HY492" s="338"/>
      <c r="IC492" s="338"/>
      <c r="ID492" s="338"/>
      <c r="IE492" s="338"/>
      <c r="II492" s="338"/>
      <c r="IJ492" s="338"/>
      <c r="IK492" s="338"/>
      <c r="IO492" s="338"/>
      <c r="IP492" s="338"/>
      <c r="IQ492" s="338"/>
      <c r="IX492" s="68"/>
      <c r="IY492" s="68"/>
      <c r="IZ492" s="68"/>
      <c r="JA492" s="68"/>
      <c r="JB492" s="68"/>
      <c r="JC492" s="68"/>
      <c r="JD492" s="10"/>
      <c r="JG492" s="338"/>
      <c r="JH492" s="338"/>
      <c r="JI492" s="338"/>
      <c r="JM492" s="338"/>
      <c r="JN492" s="338"/>
      <c r="JQ492" s="338"/>
      <c r="JR492" s="338"/>
      <c r="JS492" s="338"/>
      <c r="JW492" s="358"/>
      <c r="JX492" s="336"/>
      <c r="JY492" s="336"/>
      <c r="JZ492" s="336"/>
      <c r="KA492" s="336"/>
      <c r="KB492" s="336"/>
      <c r="KC492" s="336"/>
      <c r="KD492" s="336"/>
      <c r="KE492" s="336"/>
      <c r="KF492" s="336"/>
      <c r="KG492" s="337"/>
      <c r="KH492" s="338"/>
      <c r="KI492" s="338"/>
      <c r="KJ492" s="338"/>
      <c r="KK492" s="338"/>
      <c r="KL492" s="338"/>
      <c r="KM492" s="338"/>
      <c r="KN492" s="338"/>
      <c r="KO492" s="338"/>
      <c r="KP492" s="338"/>
      <c r="KQ492" s="338"/>
      <c r="KR492" s="338"/>
      <c r="KS492" s="338"/>
      <c r="KT492" s="338"/>
      <c r="KU492" s="338"/>
      <c r="KV492" s="338"/>
      <c r="KW492" s="337"/>
      <c r="KX492" s="336"/>
      <c r="KY492" s="336"/>
      <c r="KZ492" s="336"/>
      <c r="LA492" s="336"/>
      <c r="LB492" s="336"/>
      <c r="LC492" s="336"/>
      <c r="LD492" s="336"/>
      <c r="LE492" s="336"/>
      <c r="LF492" s="336"/>
      <c r="LG492" s="336"/>
      <c r="LH492" s="336"/>
      <c r="LI492" s="336"/>
      <c r="LJ492" s="336"/>
      <c r="LK492" s="336"/>
      <c r="LL492" s="336"/>
      <c r="LM492" s="336"/>
      <c r="LN492" s="336"/>
      <c r="LO492" s="336"/>
      <c r="LP492" s="336"/>
      <c r="LQ492" s="337"/>
      <c r="MN492" s="10"/>
      <c r="OA492" s="10"/>
    </row>
    <row r="493" spans="1:391" s="370" customFormat="1" x14ac:dyDescent="0.25">
      <c r="A493" s="68"/>
      <c r="B493" s="10"/>
      <c r="C493" s="68"/>
      <c r="D493" s="68"/>
      <c r="E493" s="68"/>
      <c r="F493" s="68"/>
      <c r="G493" s="68"/>
      <c r="H493" s="68"/>
      <c r="I493" s="68"/>
      <c r="J493" s="68"/>
      <c r="K493" s="68"/>
      <c r="L493" s="68"/>
      <c r="M493" s="68"/>
      <c r="N493" s="68"/>
      <c r="O493" s="68"/>
      <c r="P493" s="68"/>
      <c r="Q493" s="68"/>
      <c r="R493" s="68"/>
      <c r="S493" s="68"/>
      <c r="T493" s="70"/>
      <c r="AC493" s="68"/>
      <c r="AD493" s="70"/>
      <c r="AM493" s="68"/>
      <c r="AN493" s="70"/>
      <c r="AU493" s="68"/>
      <c r="AV493" s="70"/>
      <c r="BB493" s="68"/>
      <c r="BC493" s="70"/>
      <c r="BD493" s="68"/>
      <c r="BE493" s="68"/>
      <c r="BF493" s="68"/>
      <c r="BG493" s="68"/>
      <c r="BH493" s="68"/>
      <c r="BI493" s="68"/>
      <c r="BJ493" s="70"/>
      <c r="BM493" s="68"/>
      <c r="BN493" s="70"/>
      <c r="BT493" s="68"/>
      <c r="BU493" s="70"/>
      <c r="BZ493" s="10"/>
      <c r="CF493" s="10"/>
      <c r="CI493" s="389"/>
      <c r="CJ493" s="389"/>
      <c r="CK493" s="68"/>
      <c r="CL493" s="70"/>
      <c r="CO493" s="10"/>
      <c r="CU493" s="10"/>
      <c r="DA493" s="10"/>
      <c r="DB493" s="70"/>
      <c r="DC493" s="70"/>
      <c r="DF493" s="68"/>
      <c r="DG493" s="70"/>
      <c r="DH493" s="68"/>
      <c r="DI493" s="386"/>
      <c r="DJ493" s="425"/>
      <c r="DL493" s="68"/>
      <c r="DM493" s="70"/>
      <c r="DQ493" s="68"/>
      <c r="DR493" s="70"/>
      <c r="DS493" s="338"/>
      <c r="DT493" s="338"/>
      <c r="DU493" s="338"/>
      <c r="DW493" s="338"/>
      <c r="DX493" s="338"/>
      <c r="DY493" s="338"/>
      <c r="EA493" s="338"/>
      <c r="EB493" s="338"/>
      <c r="EC493" s="338"/>
      <c r="EE493" s="338"/>
      <c r="EF493" s="338"/>
      <c r="EG493" s="338"/>
      <c r="EI493" s="336"/>
      <c r="EJ493" s="336"/>
      <c r="EK493" s="336"/>
      <c r="EL493" s="336"/>
      <c r="EM493" s="336"/>
      <c r="EN493" s="336"/>
      <c r="EO493" s="337"/>
      <c r="EP493" s="342"/>
      <c r="EQ493" s="336"/>
      <c r="ER493" s="342"/>
      <c r="ES493" s="336"/>
      <c r="ET493" s="342"/>
      <c r="EU493" s="336"/>
      <c r="EV493" s="342"/>
      <c r="EW493" s="336"/>
      <c r="EX493" s="342"/>
      <c r="EY493" s="342"/>
      <c r="EZ493" s="342"/>
      <c r="FA493" s="337"/>
      <c r="FE493" s="338"/>
      <c r="FH493" s="338"/>
      <c r="FI493" s="338"/>
      <c r="FJ493" s="338"/>
      <c r="FK493" s="338"/>
      <c r="FL493" s="338"/>
      <c r="FM493" s="337"/>
      <c r="FN493" s="336"/>
      <c r="FO493" s="336"/>
      <c r="FP493" s="336"/>
      <c r="FQ493" s="336"/>
      <c r="FR493" s="336"/>
      <c r="FS493" s="336"/>
      <c r="FT493" s="336"/>
      <c r="FU493" s="336"/>
      <c r="FV493" s="336"/>
      <c r="FW493" s="337"/>
      <c r="FX493" s="532"/>
      <c r="FY493" s="341"/>
      <c r="FZ493" s="341"/>
      <c r="GA493" s="336"/>
      <c r="GB493" s="341"/>
      <c r="GC493" s="341"/>
      <c r="GD493" s="341"/>
      <c r="GE493" s="336"/>
      <c r="GF493" s="336"/>
      <c r="GG493" s="336"/>
      <c r="GH493" s="336"/>
      <c r="GI493" s="336"/>
      <c r="GJ493" s="337"/>
      <c r="GM493" s="338"/>
      <c r="GN493" s="338"/>
      <c r="GO493" s="338"/>
      <c r="GS493" s="338"/>
      <c r="GT493" s="338"/>
      <c r="GU493" s="338"/>
      <c r="GY493" s="338"/>
      <c r="GZ493" s="338"/>
      <c r="HA493" s="338"/>
      <c r="HE493" s="338"/>
      <c r="HF493" s="338"/>
      <c r="HG493" s="338"/>
      <c r="HN493" s="68"/>
      <c r="HO493" s="68"/>
      <c r="HP493" s="68"/>
      <c r="HQ493" s="336"/>
      <c r="HR493" s="68"/>
      <c r="HS493" s="68"/>
      <c r="HT493" s="10"/>
      <c r="HW493" s="338"/>
      <c r="HX493" s="338"/>
      <c r="HY493" s="338"/>
      <c r="IC493" s="338"/>
      <c r="ID493" s="338"/>
      <c r="IE493" s="338"/>
      <c r="II493" s="338"/>
      <c r="IJ493" s="338"/>
      <c r="IK493" s="338"/>
      <c r="IO493" s="338"/>
      <c r="IP493" s="338"/>
      <c r="IQ493" s="338"/>
      <c r="IX493" s="68"/>
      <c r="IY493" s="68"/>
      <c r="IZ493" s="68"/>
      <c r="JA493" s="68"/>
      <c r="JB493" s="68"/>
      <c r="JC493" s="68"/>
      <c r="JD493" s="10"/>
      <c r="JG493" s="338"/>
      <c r="JH493" s="338"/>
      <c r="JI493" s="338"/>
      <c r="JM493" s="338"/>
      <c r="JN493" s="338"/>
      <c r="JQ493" s="338"/>
      <c r="JR493" s="338"/>
      <c r="JS493" s="338"/>
      <c r="JW493" s="358"/>
      <c r="JX493" s="336"/>
      <c r="JY493" s="336"/>
      <c r="JZ493" s="336"/>
      <c r="KA493" s="336"/>
      <c r="KB493" s="336"/>
      <c r="KC493" s="336"/>
      <c r="KD493" s="336"/>
      <c r="KE493" s="336"/>
      <c r="KF493" s="336"/>
      <c r="KG493" s="337"/>
      <c r="KH493" s="338"/>
      <c r="KI493" s="338"/>
      <c r="KJ493" s="338"/>
      <c r="KK493" s="338"/>
      <c r="KL493" s="338"/>
      <c r="KM493" s="338"/>
      <c r="KN493" s="338"/>
      <c r="KO493" s="338"/>
      <c r="KP493" s="338"/>
      <c r="KQ493" s="338"/>
      <c r="KR493" s="338"/>
      <c r="KS493" s="338"/>
      <c r="KT493" s="338"/>
      <c r="KU493" s="338"/>
      <c r="KV493" s="338"/>
      <c r="KW493" s="337"/>
      <c r="KX493" s="336"/>
      <c r="KY493" s="336"/>
      <c r="KZ493" s="336"/>
      <c r="LA493" s="336"/>
      <c r="LB493" s="336"/>
      <c r="LC493" s="336"/>
      <c r="LD493" s="336"/>
      <c r="LE493" s="336"/>
      <c r="LF493" s="336"/>
      <c r="LG493" s="336"/>
      <c r="LH493" s="336"/>
      <c r="LI493" s="336"/>
      <c r="LJ493" s="336"/>
      <c r="LK493" s="336"/>
      <c r="LL493" s="336"/>
      <c r="LM493" s="336"/>
      <c r="LN493" s="336"/>
      <c r="LO493" s="336"/>
      <c r="LP493" s="336"/>
      <c r="LQ493" s="337"/>
      <c r="MN493" s="10"/>
      <c r="OA493" s="10"/>
    </row>
    <row r="494" spans="1:391" s="370" customFormat="1" x14ac:dyDescent="0.25">
      <c r="A494" s="68"/>
      <c r="B494" s="10"/>
      <c r="C494" s="68"/>
      <c r="D494" s="68"/>
      <c r="E494" s="68"/>
      <c r="F494" s="68"/>
      <c r="G494" s="68"/>
      <c r="H494" s="68"/>
      <c r="I494" s="68"/>
      <c r="J494" s="68"/>
      <c r="K494" s="68"/>
      <c r="L494" s="68"/>
      <c r="M494" s="68"/>
      <c r="N494" s="68"/>
      <c r="O494" s="68"/>
      <c r="P494" s="68"/>
      <c r="Q494" s="68"/>
      <c r="R494" s="68"/>
      <c r="S494" s="68"/>
      <c r="T494" s="70"/>
      <c r="AC494" s="68"/>
      <c r="AD494" s="70"/>
      <c r="AM494" s="68"/>
      <c r="AN494" s="70"/>
      <c r="AU494" s="68"/>
      <c r="AV494" s="70"/>
      <c r="BB494" s="68"/>
      <c r="BC494" s="70"/>
      <c r="BD494" s="68"/>
      <c r="BE494" s="68"/>
      <c r="BF494" s="68"/>
      <c r="BG494" s="68"/>
      <c r="BH494" s="68"/>
      <c r="BI494" s="68"/>
      <c r="BJ494" s="70"/>
      <c r="BM494" s="68"/>
      <c r="BN494" s="70"/>
      <c r="BT494" s="68"/>
      <c r="BU494" s="70"/>
      <c r="BZ494" s="10"/>
      <c r="CF494" s="10"/>
      <c r="CI494" s="389"/>
      <c r="CJ494" s="389"/>
      <c r="CK494" s="68"/>
      <c r="CL494" s="70"/>
      <c r="CO494" s="10"/>
      <c r="CU494" s="10"/>
      <c r="DA494" s="10"/>
      <c r="DB494" s="70"/>
      <c r="DC494" s="70"/>
      <c r="DF494" s="68"/>
      <c r="DG494" s="70"/>
      <c r="DH494" s="68"/>
      <c r="DI494" s="386"/>
      <c r="DJ494" s="425"/>
      <c r="DL494" s="68"/>
      <c r="DM494" s="70"/>
      <c r="DQ494" s="68"/>
      <c r="DR494" s="70"/>
      <c r="DS494" s="338"/>
      <c r="DT494" s="338"/>
      <c r="DU494" s="338"/>
      <c r="DW494" s="338"/>
      <c r="DX494" s="338"/>
      <c r="DY494" s="338"/>
      <c r="EA494" s="338"/>
      <c r="EB494" s="338"/>
      <c r="EC494" s="338"/>
      <c r="EE494" s="338"/>
      <c r="EF494" s="338"/>
      <c r="EG494" s="338"/>
      <c r="EI494" s="336"/>
      <c r="EJ494" s="336"/>
      <c r="EK494" s="336"/>
      <c r="EL494" s="336"/>
      <c r="EM494" s="336"/>
      <c r="EN494" s="336"/>
      <c r="EO494" s="337"/>
      <c r="EP494" s="342"/>
      <c r="EQ494" s="336"/>
      <c r="ER494" s="342"/>
      <c r="ES494" s="336"/>
      <c r="ET494" s="342"/>
      <c r="EU494" s="336"/>
      <c r="EV494" s="342"/>
      <c r="EW494" s="336"/>
      <c r="EX494" s="342"/>
      <c r="EY494" s="342"/>
      <c r="EZ494" s="342"/>
      <c r="FA494" s="337"/>
      <c r="FE494" s="338"/>
      <c r="FH494" s="338"/>
      <c r="FI494" s="338"/>
      <c r="FJ494" s="338"/>
      <c r="FK494" s="338"/>
      <c r="FL494" s="338"/>
      <c r="FM494" s="337"/>
      <c r="FN494" s="336"/>
      <c r="FO494" s="336"/>
      <c r="FP494" s="336"/>
      <c r="FQ494" s="336"/>
      <c r="FR494" s="336"/>
      <c r="FS494" s="336"/>
      <c r="FT494" s="336"/>
      <c r="FU494" s="336"/>
      <c r="FV494" s="336"/>
      <c r="FW494" s="337"/>
      <c r="FX494" s="532"/>
      <c r="FY494" s="341"/>
      <c r="FZ494" s="341"/>
      <c r="GA494" s="336"/>
      <c r="GB494" s="341"/>
      <c r="GC494" s="341"/>
      <c r="GD494" s="341"/>
      <c r="GE494" s="336"/>
      <c r="GF494" s="336"/>
      <c r="GG494" s="336"/>
      <c r="GH494" s="336"/>
      <c r="GI494" s="336"/>
      <c r="GJ494" s="337"/>
      <c r="GM494" s="338"/>
      <c r="GN494" s="338"/>
      <c r="GO494" s="338"/>
      <c r="GS494" s="338"/>
      <c r="GT494" s="338"/>
      <c r="GU494" s="338"/>
      <c r="GY494" s="338"/>
      <c r="GZ494" s="338"/>
      <c r="HA494" s="338"/>
      <c r="HE494" s="338"/>
      <c r="HF494" s="338"/>
      <c r="HG494" s="338"/>
      <c r="HN494" s="68"/>
      <c r="HO494" s="68"/>
      <c r="HP494" s="68"/>
      <c r="HQ494" s="336"/>
      <c r="HR494" s="68"/>
      <c r="HS494" s="68"/>
      <c r="HT494" s="10"/>
      <c r="HW494" s="338"/>
      <c r="HX494" s="338"/>
      <c r="HY494" s="338"/>
      <c r="IC494" s="338"/>
      <c r="ID494" s="338"/>
      <c r="IE494" s="338"/>
      <c r="II494" s="338"/>
      <c r="IJ494" s="338"/>
      <c r="IK494" s="338"/>
      <c r="IO494" s="338"/>
      <c r="IP494" s="338"/>
      <c r="IQ494" s="338"/>
      <c r="IX494" s="68"/>
      <c r="IY494" s="68"/>
      <c r="IZ494" s="68"/>
      <c r="JA494" s="68"/>
      <c r="JB494" s="68"/>
      <c r="JC494" s="68"/>
      <c r="JD494" s="10"/>
      <c r="JG494" s="338"/>
      <c r="JH494" s="338"/>
      <c r="JI494" s="338"/>
      <c r="JM494" s="338"/>
      <c r="JN494" s="338"/>
      <c r="JQ494" s="338"/>
      <c r="JR494" s="338"/>
      <c r="JS494" s="338"/>
      <c r="JW494" s="358"/>
      <c r="JX494" s="336"/>
      <c r="JY494" s="336"/>
      <c r="JZ494" s="336"/>
      <c r="KA494" s="336"/>
      <c r="KB494" s="336"/>
      <c r="KC494" s="336"/>
      <c r="KD494" s="336"/>
      <c r="KE494" s="336"/>
      <c r="KF494" s="336"/>
      <c r="KG494" s="337"/>
      <c r="KH494" s="338"/>
      <c r="KI494" s="338"/>
      <c r="KJ494" s="338"/>
      <c r="KK494" s="338"/>
      <c r="KL494" s="338"/>
      <c r="KM494" s="338"/>
      <c r="KN494" s="338"/>
      <c r="KO494" s="338"/>
      <c r="KP494" s="338"/>
      <c r="KQ494" s="338"/>
      <c r="KR494" s="338"/>
      <c r="KS494" s="338"/>
      <c r="KT494" s="338"/>
      <c r="KU494" s="338"/>
      <c r="KV494" s="338"/>
      <c r="KW494" s="337"/>
      <c r="KX494" s="336"/>
      <c r="KY494" s="336"/>
      <c r="KZ494" s="336"/>
      <c r="LA494" s="336"/>
      <c r="LB494" s="336"/>
      <c r="LC494" s="336"/>
      <c r="LD494" s="336"/>
      <c r="LE494" s="336"/>
      <c r="LF494" s="336"/>
      <c r="LG494" s="336"/>
      <c r="LH494" s="336"/>
      <c r="LI494" s="336"/>
      <c r="LJ494" s="336"/>
      <c r="LK494" s="336"/>
      <c r="LL494" s="336"/>
      <c r="LM494" s="336"/>
      <c r="LN494" s="336"/>
      <c r="LO494" s="336"/>
      <c r="LP494" s="336"/>
      <c r="LQ494" s="337"/>
      <c r="MN494" s="10"/>
      <c r="OA494" s="10"/>
    </row>
    <row r="495" spans="1:391" s="370" customFormat="1" x14ac:dyDescent="0.25">
      <c r="A495" s="68"/>
      <c r="B495" s="10"/>
      <c r="C495" s="68"/>
      <c r="D495" s="68"/>
      <c r="E495" s="68"/>
      <c r="F495" s="68"/>
      <c r="G495" s="68"/>
      <c r="H495" s="68"/>
      <c r="I495" s="68"/>
      <c r="J495" s="68"/>
      <c r="K495" s="68"/>
      <c r="L495" s="68"/>
      <c r="M495" s="68"/>
      <c r="N495" s="68"/>
      <c r="O495" s="68"/>
      <c r="P495" s="68"/>
      <c r="Q495" s="68"/>
      <c r="R495" s="68"/>
      <c r="S495" s="68"/>
      <c r="T495" s="70"/>
      <c r="AC495" s="68"/>
      <c r="AD495" s="70"/>
      <c r="AM495" s="68"/>
      <c r="AN495" s="70"/>
      <c r="AU495" s="68"/>
      <c r="AV495" s="70"/>
      <c r="BB495" s="68"/>
      <c r="BC495" s="70"/>
      <c r="BD495" s="68"/>
      <c r="BE495" s="68"/>
      <c r="BF495" s="68"/>
      <c r="BG495" s="68"/>
      <c r="BH495" s="68"/>
      <c r="BI495" s="68"/>
      <c r="BJ495" s="70"/>
      <c r="BM495" s="68"/>
      <c r="BN495" s="70"/>
      <c r="BT495" s="68"/>
      <c r="BU495" s="70"/>
      <c r="BZ495" s="10"/>
      <c r="CF495" s="10"/>
      <c r="CI495" s="389"/>
      <c r="CJ495" s="389"/>
      <c r="CK495" s="68"/>
      <c r="CL495" s="70"/>
      <c r="CO495" s="10"/>
      <c r="CU495" s="10"/>
      <c r="DA495" s="10"/>
      <c r="DB495" s="70"/>
      <c r="DC495" s="70"/>
      <c r="DF495" s="68"/>
      <c r="DG495" s="70"/>
      <c r="DH495" s="68"/>
      <c r="DI495" s="386"/>
      <c r="DJ495" s="425"/>
      <c r="DL495" s="68"/>
      <c r="DM495" s="70"/>
      <c r="DQ495" s="68"/>
      <c r="DR495" s="70"/>
      <c r="DS495" s="338"/>
      <c r="DT495" s="338"/>
      <c r="DU495" s="338"/>
      <c r="DW495" s="338"/>
      <c r="DX495" s="338"/>
      <c r="DY495" s="338"/>
      <c r="EA495" s="338"/>
      <c r="EB495" s="338"/>
      <c r="EC495" s="338"/>
      <c r="EE495" s="338"/>
      <c r="EF495" s="338"/>
      <c r="EG495" s="338"/>
      <c r="EI495" s="336"/>
      <c r="EJ495" s="336"/>
      <c r="EK495" s="336"/>
      <c r="EL495" s="336"/>
      <c r="EM495" s="336"/>
      <c r="EN495" s="336"/>
      <c r="EO495" s="337"/>
      <c r="EP495" s="342"/>
      <c r="EQ495" s="336"/>
      <c r="ER495" s="342"/>
      <c r="ES495" s="336"/>
      <c r="ET495" s="342"/>
      <c r="EU495" s="336"/>
      <c r="EV495" s="342"/>
      <c r="EW495" s="336"/>
      <c r="EX495" s="342"/>
      <c r="EY495" s="342"/>
      <c r="EZ495" s="342"/>
      <c r="FA495" s="337"/>
      <c r="FE495" s="338"/>
      <c r="FH495" s="338"/>
      <c r="FI495" s="338"/>
      <c r="FJ495" s="338"/>
      <c r="FK495" s="338"/>
      <c r="FL495" s="338"/>
      <c r="FM495" s="337"/>
      <c r="FN495" s="336"/>
      <c r="FO495" s="336"/>
      <c r="FP495" s="336"/>
      <c r="FQ495" s="336"/>
      <c r="FR495" s="336"/>
      <c r="FS495" s="336"/>
      <c r="FT495" s="336"/>
      <c r="FU495" s="336"/>
      <c r="FV495" s="336"/>
      <c r="FW495" s="337"/>
      <c r="FX495" s="532"/>
      <c r="FY495" s="341"/>
      <c r="FZ495" s="341"/>
      <c r="GA495" s="336"/>
      <c r="GB495" s="341"/>
      <c r="GC495" s="341"/>
      <c r="GD495" s="341"/>
      <c r="GE495" s="336"/>
      <c r="GF495" s="336"/>
      <c r="GG495" s="336"/>
      <c r="GH495" s="336"/>
      <c r="GI495" s="336"/>
      <c r="GJ495" s="337"/>
      <c r="GM495" s="338"/>
      <c r="GN495" s="338"/>
      <c r="GO495" s="338"/>
      <c r="GS495" s="338"/>
      <c r="GT495" s="338"/>
      <c r="GU495" s="338"/>
      <c r="GY495" s="338"/>
      <c r="GZ495" s="338"/>
      <c r="HA495" s="338"/>
      <c r="HE495" s="338"/>
      <c r="HF495" s="338"/>
      <c r="HG495" s="338"/>
      <c r="HN495" s="68"/>
      <c r="HO495" s="68"/>
      <c r="HP495" s="68"/>
      <c r="HQ495" s="336"/>
      <c r="HR495" s="68"/>
      <c r="HS495" s="68"/>
      <c r="HT495" s="10"/>
      <c r="HW495" s="338"/>
      <c r="HX495" s="338"/>
      <c r="HY495" s="338"/>
      <c r="IC495" s="338"/>
      <c r="ID495" s="338"/>
      <c r="IE495" s="338"/>
      <c r="II495" s="338"/>
      <c r="IJ495" s="338"/>
      <c r="IK495" s="338"/>
      <c r="IO495" s="338"/>
      <c r="IP495" s="338"/>
      <c r="IQ495" s="338"/>
      <c r="IX495" s="68"/>
      <c r="IY495" s="68"/>
      <c r="IZ495" s="68"/>
      <c r="JA495" s="68"/>
      <c r="JB495" s="68"/>
      <c r="JC495" s="68"/>
      <c r="JD495" s="10"/>
      <c r="JG495" s="338"/>
      <c r="JH495" s="338"/>
      <c r="JI495" s="338"/>
      <c r="JM495" s="338"/>
      <c r="JN495" s="338"/>
      <c r="JQ495" s="338"/>
      <c r="JR495" s="338"/>
      <c r="JS495" s="338"/>
      <c r="JW495" s="358"/>
      <c r="JX495" s="336"/>
      <c r="JY495" s="336"/>
      <c r="JZ495" s="336"/>
      <c r="KA495" s="336"/>
      <c r="KB495" s="336"/>
      <c r="KC495" s="336"/>
      <c r="KD495" s="336"/>
      <c r="KE495" s="336"/>
      <c r="KF495" s="336"/>
      <c r="KG495" s="337"/>
      <c r="KH495" s="338"/>
      <c r="KI495" s="338"/>
      <c r="KJ495" s="338"/>
      <c r="KK495" s="338"/>
      <c r="KL495" s="338"/>
      <c r="KM495" s="338"/>
      <c r="KN495" s="338"/>
      <c r="KO495" s="338"/>
      <c r="KP495" s="338"/>
      <c r="KQ495" s="338"/>
      <c r="KR495" s="338"/>
      <c r="KS495" s="338"/>
      <c r="KT495" s="338"/>
      <c r="KU495" s="338"/>
      <c r="KV495" s="338"/>
      <c r="KW495" s="337"/>
      <c r="KX495" s="336"/>
      <c r="KY495" s="336"/>
      <c r="KZ495" s="336"/>
      <c r="LA495" s="336"/>
      <c r="LB495" s="336"/>
      <c r="LC495" s="336"/>
      <c r="LD495" s="336"/>
      <c r="LE495" s="336"/>
      <c r="LF495" s="336"/>
      <c r="LG495" s="336"/>
      <c r="LH495" s="336"/>
      <c r="LI495" s="336"/>
      <c r="LJ495" s="336"/>
      <c r="LK495" s="336"/>
      <c r="LL495" s="336"/>
      <c r="LM495" s="336"/>
      <c r="LN495" s="336"/>
      <c r="LO495" s="336"/>
      <c r="LP495" s="336"/>
      <c r="LQ495" s="337"/>
      <c r="MN495" s="10"/>
      <c r="OA495" s="10"/>
    </row>
    <row r="496" spans="1:391" s="370" customFormat="1" x14ac:dyDescent="0.25">
      <c r="A496" s="68"/>
      <c r="B496" s="10"/>
      <c r="C496" s="68"/>
      <c r="D496" s="68"/>
      <c r="E496" s="68"/>
      <c r="F496" s="68"/>
      <c r="G496" s="68"/>
      <c r="H496" s="68"/>
      <c r="I496" s="68"/>
      <c r="J496" s="68"/>
      <c r="K496" s="68"/>
      <c r="L496" s="68"/>
      <c r="M496" s="68"/>
      <c r="N496" s="68"/>
      <c r="O496" s="68"/>
      <c r="P496" s="68"/>
      <c r="Q496" s="68"/>
      <c r="R496" s="68"/>
      <c r="S496" s="68"/>
      <c r="T496" s="70"/>
      <c r="AC496" s="68"/>
      <c r="AD496" s="70"/>
      <c r="AM496" s="68"/>
      <c r="AN496" s="70"/>
      <c r="AU496" s="68"/>
      <c r="AV496" s="70"/>
      <c r="BB496" s="68"/>
      <c r="BC496" s="70"/>
      <c r="BD496" s="68"/>
      <c r="BE496" s="68"/>
      <c r="BF496" s="68"/>
      <c r="BG496" s="68"/>
      <c r="BH496" s="68"/>
      <c r="BI496" s="68"/>
      <c r="BJ496" s="70"/>
      <c r="BM496" s="68"/>
      <c r="BN496" s="70"/>
      <c r="BT496" s="68"/>
      <c r="BU496" s="70"/>
      <c r="BZ496" s="10"/>
      <c r="CF496" s="10"/>
      <c r="CI496" s="389"/>
      <c r="CJ496" s="389"/>
      <c r="CK496" s="68"/>
      <c r="CL496" s="70"/>
      <c r="CO496" s="10"/>
      <c r="CU496" s="10"/>
      <c r="DA496" s="10"/>
      <c r="DB496" s="70"/>
      <c r="DC496" s="70"/>
      <c r="DF496" s="68"/>
      <c r="DG496" s="70"/>
      <c r="DH496" s="68"/>
      <c r="DI496" s="386"/>
      <c r="DJ496" s="425"/>
      <c r="DL496" s="68"/>
      <c r="DM496" s="70"/>
      <c r="DQ496" s="68"/>
      <c r="DR496" s="70"/>
      <c r="DS496" s="338"/>
      <c r="DT496" s="338"/>
      <c r="DU496" s="338"/>
      <c r="DW496" s="338"/>
      <c r="DX496" s="338"/>
      <c r="DY496" s="338"/>
      <c r="EA496" s="338"/>
      <c r="EB496" s="338"/>
      <c r="EC496" s="338"/>
      <c r="EE496" s="338"/>
      <c r="EF496" s="338"/>
      <c r="EG496" s="338"/>
      <c r="EI496" s="336"/>
      <c r="EJ496" s="336"/>
      <c r="EK496" s="336"/>
      <c r="EL496" s="336"/>
      <c r="EM496" s="336"/>
      <c r="EN496" s="336"/>
      <c r="EO496" s="337"/>
      <c r="EP496" s="342"/>
      <c r="EQ496" s="336"/>
      <c r="ER496" s="342"/>
      <c r="ES496" s="336"/>
      <c r="ET496" s="342"/>
      <c r="EU496" s="336"/>
      <c r="EV496" s="342"/>
      <c r="EW496" s="336"/>
      <c r="EX496" s="342"/>
      <c r="EY496" s="342"/>
      <c r="EZ496" s="342"/>
      <c r="FA496" s="337"/>
      <c r="FE496" s="338"/>
      <c r="FH496" s="338"/>
      <c r="FI496" s="338"/>
      <c r="FJ496" s="338"/>
      <c r="FK496" s="338"/>
      <c r="FL496" s="338"/>
      <c r="FM496" s="337"/>
      <c r="FN496" s="336"/>
      <c r="FO496" s="336"/>
      <c r="FP496" s="336"/>
      <c r="FQ496" s="336"/>
      <c r="FR496" s="336"/>
      <c r="FS496" s="336"/>
      <c r="FT496" s="336"/>
      <c r="FU496" s="336"/>
      <c r="FV496" s="336"/>
      <c r="FW496" s="337"/>
      <c r="FX496" s="532"/>
      <c r="FY496" s="341"/>
      <c r="FZ496" s="341"/>
      <c r="GA496" s="336"/>
      <c r="GB496" s="341"/>
      <c r="GC496" s="341"/>
      <c r="GD496" s="341"/>
      <c r="GE496" s="336"/>
      <c r="GF496" s="336"/>
      <c r="GG496" s="336"/>
      <c r="GH496" s="336"/>
      <c r="GI496" s="336"/>
      <c r="GJ496" s="337"/>
      <c r="GM496" s="338"/>
      <c r="GN496" s="338"/>
      <c r="GO496" s="338"/>
      <c r="GS496" s="338"/>
      <c r="GT496" s="338"/>
      <c r="GU496" s="338"/>
      <c r="GY496" s="338"/>
      <c r="GZ496" s="338"/>
      <c r="HA496" s="338"/>
      <c r="HE496" s="338"/>
      <c r="HF496" s="338"/>
      <c r="HG496" s="338"/>
      <c r="HN496" s="68"/>
      <c r="HO496" s="68"/>
      <c r="HP496" s="68"/>
      <c r="HQ496" s="336"/>
      <c r="HR496" s="68"/>
      <c r="HS496" s="68"/>
      <c r="HT496" s="10"/>
      <c r="HW496" s="338"/>
      <c r="HX496" s="338"/>
      <c r="HY496" s="338"/>
      <c r="IC496" s="338"/>
      <c r="ID496" s="338"/>
      <c r="IE496" s="338"/>
      <c r="II496" s="338"/>
      <c r="IJ496" s="338"/>
      <c r="IK496" s="338"/>
      <c r="IO496" s="338"/>
      <c r="IP496" s="338"/>
      <c r="IQ496" s="338"/>
      <c r="IX496" s="68"/>
      <c r="IY496" s="68"/>
      <c r="IZ496" s="68"/>
      <c r="JA496" s="68"/>
      <c r="JB496" s="68"/>
      <c r="JC496" s="68"/>
      <c r="JD496" s="10"/>
      <c r="JG496" s="338"/>
      <c r="JH496" s="338"/>
      <c r="JI496" s="338"/>
      <c r="JM496" s="338"/>
      <c r="JN496" s="338"/>
      <c r="JQ496" s="338"/>
      <c r="JR496" s="338"/>
      <c r="JS496" s="338"/>
      <c r="JW496" s="358"/>
      <c r="JX496" s="336"/>
      <c r="JY496" s="336"/>
      <c r="JZ496" s="336"/>
      <c r="KA496" s="336"/>
      <c r="KB496" s="336"/>
      <c r="KC496" s="336"/>
      <c r="KD496" s="336"/>
      <c r="KE496" s="336"/>
      <c r="KF496" s="336"/>
      <c r="KG496" s="337"/>
      <c r="KH496" s="338"/>
      <c r="KI496" s="338"/>
      <c r="KJ496" s="338"/>
      <c r="KK496" s="338"/>
      <c r="KL496" s="338"/>
      <c r="KM496" s="338"/>
      <c r="KN496" s="338"/>
      <c r="KO496" s="338"/>
      <c r="KP496" s="338"/>
      <c r="KQ496" s="338"/>
      <c r="KR496" s="338"/>
      <c r="KS496" s="338"/>
      <c r="KT496" s="338"/>
      <c r="KU496" s="338"/>
      <c r="KV496" s="338"/>
      <c r="KW496" s="337"/>
      <c r="KX496" s="336"/>
      <c r="KY496" s="336"/>
      <c r="KZ496" s="336"/>
      <c r="LA496" s="336"/>
      <c r="LB496" s="336"/>
      <c r="LC496" s="336"/>
      <c r="LD496" s="336"/>
      <c r="LE496" s="336"/>
      <c r="LF496" s="336"/>
      <c r="LG496" s="336"/>
      <c r="LH496" s="336"/>
      <c r="LI496" s="336"/>
      <c r="LJ496" s="336"/>
      <c r="LK496" s="336"/>
      <c r="LL496" s="336"/>
      <c r="LM496" s="336"/>
      <c r="LN496" s="336"/>
      <c r="LO496" s="336"/>
      <c r="LP496" s="336"/>
      <c r="LQ496" s="337"/>
      <c r="MN496" s="10"/>
      <c r="OA496" s="10"/>
    </row>
    <row r="497" spans="1:391" s="370" customFormat="1" x14ac:dyDescent="0.25">
      <c r="A497" s="68"/>
      <c r="B497" s="10"/>
      <c r="C497" s="68"/>
      <c r="D497" s="68"/>
      <c r="E497" s="68"/>
      <c r="F497" s="68"/>
      <c r="G497" s="68"/>
      <c r="H497" s="68"/>
      <c r="I497" s="68"/>
      <c r="J497" s="68"/>
      <c r="K497" s="68"/>
      <c r="L497" s="68"/>
      <c r="M497" s="68"/>
      <c r="N497" s="68"/>
      <c r="O497" s="68"/>
      <c r="P497" s="68"/>
      <c r="Q497" s="68"/>
      <c r="R497" s="68"/>
      <c r="S497" s="68"/>
      <c r="T497" s="70"/>
      <c r="AC497" s="68"/>
      <c r="AD497" s="70"/>
      <c r="AM497" s="68"/>
      <c r="AN497" s="70"/>
      <c r="AU497" s="68"/>
      <c r="AV497" s="70"/>
      <c r="BB497" s="68"/>
      <c r="BC497" s="70"/>
      <c r="BD497" s="68"/>
      <c r="BE497" s="68"/>
      <c r="BF497" s="68"/>
      <c r="BG497" s="68"/>
      <c r="BH497" s="68"/>
      <c r="BI497" s="68"/>
      <c r="BJ497" s="70"/>
      <c r="BM497" s="68"/>
      <c r="BN497" s="70"/>
      <c r="BT497" s="68"/>
      <c r="BU497" s="70"/>
      <c r="BZ497" s="10"/>
      <c r="CF497" s="10"/>
      <c r="CI497" s="389"/>
      <c r="CJ497" s="389"/>
      <c r="CK497" s="68"/>
      <c r="CL497" s="70"/>
      <c r="CO497" s="10"/>
      <c r="CU497" s="10"/>
      <c r="DA497" s="10"/>
      <c r="DB497" s="70"/>
      <c r="DC497" s="70"/>
      <c r="DF497" s="68"/>
      <c r="DG497" s="70"/>
      <c r="DH497" s="68"/>
      <c r="DI497" s="386"/>
      <c r="DJ497" s="425"/>
      <c r="DL497" s="68"/>
      <c r="DM497" s="70"/>
      <c r="DQ497" s="68"/>
      <c r="DR497" s="70"/>
      <c r="DS497" s="338"/>
      <c r="DT497" s="338"/>
      <c r="DU497" s="338"/>
      <c r="DW497" s="338"/>
      <c r="DX497" s="338"/>
      <c r="DY497" s="338"/>
      <c r="EA497" s="338"/>
      <c r="EB497" s="338"/>
      <c r="EC497" s="338"/>
      <c r="EE497" s="338"/>
      <c r="EF497" s="338"/>
      <c r="EG497" s="338"/>
      <c r="EI497" s="336"/>
      <c r="EJ497" s="336"/>
      <c r="EK497" s="336"/>
      <c r="EL497" s="336"/>
      <c r="EM497" s="336"/>
      <c r="EN497" s="336"/>
      <c r="EO497" s="337"/>
      <c r="EP497" s="342"/>
      <c r="EQ497" s="336"/>
      <c r="ER497" s="342"/>
      <c r="ES497" s="336"/>
      <c r="ET497" s="342"/>
      <c r="EU497" s="336"/>
      <c r="EV497" s="342"/>
      <c r="EW497" s="336"/>
      <c r="EX497" s="342"/>
      <c r="EY497" s="342"/>
      <c r="EZ497" s="342"/>
      <c r="FA497" s="337"/>
      <c r="FE497" s="338"/>
      <c r="FH497" s="338"/>
      <c r="FI497" s="338"/>
      <c r="FJ497" s="338"/>
      <c r="FK497" s="338"/>
      <c r="FL497" s="338"/>
      <c r="FM497" s="337"/>
      <c r="FN497" s="336"/>
      <c r="FO497" s="336"/>
      <c r="FP497" s="336"/>
      <c r="FQ497" s="336"/>
      <c r="FR497" s="336"/>
      <c r="FS497" s="336"/>
      <c r="FT497" s="336"/>
      <c r="FU497" s="336"/>
      <c r="FV497" s="336"/>
      <c r="FW497" s="337"/>
      <c r="FX497" s="532"/>
      <c r="FY497" s="341"/>
      <c r="FZ497" s="341"/>
      <c r="GA497" s="336"/>
      <c r="GB497" s="341"/>
      <c r="GC497" s="341"/>
      <c r="GD497" s="341"/>
      <c r="GE497" s="336"/>
      <c r="GF497" s="336"/>
      <c r="GG497" s="336"/>
      <c r="GH497" s="336"/>
      <c r="GI497" s="336"/>
      <c r="GJ497" s="337"/>
      <c r="GM497" s="338"/>
      <c r="GN497" s="338"/>
      <c r="GO497" s="338"/>
      <c r="GS497" s="338"/>
      <c r="GT497" s="338"/>
      <c r="GU497" s="338"/>
      <c r="GY497" s="338"/>
      <c r="GZ497" s="338"/>
      <c r="HA497" s="338"/>
      <c r="HE497" s="338"/>
      <c r="HF497" s="338"/>
      <c r="HG497" s="338"/>
      <c r="HN497" s="68"/>
      <c r="HO497" s="68"/>
      <c r="HP497" s="68"/>
      <c r="HQ497" s="336"/>
      <c r="HR497" s="68"/>
      <c r="HS497" s="68"/>
      <c r="HT497" s="10"/>
      <c r="HW497" s="338"/>
      <c r="HX497" s="338"/>
      <c r="HY497" s="338"/>
      <c r="IC497" s="338"/>
      <c r="ID497" s="338"/>
      <c r="IE497" s="338"/>
      <c r="II497" s="338"/>
      <c r="IJ497" s="338"/>
      <c r="IK497" s="338"/>
      <c r="IO497" s="338"/>
      <c r="IP497" s="338"/>
      <c r="IQ497" s="338"/>
      <c r="IX497" s="68"/>
      <c r="IY497" s="68"/>
      <c r="IZ497" s="68"/>
      <c r="JA497" s="68"/>
      <c r="JB497" s="68"/>
      <c r="JC497" s="68"/>
      <c r="JD497" s="10"/>
      <c r="JG497" s="338"/>
      <c r="JH497" s="338"/>
      <c r="JI497" s="338"/>
      <c r="JM497" s="338"/>
      <c r="JN497" s="338"/>
      <c r="JQ497" s="338"/>
      <c r="JR497" s="338"/>
      <c r="JS497" s="338"/>
      <c r="JW497" s="358"/>
      <c r="JX497" s="336"/>
      <c r="JY497" s="336"/>
      <c r="JZ497" s="336"/>
      <c r="KA497" s="336"/>
      <c r="KB497" s="336"/>
      <c r="KC497" s="336"/>
      <c r="KD497" s="336"/>
      <c r="KE497" s="336"/>
      <c r="KF497" s="336"/>
      <c r="KG497" s="337"/>
      <c r="KH497" s="338"/>
      <c r="KI497" s="338"/>
      <c r="KJ497" s="338"/>
      <c r="KK497" s="338"/>
      <c r="KL497" s="338"/>
      <c r="KM497" s="338"/>
      <c r="KN497" s="338"/>
      <c r="KO497" s="338"/>
      <c r="KP497" s="338"/>
      <c r="KQ497" s="338"/>
      <c r="KR497" s="338"/>
      <c r="KS497" s="338"/>
      <c r="KT497" s="338"/>
      <c r="KU497" s="338"/>
      <c r="KV497" s="338"/>
      <c r="KW497" s="337"/>
      <c r="KX497" s="336"/>
      <c r="KY497" s="336"/>
      <c r="KZ497" s="336"/>
      <c r="LA497" s="336"/>
      <c r="LB497" s="336"/>
      <c r="LC497" s="336"/>
      <c r="LD497" s="336"/>
      <c r="LE497" s="336"/>
      <c r="LF497" s="336"/>
      <c r="LG497" s="336"/>
      <c r="LH497" s="336"/>
      <c r="LI497" s="336"/>
      <c r="LJ497" s="336"/>
      <c r="LK497" s="336"/>
      <c r="LL497" s="336"/>
      <c r="LM497" s="336"/>
      <c r="LN497" s="336"/>
      <c r="LO497" s="336"/>
      <c r="LP497" s="336"/>
      <c r="LQ497" s="337"/>
      <c r="MN497" s="10"/>
      <c r="OA497" s="10"/>
    </row>
    <row r="498" spans="1:391" s="370" customFormat="1" x14ac:dyDescent="0.25">
      <c r="A498" s="68"/>
      <c r="B498" s="10"/>
      <c r="C498" s="68"/>
      <c r="D498" s="68"/>
      <c r="E498" s="68"/>
      <c r="F498" s="68"/>
      <c r="G498" s="68"/>
      <c r="H498" s="68"/>
      <c r="I498" s="68"/>
      <c r="J498" s="68"/>
      <c r="K498" s="68"/>
      <c r="L498" s="68"/>
      <c r="M498" s="68"/>
      <c r="N498" s="68"/>
      <c r="O498" s="68"/>
      <c r="P498" s="68"/>
      <c r="Q498" s="68"/>
      <c r="R498" s="68"/>
      <c r="S498" s="68"/>
      <c r="T498" s="70"/>
      <c r="AC498" s="68"/>
      <c r="AD498" s="70"/>
      <c r="AM498" s="68"/>
      <c r="AN498" s="70"/>
      <c r="AU498" s="68"/>
      <c r="AV498" s="70"/>
      <c r="BB498" s="68"/>
      <c r="BC498" s="70"/>
      <c r="BD498" s="68"/>
      <c r="BE498" s="68"/>
      <c r="BF498" s="68"/>
      <c r="BG498" s="68"/>
      <c r="BH498" s="68"/>
      <c r="BI498" s="68"/>
      <c r="BJ498" s="70"/>
      <c r="BM498" s="68"/>
      <c r="BN498" s="70"/>
      <c r="BT498" s="68"/>
      <c r="BU498" s="70"/>
      <c r="BZ498" s="10"/>
      <c r="CF498" s="10"/>
      <c r="CI498" s="389"/>
      <c r="CJ498" s="389"/>
      <c r="CK498" s="68"/>
      <c r="CL498" s="70"/>
      <c r="CO498" s="10"/>
      <c r="CU498" s="10"/>
      <c r="DA498" s="10"/>
      <c r="DB498" s="70"/>
      <c r="DC498" s="70"/>
      <c r="DF498" s="68"/>
      <c r="DG498" s="70"/>
      <c r="DH498" s="68"/>
      <c r="DI498" s="386"/>
      <c r="DJ498" s="425"/>
      <c r="DL498" s="68"/>
      <c r="DM498" s="70"/>
      <c r="DQ498" s="68"/>
      <c r="DR498" s="70"/>
      <c r="DS498" s="338"/>
      <c r="DT498" s="338"/>
      <c r="DU498" s="338"/>
      <c r="DW498" s="338"/>
      <c r="DX498" s="338"/>
      <c r="DY498" s="338"/>
      <c r="EA498" s="338"/>
      <c r="EB498" s="338"/>
      <c r="EC498" s="338"/>
      <c r="EE498" s="338"/>
      <c r="EF498" s="338"/>
      <c r="EG498" s="338"/>
      <c r="EI498" s="336"/>
      <c r="EJ498" s="336"/>
      <c r="EK498" s="336"/>
      <c r="EL498" s="336"/>
      <c r="EM498" s="336"/>
      <c r="EN498" s="336"/>
      <c r="EO498" s="337"/>
      <c r="EP498" s="342"/>
      <c r="EQ498" s="336"/>
      <c r="ER498" s="342"/>
      <c r="ES498" s="336"/>
      <c r="ET498" s="342"/>
      <c r="EU498" s="336"/>
      <c r="EV498" s="342"/>
      <c r="EW498" s="336"/>
      <c r="EX498" s="342"/>
      <c r="EY498" s="342"/>
      <c r="EZ498" s="342"/>
      <c r="FA498" s="337"/>
      <c r="FE498" s="338"/>
      <c r="FH498" s="338"/>
      <c r="FI498" s="338"/>
      <c r="FJ498" s="338"/>
      <c r="FK498" s="338"/>
      <c r="FL498" s="338"/>
      <c r="FM498" s="337"/>
      <c r="FN498" s="336"/>
      <c r="FO498" s="336"/>
      <c r="FP498" s="336"/>
      <c r="FQ498" s="336"/>
      <c r="FR498" s="336"/>
      <c r="FS498" s="336"/>
      <c r="FT498" s="336"/>
      <c r="FU498" s="336"/>
      <c r="FV498" s="336"/>
      <c r="FW498" s="337"/>
      <c r="FX498" s="532"/>
      <c r="FY498" s="341"/>
      <c r="FZ498" s="341"/>
      <c r="GA498" s="336"/>
      <c r="GB498" s="341"/>
      <c r="GC498" s="341"/>
      <c r="GD498" s="341"/>
      <c r="GE498" s="336"/>
      <c r="GF498" s="336"/>
      <c r="GG498" s="336"/>
      <c r="GH498" s="336"/>
      <c r="GI498" s="336"/>
      <c r="GJ498" s="337"/>
      <c r="GM498" s="338"/>
      <c r="GN498" s="338"/>
      <c r="GO498" s="338"/>
      <c r="GS498" s="338"/>
      <c r="GT498" s="338"/>
      <c r="GU498" s="338"/>
      <c r="GY498" s="338"/>
      <c r="GZ498" s="338"/>
      <c r="HA498" s="338"/>
      <c r="HE498" s="338"/>
      <c r="HF498" s="338"/>
      <c r="HG498" s="338"/>
      <c r="HN498" s="68"/>
      <c r="HO498" s="68"/>
      <c r="HP498" s="68"/>
      <c r="HQ498" s="336"/>
      <c r="HR498" s="68"/>
      <c r="HS498" s="68"/>
      <c r="HT498" s="10"/>
      <c r="HW498" s="338"/>
      <c r="HX498" s="338"/>
      <c r="HY498" s="338"/>
      <c r="IC498" s="338"/>
      <c r="ID498" s="338"/>
      <c r="IE498" s="338"/>
      <c r="II498" s="338"/>
      <c r="IJ498" s="338"/>
      <c r="IK498" s="338"/>
      <c r="IO498" s="338"/>
      <c r="IP498" s="338"/>
      <c r="IQ498" s="338"/>
      <c r="IX498" s="68"/>
      <c r="IY498" s="68"/>
      <c r="IZ498" s="68"/>
      <c r="JA498" s="68"/>
      <c r="JB498" s="68"/>
      <c r="JC498" s="68"/>
      <c r="JD498" s="10"/>
      <c r="JG498" s="338"/>
      <c r="JH498" s="338"/>
      <c r="JI498" s="338"/>
      <c r="JM498" s="338"/>
      <c r="JN498" s="338"/>
      <c r="JQ498" s="338"/>
      <c r="JR498" s="338"/>
      <c r="JS498" s="338"/>
      <c r="JW498" s="358"/>
      <c r="JX498" s="336"/>
      <c r="JY498" s="336"/>
      <c r="JZ498" s="336"/>
      <c r="KA498" s="336"/>
      <c r="KB498" s="336"/>
      <c r="KC498" s="336"/>
      <c r="KD498" s="336"/>
      <c r="KE498" s="336"/>
      <c r="KF498" s="336"/>
      <c r="KG498" s="337"/>
      <c r="KH498" s="338"/>
      <c r="KI498" s="338"/>
      <c r="KJ498" s="338"/>
      <c r="KK498" s="338"/>
      <c r="KL498" s="338"/>
      <c r="KM498" s="338"/>
      <c r="KN498" s="338"/>
      <c r="KO498" s="338"/>
      <c r="KP498" s="338"/>
      <c r="KQ498" s="338"/>
      <c r="KR498" s="338"/>
      <c r="KS498" s="338"/>
      <c r="KT498" s="338"/>
      <c r="KU498" s="338"/>
      <c r="KV498" s="338"/>
      <c r="KW498" s="337"/>
      <c r="KX498" s="336"/>
      <c r="KY498" s="336"/>
      <c r="KZ498" s="336"/>
      <c r="LA498" s="336"/>
      <c r="LB498" s="336"/>
      <c r="LC498" s="336"/>
      <c r="LD498" s="336"/>
      <c r="LE498" s="336"/>
      <c r="LF498" s="336"/>
      <c r="LG498" s="336"/>
      <c r="LH498" s="336"/>
      <c r="LI498" s="336"/>
      <c r="LJ498" s="336"/>
      <c r="LK498" s="336"/>
      <c r="LL498" s="336"/>
      <c r="LM498" s="336"/>
      <c r="LN498" s="336"/>
      <c r="LO498" s="336"/>
      <c r="LP498" s="336"/>
      <c r="LQ498" s="337"/>
      <c r="MN498" s="10"/>
      <c r="OA498" s="10"/>
    </row>
    <row r="499" spans="1:391" s="370" customFormat="1" x14ac:dyDescent="0.25">
      <c r="A499" s="68"/>
      <c r="B499" s="10"/>
      <c r="C499" s="68"/>
      <c r="D499" s="68"/>
      <c r="E499" s="68"/>
      <c r="F499" s="68"/>
      <c r="G499" s="68"/>
      <c r="H499" s="68"/>
      <c r="I499" s="68"/>
      <c r="J499" s="68"/>
      <c r="K499" s="68"/>
      <c r="L499" s="68"/>
      <c r="M499" s="68"/>
      <c r="N499" s="68"/>
      <c r="O499" s="68"/>
      <c r="P499" s="68"/>
      <c r="Q499" s="68"/>
      <c r="R499" s="68"/>
      <c r="S499" s="68"/>
      <c r="T499" s="70"/>
      <c r="AC499" s="68"/>
      <c r="AD499" s="70"/>
      <c r="AM499" s="68"/>
      <c r="AN499" s="70"/>
      <c r="AU499" s="68"/>
      <c r="AV499" s="70"/>
      <c r="BB499" s="68"/>
      <c r="BC499" s="70"/>
      <c r="BD499" s="68"/>
      <c r="BE499" s="68"/>
      <c r="BF499" s="68"/>
      <c r="BG499" s="68"/>
      <c r="BH499" s="68"/>
      <c r="BI499" s="68"/>
      <c r="BJ499" s="70"/>
      <c r="BM499" s="68"/>
      <c r="BN499" s="70"/>
      <c r="BT499" s="68"/>
      <c r="BU499" s="70"/>
      <c r="BZ499" s="10"/>
      <c r="CF499" s="10"/>
      <c r="CI499" s="389"/>
      <c r="CJ499" s="389"/>
      <c r="CK499" s="68"/>
      <c r="CL499" s="70"/>
      <c r="CO499" s="10"/>
      <c r="CU499" s="10"/>
      <c r="DA499" s="10"/>
      <c r="DB499" s="70"/>
      <c r="DC499" s="70"/>
      <c r="DF499" s="68"/>
      <c r="DG499" s="70"/>
      <c r="DH499" s="68"/>
      <c r="DI499" s="386"/>
      <c r="DJ499" s="425"/>
      <c r="DL499" s="68"/>
      <c r="DM499" s="70"/>
      <c r="DQ499" s="68"/>
      <c r="DR499" s="70"/>
      <c r="DS499" s="338"/>
      <c r="DT499" s="338"/>
      <c r="DU499" s="338"/>
      <c r="DW499" s="338"/>
      <c r="DX499" s="338"/>
      <c r="DY499" s="338"/>
      <c r="EA499" s="338"/>
      <c r="EB499" s="338"/>
      <c r="EC499" s="338"/>
      <c r="EE499" s="338"/>
      <c r="EF499" s="338"/>
      <c r="EG499" s="338"/>
      <c r="EI499" s="336"/>
      <c r="EJ499" s="336"/>
      <c r="EK499" s="336"/>
      <c r="EL499" s="336"/>
      <c r="EM499" s="336"/>
      <c r="EN499" s="336"/>
      <c r="EO499" s="337"/>
      <c r="EP499" s="342"/>
      <c r="EQ499" s="336"/>
      <c r="ER499" s="342"/>
      <c r="ES499" s="336"/>
      <c r="ET499" s="342"/>
      <c r="EU499" s="336"/>
      <c r="EV499" s="342"/>
      <c r="EW499" s="336"/>
      <c r="EX499" s="342"/>
      <c r="EY499" s="342"/>
      <c r="EZ499" s="342"/>
      <c r="FA499" s="337"/>
      <c r="FE499" s="338"/>
      <c r="FH499" s="338"/>
      <c r="FI499" s="338"/>
      <c r="FJ499" s="338"/>
      <c r="FK499" s="338"/>
      <c r="FL499" s="338"/>
      <c r="FM499" s="337"/>
      <c r="FN499" s="336"/>
      <c r="FO499" s="336"/>
      <c r="FP499" s="336"/>
      <c r="FQ499" s="336"/>
      <c r="FR499" s="336"/>
      <c r="FS499" s="336"/>
      <c r="FT499" s="336"/>
      <c r="FU499" s="336"/>
      <c r="FV499" s="336"/>
      <c r="FW499" s="337"/>
      <c r="FX499" s="532"/>
      <c r="FY499" s="341"/>
      <c r="FZ499" s="341"/>
      <c r="GA499" s="336"/>
      <c r="GB499" s="341"/>
      <c r="GC499" s="341"/>
      <c r="GD499" s="341"/>
      <c r="GE499" s="336"/>
      <c r="GF499" s="336"/>
      <c r="GG499" s="336"/>
      <c r="GH499" s="336"/>
      <c r="GI499" s="336"/>
      <c r="GJ499" s="337"/>
      <c r="GM499" s="338"/>
      <c r="GN499" s="338"/>
      <c r="GO499" s="338"/>
      <c r="GS499" s="338"/>
      <c r="GT499" s="338"/>
      <c r="GU499" s="338"/>
      <c r="GY499" s="338"/>
      <c r="GZ499" s="338"/>
      <c r="HA499" s="338"/>
      <c r="HE499" s="338"/>
      <c r="HF499" s="338"/>
      <c r="HG499" s="338"/>
      <c r="HN499" s="68"/>
      <c r="HO499" s="68"/>
      <c r="HP499" s="68"/>
      <c r="HQ499" s="336"/>
      <c r="HR499" s="68"/>
      <c r="HS499" s="68"/>
      <c r="HT499" s="10"/>
      <c r="HW499" s="338"/>
      <c r="HX499" s="338"/>
      <c r="HY499" s="338"/>
      <c r="IC499" s="338"/>
      <c r="ID499" s="338"/>
      <c r="IE499" s="338"/>
      <c r="II499" s="338"/>
      <c r="IJ499" s="338"/>
      <c r="IK499" s="338"/>
      <c r="IO499" s="338"/>
      <c r="IP499" s="338"/>
      <c r="IQ499" s="338"/>
      <c r="IX499" s="68"/>
      <c r="IY499" s="68"/>
      <c r="IZ499" s="68"/>
      <c r="JA499" s="68"/>
      <c r="JB499" s="68"/>
      <c r="JC499" s="68"/>
      <c r="JD499" s="10"/>
      <c r="JG499" s="338"/>
      <c r="JH499" s="338"/>
      <c r="JI499" s="338"/>
      <c r="JM499" s="338"/>
      <c r="JN499" s="338"/>
      <c r="JQ499" s="338"/>
      <c r="JR499" s="338"/>
      <c r="JS499" s="338"/>
      <c r="JW499" s="358"/>
      <c r="JX499" s="336"/>
      <c r="JY499" s="336"/>
      <c r="JZ499" s="336"/>
      <c r="KA499" s="336"/>
      <c r="KB499" s="336"/>
      <c r="KC499" s="336"/>
      <c r="KD499" s="336"/>
      <c r="KE499" s="336"/>
      <c r="KF499" s="336"/>
      <c r="KG499" s="337"/>
      <c r="KH499" s="338"/>
      <c r="KI499" s="338"/>
      <c r="KJ499" s="338"/>
      <c r="KK499" s="338"/>
      <c r="KL499" s="338"/>
      <c r="KM499" s="338"/>
      <c r="KN499" s="338"/>
      <c r="KO499" s="338"/>
      <c r="KP499" s="338"/>
      <c r="KQ499" s="338"/>
      <c r="KR499" s="338"/>
      <c r="KS499" s="338"/>
      <c r="KT499" s="338"/>
      <c r="KU499" s="338"/>
      <c r="KV499" s="338"/>
      <c r="KW499" s="337"/>
      <c r="KX499" s="336"/>
      <c r="KY499" s="336"/>
      <c r="KZ499" s="336"/>
      <c r="LA499" s="336"/>
      <c r="LB499" s="336"/>
      <c r="LC499" s="336"/>
      <c r="LD499" s="336"/>
      <c r="LE499" s="336"/>
      <c r="LF499" s="336"/>
      <c r="LG499" s="336"/>
      <c r="LH499" s="336"/>
      <c r="LI499" s="336"/>
      <c r="LJ499" s="336"/>
      <c r="LK499" s="336"/>
      <c r="LL499" s="336"/>
      <c r="LM499" s="336"/>
      <c r="LN499" s="336"/>
      <c r="LO499" s="336"/>
      <c r="LP499" s="336"/>
      <c r="LQ499" s="337"/>
      <c r="MN499" s="10"/>
      <c r="OA499" s="10"/>
    </row>
    <row r="500" spans="1:391" s="370" customFormat="1" x14ac:dyDescent="0.25">
      <c r="A500" s="68"/>
      <c r="B500" s="10"/>
      <c r="C500" s="68"/>
      <c r="D500" s="68"/>
      <c r="E500" s="68"/>
      <c r="F500" s="68"/>
      <c r="G500" s="68"/>
      <c r="H500" s="68"/>
      <c r="I500" s="68"/>
      <c r="J500" s="68"/>
      <c r="K500" s="68"/>
      <c r="L500" s="68"/>
      <c r="M500" s="68"/>
      <c r="N500" s="68"/>
      <c r="O500" s="68"/>
      <c r="P500" s="68"/>
      <c r="Q500" s="68"/>
      <c r="R500" s="68"/>
      <c r="S500" s="68"/>
      <c r="T500" s="70"/>
      <c r="AC500" s="68"/>
      <c r="AD500" s="70"/>
      <c r="AM500" s="68"/>
      <c r="AN500" s="70"/>
      <c r="AU500" s="68"/>
      <c r="AV500" s="70"/>
      <c r="BB500" s="68"/>
      <c r="BC500" s="70"/>
      <c r="BD500" s="68"/>
      <c r="BE500" s="68"/>
      <c r="BF500" s="68"/>
      <c r="BG500" s="68"/>
      <c r="BH500" s="68"/>
      <c r="BI500" s="68"/>
      <c r="BJ500" s="70"/>
      <c r="BM500" s="68"/>
      <c r="BN500" s="70"/>
      <c r="BT500" s="68"/>
      <c r="BU500" s="70"/>
      <c r="BZ500" s="10"/>
      <c r="CF500" s="10"/>
      <c r="CI500" s="389"/>
      <c r="CJ500" s="389"/>
      <c r="CK500" s="68"/>
      <c r="CL500" s="70"/>
      <c r="CO500" s="10"/>
      <c r="CU500" s="10"/>
      <c r="DA500" s="10"/>
      <c r="DB500" s="70"/>
      <c r="DC500" s="70"/>
      <c r="DF500" s="68"/>
      <c r="DG500" s="70"/>
      <c r="DH500" s="68"/>
      <c r="DI500" s="386"/>
      <c r="DJ500" s="425"/>
      <c r="DL500" s="68"/>
      <c r="DM500" s="70"/>
      <c r="DQ500" s="68"/>
      <c r="DR500" s="70"/>
      <c r="DS500" s="338"/>
      <c r="DT500" s="338"/>
      <c r="DU500" s="338"/>
      <c r="DW500" s="338"/>
      <c r="DX500" s="338"/>
      <c r="DY500" s="338"/>
      <c r="EA500" s="338"/>
      <c r="EB500" s="338"/>
      <c r="EC500" s="338"/>
      <c r="EE500" s="338"/>
      <c r="EF500" s="338"/>
      <c r="EG500" s="338"/>
      <c r="EI500" s="336"/>
      <c r="EJ500" s="336"/>
      <c r="EK500" s="336"/>
      <c r="EL500" s="336"/>
      <c r="EM500" s="336"/>
      <c r="EN500" s="336"/>
      <c r="EO500" s="337"/>
      <c r="EP500" s="342"/>
      <c r="EQ500" s="336"/>
      <c r="ER500" s="342"/>
      <c r="ES500" s="336"/>
      <c r="ET500" s="342"/>
      <c r="EU500" s="336"/>
      <c r="EV500" s="342"/>
      <c r="EW500" s="336"/>
      <c r="EX500" s="342"/>
      <c r="EY500" s="342"/>
      <c r="EZ500" s="342"/>
      <c r="FA500" s="337"/>
      <c r="FE500" s="338"/>
      <c r="FH500" s="338"/>
      <c r="FI500" s="338"/>
      <c r="FJ500" s="338"/>
      <c r="FK500" s="338"/>
      <c r="FL500" s="338"/>
      <c r="FM500" s="337"/>
      <c r="FN500" s="336"/>
      <c r="FO500" s="336"/>
      <c r="FP500" s="336"/>
      <c r="FQ500" s="336"/>
      <c r="FR500" s="336"/>
      <c r="FS500" s="336"/>
      <c r="FT500" s="336"/>
      <c r="FU500" s="336"/>
      <c r="FV500" s="336"/>
      <c r="FW500" s="337"/>
      <c r="FX500" s="532"/>
      <c r="FY500" s="341"/>
      <c r="FZ500" s="341"/>
      <c r="GA500" s="336"/>
      <c r="GB500" s="341"/>
      <c r="GC500" s="341"/>
      <c r="GD500" s="341"/>
      <c r="GE500" s="336"/>
      <c r="GF500" s="336"/>
      <c r="GG500" s="336"/>
      <c r="GH500" s="336"/>
      <c r="GI500" s="336"/>
      <c r="GJ500" s="337"/>
      <c r="GM500" s="338"/>
      <c r="GN500" s="338"/>
      <c r="GO500" s="338"/>
      <c r="GS500" s="338"/>
      <c r="GT500" s="338"/>
      <c r="GU500" s="338"/>
      <c r="GY500" s="338"/>
      <c r="GZ500" s="338"/>
      <c r="HA500" s="338"/>
      <c r="HE500" s="338"/>
      <c r="HF500" s="338"/>
      <c r="HG500" s="338"/>
      <c r="HN500" s="68"/>
      <c r="HO500" s="68"/>
      <c r="HP500" s="68"/>
      <c r="HQ500" s="336"/>
      <c r="HR500" s="68"/>
      <c r="HS500" s="68"/>
      <c r="HT500" s="10"/>
      <c r="HW500" s="338"/>
      <c r="HX500" s="338"/>
      <c r="HY500" s="338"/>
      <c r="IC500" s="338"/>
      <c r="ID500" s="338"/>
      <c r="IE500" s="338"/>
      <c r="II500" s="338"/>
      <c r="IJ500" s="338"/>
      <c r="IK500" s="338"/>
      <c r="IO500" s="338"/>
      <c r="IP500" s="338"/>
      <c r="IQ500" s="338"/>
      <c r="IX500" s="68"/>
      <c r="IY500" s="68"/>
      <c r="IZ500" s="68"/>
      <c r="JA500" s="68"/>
      <c r="JB500" s="68"/>
      <c r="JC500" s="68"/>
      <c r="JD500" s="10"/>
      <c r="JG500" s="338"/>
      <c r="JH500" s="338"/>
      <c r="JI500" s="338"/>
      <c r="JM500" s="338"/>
      <c r="JN500" s="338"/>
      <c r="JQ500" s="338"/>
      <c r="JR500" s="338"/>
      <c r="JS500" s="338"/>
      <c r="JW500" s="358"/>
      <c r="JX500" s="336"/>
      <c r="JY500" s="336"/>
      <c r="JZ500" s="336"/>
      <c r="KA500" s="336"/>
      <c r="KB500" s="336"/>
      <c r="KC500" s="336"/>
      <c r="KD500" s="336"/>
      <c r="KE500" s="336"/>
      <c r="KF500" s="336"/>
      <c r="KG500" s="337"/>
      <c r="KH500" s="338"/>
      <c r="KI500" s="338"/>
      <c r="KJ500" s="338"/>
      <c r="KK500" s="338"/>
      <c r="KL500" s="338"/>
      <c r="KM500" s="338"/>
      <c r="KN500" s="338"/>
      <c r="KO500" s="338"/>
      <c r="KP500" s="338"/>
      <c r="KQ500" s="338"/>
      <c r="KR500" s="338"/>
      <c r="KS500" s="338"/>
      <c r="KT500" s="338"/>
      <c r="KU500" s="338"/>
      <c r="KV500" s="338"/>
      <c r="KW500" s="337"/>
      <c r="KX500" s="336"/>
      <c r="KY500" s="336"/>
      <c r="KZ500" s="336"/>
      <c r="LA500" s="336"/>
      <c r="LB500" s="336"/>
      <c r="LC500" s="336"/>
      <c r="LD500" s="336"/>
      <c r="LE500" s="336"/>
      <c r="LF500" s="336"/>
      <c r="LG500" s="336"/>
      <c r="LH500" s="336"/>
      <c r="LI500" s="336"/>
      <c r="LJ500" s="336"/>
      <c r="LK500" s="336"/>
      <c r="LL500" s="336"/>
      <c r="LM500" s="336"/>
      <c r="LN500" s="336"/>
      <c r="LO500" s="336"/>
      <c r="LP500" s="336"/>
      <c r="LQ500" s="337"/>
      <c r="MN500" s="10"/>
      <c r="OA500" s="10"/>
    </row>
    <row r="501" spans="1:391" s="370" customFormat="1" x14ac:dyDescent="0.25">
      <c r="A501" s="68"/>
      <c r="B501" s="10"/>
      <c r="C501" s="68"/>
      <c r="D501" s="68"/>
      <c r="E501" s="68"/>
      <c r="F501" s="68"/>
      <c r="G501" s="68"/>
      <c r="H501" s="68"/>
      <c r="I501" s="68"/>
      <c r="J501" s="68"/>
      <c r="K501" s="68"/>
      <c r="L501" s="68"/>
      <c r="M501" s="68"/>
      <c r="N501" s="68"/>
      <c r="O501" s="68"/>
      <c r="P501" s="68"/>
      <c r="Q501" s="68"/>
      <c r="R501" s="68"/>
      <c r="S501" s="68"/>
      <c r="T501" s="70"/>
      <c r="AC501" s="68"/>
      <c r="AD501" s="70"/>
      <c r="AM501" s="68"/>
      <c r="AN501" s="70"/>
      <c r="AU501" s="68"/>
      <c r="AV501" s="70"/>
      <c r="BB501" s="68"/>
      <c r="BC501" s="70"/>
      <c r="BD501" s="68"/>
      <c r="BE501" s="68"/>
      <c r="BF501" s="68"/>
      <c r="BG501" s="68"/>
      <c r="BH501" s="68"/>
      <c r="BI501" s="68"/>
      <c r="BJ501" s="70"/>
      <c r="BM501" s="68"/>
      <c r="BN501" s="70"/>
      <c r="BT501" s="68"/>
      <c r="BU501" s="70"/>
      <c r="BZ501" s="10"/>
      <c r="CF501" s="10"/>
      <c r="CI501" s="389"/>
      <c r="CJ501" s="389"/>
      <c r="CK501" s="68"/>
      <c r="CL501" s="70"/>
      <c r="CO501" s="10"/>
      <c r="CU501" s="10"/>
      <c r="DA501" s="10"/>
      <c r="DB501" s="70"/>
      <c r="DC501" s="70"/>
      <c r="DF501" s="68"/>
      <c r="DG501" s="70"/>
      <c r="DH501" s="68"/>
      <c r="DI501" s="386"/>
      <c r="DJ501" s="425"/>
      <c r="DL501" s="68"/>
      <c r="DM501" s="70"/>
      <c r="DQ501" s="68"/>
      <c r="DR501" s="70"/>
      <c r="DS501" s="338"/>
      <c r="DT501" s="338"/>
      <c r="DU501" s="338"/>
      <c r="DW501" s="338"/>
      <c r="DX501" s="338"/>
      <c r="DY501" s="338"/>
      <c r="EA501" s="338"/>
      <c r="EB501" s="338"/>
      <c r="EC501" s="338"/>
      <c r="EE501" s="338"/>
      <c r="EF501" s="338"/>
      <c r="EG501" s="338"/>
      <c r="EI501" s="336"/>
      <c r="EJ501" s="336"/>
      <c r="EK501" s="336"/>
      <c r="EL501" s="336"/>
      <c r="EM501" s="336"/>
      <c r="EN501" s="336"/>
      <c r="EO501" s="337"/>
      <c r="EP501" s="342"/>
      <c r="EQ501" s="336"/>
      <c r="ER501" s="342"/>
      <c r="ES501" s="336"/>
      <c r="ET501" s="342"/>
      <c r="EU501" s="336"/>
      <c r="EV501" s="342"/>
      <c r="EW501" s="336"/>
      <c r="EX501" s="342"/>
      <c r="EY501" s="342"/>
      <c r="EZ501" s="342"/>
      <c r="FA501" s="337"/>
      <c r="FE501" s="338"/>
      <c r="FH501" s="338"/>
      <c r="FI501" s="338"/>
      <c r="FJ501" s="338"/>
      <c r="FK501" s="338"/>
      <c r="FL501" s="338"/>
      <c r="FM501" s="337"/>
      <c r="FN501" s="336"/>
      <c r="FO501" s="336"/>
      <c r="FP501" s="336"/>
      <c r="FQ501" s="336"/>
      <c r="FR501" s="336"/>
      <c r="FS501" s="336"/>
      <c r="FT501" s="336"/>
      <c r="FU501" s="336"/>
      <c r="FV501" s="336"/>
      <c r="FW501" s="337"/>
      <c r="FX501" s="532"/>
      <c r="FY501" s="341"/>
      <c r="FZ501" s="341"/>
      <c r="GA501" s="336"/>
      <c r="GB501" s="341"/>
      <c r="GC501" s="341"/>
      <c r="GD501" s="341"/>
      <c r="GE501" s="336"/>
      <c r="GF501" s="336"/>
      <c r="GG501" s="336"/>
      <c r="GH501" s="336"/>
      <c r="GI501" s="336"/>
      <c r="GJ501" s="337"/>
      <c r="GM501" s="338"/>
      <c r="GN501" s="338"/>
      <c r="GO501" s="338"/>
      <c r="GS501" s="338"/>
      <c r="GT501" s="338"/>
      <c r="GU501" s="338"/>
      <c r="GY501" s="338"/>
      <c r="GZ501" s="338"/>
      <c r="HA501" s="338"/>
      <c r="HE501" s="338"/>
      <c r="HF501" s="338"/>
      <c r="HG501" s="338"/>
      <c r="HN501" s="68"/>
      <c r="HO501" s="68"/>
      <c r="HP501" s="68"/>
      <c r="HQ501" s="336"/>
      <c r="HR501" s="68"/>
      <c r="HS501" s="68"/>
      <c r="HT501" s="10"/>
      <c r="HW501" s="338"/>
      <c r="HX501" s="338"/>
      <c r="HY501" s="338"/>
      <c r="IC501" s="338"/>
      <c r="ID501" s="338"/>
      <c r="IE501" s="338"/>
      <c r="II501" s="338"/>
      <c r="IJ501" s="338"/>
      <c r="IK501" s="338"/>
      <c r="IO501" s="338"/>
      <c r="IP501" s="338"/>
      <c r="IQ501" s="338"/>
      <c r="IX501" s="68"/>
      <c r="IY501" s="68"/>
      <c r="IZ501" s="68"/>
      <c r="JA501" s="68"/>
      <c r="JB501" s="68"/>
      <c r="JC501" s="68"/>
      <c r="JD501" s="10"/>
      <c r="JG501" s="338"/>
      <c r="JH501" s="338"/>
      <c r="JI501" s="338"/>
      <c r="JM501" s="338"/>
      <c r="JN501" s="338"/>
      <c r="JQ501" s="338"/>
      <c r="JR501" s="338"/>
      <c r="JS501" s="338"/>
      <c r="JW501" s="358"/>
      <c r="JX501" s="336"/>
      <c r="JY501" s="336"/>
      <c r="JZ501" s="336"/>
      <c r="KA501" s="336"/>
      <c r="KB501" s="336"/>
      <c r="KC501" s="336"/>
      <c r="KD501" s="336"/>
      <c r="KE501" s="336"/>
      <c r="KF501" s="336"/>
      <c r="KG501" s="337"/>
      <c r="KH501" s="338"/>
      <c r="KI501" s="338"/>
      <c r="KJ501" s="338"/>
      <c r="KK501" s="338"/>
      <c r="KL501" s="338"/>
      <c r="KM501" s="338"/>
      <c r="KN501" s="338"/>
      <c r="KO501" s="338"/>
      <c r="KP501" s="338"/>
      <c r="KQ501" s="338"/>
      <c r="KR501" s="338"/>
      <c r="KS501" s="338"/>
      <c r="KT501" s="338"/>
      <c r="KU501" s="338"/>
      <c r="KV501" s="338"/>
      <c r="KW501" s="337"/>
      <c r="KX501" s="336"/>
      <c r="KY501" s="336"/>
      <c r="KZ501" s="336"/>
      <c r="LA501" s="336"/>
      <c r="LB501" s="336"/>
      <c r="LC501" s="336"/>
      <c r="LD501" s="336"/>
      <c r="LE501" s="336"/>
      <c r="LF501" s="336"/>
      <c r="LG501" s="336"/>
      <c r="LH501" s="336"/>
      <c r="LI501" s="336"/>
      <c r="LJ501" s="336"/>
      <c r="LK501" s="336"/>
      <c r="LL501" s="336"/>
      <c r="LM501" s="336"/>
      <c r="LN501" s="336"/>
      <c r="LO501" s="336"/>
      <c r="LP501" s="336"/>
      <c r="LQ501" s="337"/>
      <c r="MN501" s="10"/>
      <c r="OA501" s="10"/>
    </row>
    <row r="502" spans="1:391" s="370" customFormat="1" x14ac:dyDescent="0.25">
      <c r="A502" s="68"/>
      <c r="B502" s="10"/>
      <c r="C502" s="68"/>
      <c r="D502" s="68"/>
      <c r="E502" s="68"/>
      <c r="F502" s="68"/>
      <c r="G502" s="68"/>
      <c r="H502" s="68"/>
      <c r="I502" s="68"/>
      <c r="J502" s="68"/>
      <c r="K502" s="68"/>
      <c r="L502" s="68"/>
      <c r="M502" s="68"/>
      <c r="N502" s="68"/>
      <c r="O502" s="68"/>
      <c r="P502" s="68"/>
      <c r="Q502" s="68"/>
      <c r="R502" s="68"/>
      <c r="S502" s="68"/>
      <c r="T502" s="70"/>
      <c r="AC502" s="68"/>
      <c r="AD502" s="70"/>
      <c r="AM502" s="68"/>
      <c r="AN502" s="70"/>
      <c r="AU502" s="68"/>
      <c r="AV502" s="70"/>
      <c r="BB502" s="68"/>
      <c r="BC502" s="70"/>
      <c r="BD502" s="68"/>
      <c r="BE502" s="68"/>
      <c r="BF502" s="68"/>
      <c r="BG502" s="68"/>
      <c r="BH502" s="68"/>
      <c r="BI502" s="68"/>
      <c r="BJ502" s="70"/>
      <c r="BM502" s="68"/>
      <c r="BN502" s="70"/>
      <c r="BT502" s="68"/>
      <c r="BU502" s="70"/>
      <c r="BZ502" s="10"/>
      <c r="CF502" s="10"/>
      <c r="CI502" s="389"/>
      <c r="CJ502" s="389"/>
      <c r="CK502" s="68"/>
      <c r="CL502" s="70"/>
      <c r="CO502" s="10"/>
      <c r="CU502" s="10"/>
      <c r="DA502" s="10"/>
      <c r="DB502" s="70"/>
      <c r="DC502" s="70"/>
      <c r="DF502" s="68"/>
      <c r="DG502" s="70"/>
      <c r="DH502" s="68"/>
      <c r="DI502" s="386"/>
      <c r="DJ502" s="425"/>
      <c r="DL502" s="68"/>
      <c r="DM502" s="70"/>
      <c r="DQ502" s="68"/>
      <c r="DR502" s="70"/>
      <c r="DS502" s="338"/>
      <c r="DT502" s="338"/>
      <c r="DU502" s="338"/>
      <c r="DW502" s="338"/>
      <c r="DX502" s="338"/>
      <c r="DY502" s="338"/>
      <c r="EA502" s="338"/>
      <c r="EB502" s="338"/>
      <c r="EC502" s="338"/>
      <c r="EE502" s="338"/>
      <c r="EF502" s="338"/>
      <c r="EG502" s="338"/>
      <c r="EI502" s="336"/>
      <c r="EJ502" s="336"/>
      <c r="EK502" s="336"/>
      <c r="EL502" s="336"/>
      <c r="EM502" s="336"/>
      <c r="EN502" s="336"/>
      <c r="EO502" s="337"/>
      <c r="EP502" s="342"/>
      <c r="EQ502" s="336"/>
      <c r="ER502" s="342"/>
      <c r="ES502" s="336"/>
      <c r="ET502" s="342"/>
      <c r="EU502" s="336"/>
      <c r="EV502" s="342"/>
      <c r="EW502" s="336"/>
      <c r="EX502" s="342"/>
      <c r="EY502" s="342"/>
      <c r="EZ502" s="342"/>
      <c r="FA502" s="337"/>
      <c r="FE502" s="338"/>
      <c r="FH502" s="338"/>
      <c r="FI502" s="338"/>
      <c r="FJ502" s="338"/>
      <c r="FK502" s="338"/>
      <c r="FL502" s="338"/>
      <c r="FM502" s="337"/>
      <c r="FN502" s="336"/>
      <c r="FO502" s="336"/>
      <c r="FP502" s="336"/>
      <c r="FQ502" s="336"/>
      <c r="FR502" s="336"/>
      <c r="FS502" s="336"/>
      <c r="FT502" s="336"/>
      <c r="FU502" s="336"/>
      <c r="FV502" s="336"/>
      <c r="FW502" s="337"/>
      <c r="FX502" s="532"/>
      <c r="FY502" s="341"/>
      <c r="FZ502" s="341"/>
      <c r="GA502" s="336"/>
      <c r="GB502" s="341"/>
      <c r="GC502" s="341"/>
      <c r="GD502" s="341"/>
      <c r="GE502" s="336"/>
      <c r="GF502" s="336"/>
      <c r="GG502" s="336"/>
      <c r="GH502" s="336"/>
      <c r="GI502" s="336"/>
      <c r="GJ502" s="337"/>
      <c r="GM502" s="338"/>
      <c r="GN502" s="338"/>
      <c r="GO502" s="338"/>
      <c r="GS502" s="338"/>
      <c r="GT502" s="338"/>
      <c r="GU502" s="338"/>
      <c r="GY502" s="338"/>
      <c r="GZ502" s="338"/>
      <c r="HA502" s="338"/>
      <c r="HE502" s="338"/>
      <c r="HF502" s="338"/>
      <c r="HG502" s="338"/>
      <c r="HN502" s="68"/>
      <c r="HO502" s="68"/>
      <c r="HP502" s="68"/>
      <c r="HQ502" s="336"/>
      <c r="HR502" s="68"/>
      <c r="HS502" s="68"/>
      <c r="HT502" s="10"/>
      <c r="HW502" s="338"/>
      <c r="HX502" s="338"/>
      <c r="HY502" s="338"/>
      <c r="IC502" s="338"/>
      <c r="ID502" s="338"/>
      <c r="IE502" s="338"/>
      <c r="II502" s="338"/>
      <c r="IJ502" s="338"/>
      <c r="IK502" s="338"/>
      <c r="IO502" s="338"/>
      <c r="IP502" s="338"/>
      <c r="IQ502" s="338"/>
      <c r="IX502" s="68"/>
      <c r="IY502" s="68"/>
      <c r="IZ502" s="68"/>
      <c r="JA502" s="68"/>
      <c r="JB502" s="68"/>
      <c r="JC502" s="68"/>
      <c r="JD502" s="10"/>
      <c r="JG502" s="338"/>
      <c r="JH502" s="338"/>
      <c r="JI502" s="338"/>
      <c r="JM502" s="338"/>
      <c r="JN502" s="338"/>
      <c r="JQ502" s="338"/>
      <c r="JR502" s="338"/>
      <c r="JS502" s="338"/>
      <c r="JW502" s="358"/>
      <c r="JX502" s="336"/>
      <c r="JY502" s="336"/>
      <c r="JZ502" s="336"/>
      <c r="KA502" s="336"/>
      <c r="KB502" s="336"/>
      <c r="KC502" s="336"/>
      <c r="KD502" s="336"/>
      <c r="KE502" s="336"/>
      <c r="KF502" s="336"/>
      <c r="KG502" s="337"/>
      <c r="KH502" s="338"/>
      <c r="KI502" s="338"/>
      <c r="KJ502" s="338"/>
      <c r="KK502" s="338"/>
      <c r="KL502" s="338"/>
      <c r="KM502" s="338"/>
      <c r="KN502" s="338"/>
      <c r="KO502" s="338"/>
      <c r="KP502" s="338"/>
      <c r="KQ502" s="338"/>
      <c r="KR502" s="338"/>
      <c r="KS502" s="338"/>
      <c r="KT502" s="338"/>
      <c r="KU502" s="338"/>
      <c r="KV502" s="338"/>
      <c r="KW502" s="337"/>
      <c r="KX502" s="336"/>
      <c r="KY502" s="336"/>
      <c r="KZ502" s="336"/>
      <c r="LA502" s="336"/>
      <c r="LB502" s="336"/>
      <c r="LC502" s="336"/>
      <c r="LD502" s="336"/>
      <c r="LE502" s="336"/>
      <c r="LF502" s="336"/>
      <c r="LG502" s="336"/>
      <c r="LH502" s="336"/>
      <c r="LI502" s="336"/>
      <c r="LJ502" s="336"/>
      <c r="LK502" s="336"/>
      <c r="LL502" s="336"/>
      <c r="LM502" s="336"/>
      <c r="LN502" s="336"/>
      <c r="LO502" s="336"/>
      <c r="LP502" s="336"/>
      <c r="LQ502" s="337"/>
      <c r="MN502" s="10"/>
      <c r="OA502" s="10"/>
    </row>
    <row r="503" spans="1:391" s="370" customFormat="1" x14ac:dyDescent="0.25">
      <c r="A503" s="68"/>
      <c r="B503" s="10"/>
      <c r="C503" s="68"/>
      <c r="D503" s="68"/>
      <c r="E503" s="68"/>
      <c r="F503" s="68"/>
      <c r="G503" s="68"/>
      <c r="H503" s="68"/>
      <c r="I503" s="68"/>
      <c r="J503" s="68"/>
      <c r="K503" s="68"/>
      <c r="L503" s="68"/>
      <c r="M503" s="68"/>
      <c r="N503" s="68"/>
      <c r="O503" s="68"/>
      <c r="P503" s="68"/>
      <c r="Q503" s="68"/>
      <c r="R503" s="68"/>
      <c r="S503" s="68"/>
      <c r="T503" s="70"/>
      <c r="AC503" s="68"/>
      <c r="AD503" s="70"/>
      <c r="AM503" s="68"/>
      <c r="AN503" s="70"/>
      <c r="AU503" s="68"/>
      <c r="AV503" s="70"/>
      <c r="BB503" s="68"/>
      <c r="BC503" s="70"/>
      <c r="BD503" s="68"/>
      <c r="BE503" s="68"/>
      <c r="BF503" s="68"/>
      <c r="BG503" s="68"/>
      <c r="BH503" s="68"/>
      <c r="BI503" s="68"/>
      <c r="BJ503" s="70"/>
      <c r="BM503" s="68"/>
      <c r="BN503" s="70"/>
      <c r="BT503" s="68"/>
      <c r="BU503" s="70"/>
      <c r="BZ503" s="10"/>
      <c r="CF503" s="10"/>
      <c r="CI503" s="389"/>
      <c r="CJ503" s="389"/>
      <c r="CK503" s="68"/>
      <c r="CL503" s="70"/>
      <c r="CO503" s="10"/>
      <c r="CU503" s="10"/>
      <c r="DA503" s="10"/>
      <c r="DB503" s="70"/>
      <c r="DC503" s="70"/>
      <c r="DF503" s="68"/>
      <c r="DG503" s="70"/>
      <c r="DH503" s="68"/>
      <c r="DI503" s="386"/>
      <c r="DJ503" s="425"/>
      <c r="DL503" s="68"/>
      <c r="DM503" s="70"/>
      <c r="DQ503" s="68"/>
      <c r="DR503" s="70"/>
      <c r="DS503" s="338"/>
      <c r="DT503" s="338"/>
      <c r="DU503" s="338"/>
      <c r="DW503" s="338"/>
      <c r="DX503" s="338"/>
      <c r="DY503" s="338"/>
      <c r="EA503" s="338"/>
      <c r="EB503" s="338"/>
      <c r="EC503" s="338"/>
      <c r="EE503" s="338"/>
      <c r="EF503" s="338"/>
      <c r="EG503" s="338"/>
      <c r="EI503" s="336"/>
      <c r="EJ503" s="336"/>
      <c r="EK503" s="336"/>
      <c r="EL503" s="336"/>
      <c r="EM503" s="336"/>
      <c r="EN503" s="336"/>
      <c r="EO503" s="337"/>
      <c r="EP503" s="342"/>
      <c r="EQ503" s="336"/>
      <c r="ER503" s="342"/>
      <c r="ES503" s="336"/>
      <c r="ET503" s="342"/>
      <c r="EU503" s="336"/>
      <c r="EV503" s="342"/>
      <c r="EW503" s="336"/>
      <c r="EX503" s="342"/>
      <c r="EY503" s="342"/>
      <c r="EZ503" s="342"/>
      <c r="FA503" s="337"/>
      <c r="FE503" s="338"/>
      <c r="FH503" s="338"/>
      <c r="FI503" s="338"/>
      <c r="FJ503" s="338"/>
      <c r="FK503" s="338"/>
      <c r="FL503" s="338"/>
      <c r="FM503" s="337"/>
      <c r="FN503" s="336"/>
      <c r="FO503" s="336"/>
      <c r="FP503" s="336"/>
      <c r="FQ503" s="336"/>
      <c r="FR503" s="336"/>
      <c r="FS503" s="336"/>
      <c r="FT503" s="336"/>
      <c r="FU503" s="336"/>
      <c r="FV503" s="336"/>
      <c r="FW503" s="337"/>
      <c r="FX503" s="532"/>
      <c r="FY503" s="341"/>
      <c r="FZ503" s="341"/>
      <c r="GA503" s="336"/>
      <c r="GB503" s="341"/>
      <c r="GC503" s="341"/>
      <c r="GD503" s="341"/>
      <c r="GE503" s="336"/>
      <c r="GF503" s="336"/>
      <c r="GG503" s="336"/>
      <c r="GH503" s="336"/>
      <c r="GI503" s="336"/>
      <c r="GJ503" s="337"/>
      <c r="GM503" s="338"/>
      <c r="GN503" s="338"/>
      <c r="GO503" s="338"/>
      <c r="GS503" s="338"/>
      <c r="GT503" s="338"/>
      <c r="GU503" s="338"/>
      <c r="GY503" s="338"/>
      <c r="GZ503" s="338"/>
      <c r="HA503" s="338"/>
      <c r="HE503" s="338"/>
      <c r="HF503" s="338"/>
      <c r="HG503" s="338"/>
      <c r="HN503" s="68"/>
      <c r="HO503" s="68"/>
      <c r="HP503" s="68"/>
      <c r="HQ503" s="336"/>
      <c r="HR503" s="68"/>
      <c r="HS503" s="68"/>
      <c r="HT503" s="10"/>
      <c r="HW503" s="338"/>
      <c r="HX503" s="338"/>
      <c r="HY503" s="338"/>
      <c r="IC503" s="338"/>
      <c r="ID503" s="338"/>
      <c r="IE503" s="338"/>
      <c r="II503" s="338"/>
      <c r="IJ503" s="338"/>
      <c r="IK503" s="338"/>
      <c r="IO503" s="338"/>
      <c r="IP503" s="338"/>
      <c r="IQ503" s="338"/>
      <c r="IX503" s="68"/>
      <c r="IY503" s="68"/>
      <c r="IZ503" s="68"/>
      <c r="JA503" s="68"/>
      <c r="JB503" s="68"/>
      <c r="JC503" s="68"/>
      <c r="JD503" s="10"/>
      <c r="JG503" s="338"/>
      <c r="JH503" s="338"/>
      <c r="JI503" s="338"/>
      <c r="JM503" s="338"/>
      <c r="JN503" s="338"/>
      <c r="JQ503" s="338"/>
      <c r="JR503" s="338"/>
      <c r="JS503" s="338"/>
      <c r="JW503" s="358"/>
      <c r="JX503" s="336"/>
      <c r="JY503" s="336"/>
      <c r="JZ503" s="336"/>
      <c r="KA503" s="336"/>
      <c r="KB503" s="336"/>
      <c r="KC503" s="336"/>
      <c r="KD503" s="336"/>
      <c r="KE503" s="336"/>
      <c r="KF503" s="336"/>
      <c r="KG503" s="337"/>
      <c r="KH503" s="338"/>
      <c r="KI503" s="338"/>
      <c r="KJ503" s="338"/>
      <c r="KK503" s="338"/>
      <c r="KL503" s="338"/>
      <c r="KM503" s="338"/>
      <c r="KN503" s="338"/>
      <c r="KO503" s="338"/>
      <c r="KP503" s="338"/>
      <c r="KQ503" s="338"/>
      <c r="KR503" s="338"/>
      <c r="KS503" s="338"/>
      <c r="KT503" s="338"/>
      <c r="KU503" s="338"/>
      <c r="KV503" s="338"/>
      <c r="KW503" s="337"/>
      <c r="KX503" s="336"/>
      <c r="KY503" s="336"/>
      <c r="KZ503" s="336"/>
      <c r="LA503" s="336"/>
      <c r="LB503" s="336"/>
      <c r="LC503" s="336"/>
      <c r="LD503" s="336"/>
      <c r="LE503" s="336"/>
      <c r="LF503" s="336"/>
      <c r="LG503" s="336"/>
      <c r="LH503" s="336"/>
      <c r="LI503" s="336"/>
      <c r="LJ503" s="336"/>
      <c r="LK503" s="336"/>
      <c r="LL503" s="336"/>
      <c r="LM503" s="336"/>
      <c r="LN503" s="336"/>
      <c r="LO503" s="336"/>
      <c r="LP503" s="336"/>
      <c r="LQ503" s="337"/>
      <c r="MN503" s="10"/>
      <c r="OA503" s="10"/>
    </row>
    <row r="504" spans="1:391" s="370" customFormat="1" x14ac:dyDescent="0.25">
      <c r="A504" s="68"/>
      <c r="B504" s="10"/>
      <c r="C504" s="68"/>
      <c r="D504" s="68"/>
      <c r="E504" s="68"/>
      <c r="F504" s="68"/>
      <c r="G504" s="68"/>
      <c r="H504" s="68"/>
      <c r="I504" s="68"/>
      <c r="J504" s="68"/>
      <c r="K504" s="68"/>
      <c r="L504" s="68"/>
      <c r="M504" s="68"/>
      <c r="N504" s="68"/>
      <c r="O504" s="68"/>
      <c r="P504" s="68"/>
      <c r="Q504" s="68"/>
      <c r="R504" s="68"/>
      <c r="S504" s="68"/>
      <c r="T504" s="70"/>
      <c r="AC504" s="68"/>
      <c r="AD504" s="70"/>
      <c r="AM504" s="68"/>
      <c r="AN504" s="70"/>
      <c r="AU504" s="68"/>
      <c r="AV504" s="70"/>
      <c r="BB504" s="68"/>
      <c r="BC504" s="70"/>
      <c r="BD504" s="68"/>
      <c r="BE504" s="68"/>
      <c r="BF504" s="68"/>
      <c r="BG504" s="68"/>
      <c r="BH504" s="68"/>
      <c r="BI504" s="68"/>
      <c r="BJ504" s="70"/>
      <c r="BM504" s="68"/>
      <c r="BN504" s="70"/>
      <c r="BT504" s="68"/>
      <c r="BU504" s="70"/>
      <c r="BZ504" s="10"/>
      <c r="CF504" s="10"/>
      <c r="CI504" s="389"/>
      <c r="CJ504" s="389"/>
      <c r="CK504" s="68"/>
      <c r="CL504" s="70"/>
      <c r="CO504" s="10"/>
      <c r="CU504" s="10"/>
      <c r="DA504" s="10"/>
      <c r="DB504" s="70"/>
      <c r="DC504" s="70"/>
      <c r="DF504" s="68"/>
      <c r="DG504" s="70"/>
      <c r="DH504" s="68"/>
      <c r="DI504" s="386"/>
      <c r="DJ504" s="425"/>
      <c r="DL504" s="68"/>
      <c r="DM504" s="70"/>
      <c r="DQ504" s="68"/>
      <c r="DR504" s="70"/>
      <c r="DS504" s="338"/>
      <c r="DT504" s="338"/>
      <c r="DU504" s="338"/>
      <c r="DW504" s="338"/>
      <c r="DX504" s="338"/>
      <c r="DY504" s="338"/>
      <c r="EA504" s="338"/>
      <c r="EB504" s="338"/>
      <c r="EC504" s="338"/>
      <c r="EE504" s="338"/>
      <c r="EF504" s="338"/>
      <c r="EG504" s="338"/>
      <c r="EI504" s="336"/>
      <c r="EJ504" s="336"/>
      <c r="EK504" s="336"/>
      <c r="EL504" s="336"/>
      <c r="EM504" s="336"/>
      <c r="EN504" s="336"/>
      <c r="EO504" s="337"/>
      <c r="EP504" s="342"/>
      <c r="EQ504" s="336"/>
      <c r="ER504" s="342"/>
      <c r="ES504" s="336"/>
      <c r="ET504" s="342"/>
      <c r="EU504" s="336"/>
      <c r="EV504" s="342"/>
      <c r="EW504" s="336"/>
      <c r="EX504" s="342"/>
      <c r="EY504" s="342"/>
      <c r="EZ504" s="342"/>
      <c r="FA504" s="337"/>
      <c r="FE504" s="338"/>
      <c r="FH504" s="338"/>
      <c r="FI504" s="338"/>
      <c r="FJ504" s="338"/>
      <c r="FK504" s="338"/>
      <c r="FL504" s="338"/>
      <c r="FM504" s="337"/>
      <c r="FN504" s="336"/>
      <c r="FO504" s="336"/>
      <c r="FP504" s="336"/>
      <c r="FQ504" s="336"/>
      <c r="FR504" s="336"/>
      <c r="FS504" s="336"/>
      <c r="FT504" s="336"/>
      <c r="FU504" s="336"/>
      <c r="FV504" s="336"/>
      <c r="FW504" s="337"/>
      <c r="FX504" s="532"/>
      <c r="FY504" s="341"/>
      <c r="FZ504" s="341"/>
      <c r="GA504" s="336"/>
      <c r="GB504" s="341"/>
      <c r="GC504" s="341"/>
      <c r="GD504" s="341"/>
      <c r="GE504" s="336"/>
      <c r="GF504" s="336"/>
      <c r="GG504" s="336"/>
      <c r="GH504" s="336"/>
      <c r="GI504" s="336"/>
      <c r="GJ504" s="337"/>
      <c r="GM504" s="338"/>
      <c r="GN504" s="338"/>
      <c r="GO504" s="338"/>
      <c r="GS504" s="338"/>
      <c r="GT504" s="338"/>
      <c r="GU504" s="338"/>
      <c r="GY504" s="338"/>
      <c r="GZ504" s="338"/>
      <c r="HA504" s="338"/>
      <c r="HE504" s="338"/>
      <c r="HF504" s="338"/>
      <c r="HG504" s="338"/>
      <c r="HN504" s="68"/>
      <c r="HO504" s="68"/>
      <c r="HP504" s="68"/>
      <c r="HQ504" s="336"/>
      <c r="HR504" s="68"/>
      <c r="HS504" s="68"/>
      <c r="HT504" s="10"/>
      <c r="HW504" s="338"/>
      <c r="HX504" s="338"/>
      <c r="HY504" s="338"/>
      <c r="IC504" s="338"/>
      <c r="ID504" s="338"/>
      <c r="IE504" s="338"/>
      <c r="II504" s="338"/>
      <c r="IJ504" s="338"/>
      <c r="IK504" s="338"/>
      <c r="IO504" s="338"/>
      <c r="IP504" s="338"/>
      <c r="IQ504" s="338"/>
      <c r="IX504" s="68"/>
      <c r="IY504" s="68"/>
      <c r="IZ504" s="68"/>
      <c r="JA504" s="68"/>
      <c r="JB504" s="68"/>
      <c r="JC504" s="68"/>
      <c r="JD504" s="10"/>
      <c r="JG504" s="338"/>
      <c r="JH504" s="338"/>
      <c r="JI504" s="338"/>
      <c r="JM504" s="338"/>
      <c r="JN504" s="338"/>
      <c r="JQ504" s="338"/>
      <c r="JR504" s="338"/>
      <c r="JS504" s="338"/>
      <c r="JW504" s="358"/>
      <c r="JX504" s="336"/>
      <c r="JY504" s="336"/>
      <c r="JZ504" s="336"/>
      <c r="KA504" s="336"/>
      <c r="KB504" s="336"/>
      <c r="KC504" s="336"/>
      <c r="KD504" s="336"/>
      <c r="KE504" s="336"/>
      <c r="KF504" s="336"/>
      <c r="KG504" s="337"/>
      <c r="KH504" s="338"/>
      <c r="KI504" s="338"/>
      <c r="KJ504" s="338"/>
      <c r="KK504" s="338"/>
      <c r="KL504" s="338"/>
      <c r="KM504" s="338"/>
      <c r="KN504" s="338"/>
      <c r="KO504" s="338"/>
      <c r="KP504" s="338"/>
      <c r="KQ504" s="338"/>
      <c r="KR504" s="338"/>
      <c r="KS504" s="338"/>
      <c r="KT504" s="338"/>
      <c r="KU504" s="338"/>
      <c r="KV504" s="338"/>
      <c r="KW504" s="337"/>
      <c r="KX504" s="336"/>
      <c r="KY504" s="336"/>
      <c r="KZ504" s="336"/>
      <c r="LA504" s="336"/>
      <c r="LB504" s="336"/>
      <c r="LC504" s="336"/>
      <c r="LD504" s="336"/>
      <c r="LE504" s="336"/>
      <c r="LF504" s="336"/>
      <c r="LG504" s="336"/>
      <c r="LH504" s="336"/>
      <c r="LI504" s="336"/>
      <c r="LJ504" s="336"/>
      <c r="LK504" s="336"/>
      <c r="LL504" s="336"/>
      <c r="LM504" s="336"/>
      <c r="LN504" s="336"/>
      <c r="LO504" s="336"/>
      <c r="LP504" s="336"/>
      <c r="LQ504" s="337"/>
      <c r="MN504" s="10"/>
      <c r="OA504" s="10"/>
    </row>
    <row r="505" spans="1:391" s="370" customFormat="1" x14ac:dyDescent="0.25">
      <c r="A505" s="68"/>
      <c r="B505" s="10"/>
      <c r="C505" s="68"/>
      <c r="D505" s="68"/>
      <c r="E505" s="68"/>
      <c r="F505" s="68"/>
      <c r="G505" s="68"/>
      <c r="H505" s="68"/>
      <c r="I505" s="68"/>
      <c r="J505" s="68"/>
      <c r="K505" s="68"/>
      <c r="L505" s="68"/>
      <c r="M505" s="68"/>
      <c r="N505" s="68"/>
      <c r="O505" s="68"/>
      <c r="P505" s="68"/>
      <c r="Q505" s="68"/>
      <c r="R505" s="68"/>
      <c r="S505" s="68"/>
      <c r="T505" s="70"/>
      <c r="AC505" s="68"/>
      <c r="AD505" s="70"/>
      <c r="AM505" s="68"/>
      <c r="AN505" s="70"/>
      <c r="AU505" s="68"/>
      <c r="AV505" s="70"/>
      <c r="BB505" s="68"/>
      <c r="BC505" s="70"/>
      <c r="BD505" s="68"/>
      <c r="BE505" s="68"/>
      <c r="BF505" s="68"/>
      <c r="BG505" s="68"/>
      <c r="BH505" s="68"/>
      <c r="BI505" s="68"/>
      <c r="BJ505" s="70"/>
      <c r="BM505" s="68"/>
      <c r="BN505" s="70"/>
      <c r="BT505" s="68"/>
      <c r="BU505" s="70"/>
      <c r="BZ505" s="10"/>
      <c r="CF505" s="10"/>
      <c r="CI505" s="389"/>
      <c r="CJ505" s="389"/>
      <c r="CK505" s="68"/>
      <c r="CL505" s="70"/>
      <c r="CO505" s="10"/>
      <c r="CU505" s="10"/>
      <c r="DA505" s="10"/>
      <c r="DB505" s="70"/>
      <c r="DC505" s="70"/>
      <c r="DF505" s="68"/>
      <c r="DG505" s="70"/>
      <c r="DH505" s="68"/>
      <c r="DI505" s="386"/>
      <c r="DJ505" s="425"/>
      <c r="DL505" s="68"/>
      <c r="DM505" s="70"/>
      <c r="DQ505" s="68"/>
      <c r="DR505" s="70"/>
      <c r="DS505" s="338"/>
      <c r="DT505" s="338"/>
      <c r="DU505" s="338"/>
      <c r="DW505" s="338"/>
      <c r="DX505" s="338"/>
      <c r="DY505" s="338"/>
      <c r="EA505" s="338"/>
      <c r="EB505" s="338"/>
      <c r="EC505" s="338"/>
      <c r="EE505" s="338"/>
      <c r="EF505" s="338"/>
      <c r="EG505" s="338"/>
      <c r="EI505" s="336"/>
      <c r="EJ505" s="336"/>
      <c r="EK505" s="336"/>
      <c r="EL505" s="336"/>
      <c r="EM505" s="336"/>
      <c r="EN505" s="336"/>
      <c r="EO505" s="337"/>
      <c r="EP505" s="342"/>
      <c r="EQ505" s="336"/>
      <c r="ER505" s="342"/>
      <c r="ES505" s="336"/>
      <c r="ET505" s="342"/>
      <c r="EU505" s="336"/>
      <c r="EV505" s="342"/>
      <c r="EW505" s="336"/>
      <c r="EX505" s="342"/>
      <c r="EY505" s="342"/>
      <c r="EZ505" s="342"/>
      <c r="FA505" s="337"/>
      <c r="FE505" s="338"/>
      <c r="FH505" s="338"/>
      <c r="FI505" s="338"/>
      <c r="FJ505" s="338"/>
      <c r="FK505" s="338"/>
      <c r="FL505" s="338"/>
      <c r="FM505" s="337"/>
      <c r="FN505" s="336"/>
      <c r="FO505" s="336"/>
      <c r="FP505" s="336"/>
      <c r="FQ505" s="336"/>
      <c r="FR505" s="336"/>
      <c r="FS505" s="336"/>
      <c r="FT505" s="336"/>
      <c r="FU505" s="336"/>
      <c r="FV505" s="336"/>
      <c r="FW505" s="337"/>
      <c r="FX505" s="532"/>
      <c r="FY505" s="341"/>
      <c r="FZ505" s="341"/>
      <c r="GA505" s="336"/>
      <c r="GB505" s="341"/>
      <c r="GC505" s="341"/>
      <c r="GD505" s="341"/>
      <c r="GE505" s="336"/>
      <c r="GF505" s="336"/>
      <c r="GG505" s="336"/>
      <c r="GH505" s="336"/>
      <c r="GI505" s="336"/>
      <c r="GJ505" s="337"/>
      <c r="GM505" s="338"/>
      <c r="GN505" s="338"/>
      <c r="GO505" s="338"/>
      <c r="GS505" s="338"/>
      <c r="GT505" s="338"/>
      <c r="GU505" s="338"/>
      <c r="GY505" s="338"/>
      <c r="GZ505" s="338"/>
      <c r="HA505" s="338"/>
      <c r="HE505" s="338"/>
      <c r="HF505" s="338"/>
      <c r="HG505" s="338"/>
      <c r="HN505" s="68"/>
      <c r="HO505" s="68"/>
      <c r="HP505" s="68"/>
      <c r="HQ505" s="336"/>
      <c r="HR505" s="68"/>
      <c r="HS505" s="68"/>
      <c r="HT505" s="10"/>
      <c r="HW505" s="338"/>
      <c r="HX505" s="338"/>
      <c r="HY505" s="338"/>
      <c r="IC505" s="338"/>
      <c r="ID505" s="338"/>
      <c r="IE505" s="338"/>
      <c r="II505" s="338"/>
      <c r="IJ505" s="338"/>
      <c r="IK505" s="338"/>
      <c r="IO505" s="338"/>
      <c r="IP505" s="338"/>
      <c r="IQ505" s="338"/>
      <c r="IX505" s="68"/>
      <c r="IY505" s="68"/>
      <c r="IZ505" s="68"/>
      <c r="JA505" s="68"/>
      <c r="JB505" s="68"/>
      <c r="JC505" s="68"/>
      <c r="JD505" s="10"/>
      <c r="JG505" s="338"/>
      <c r="JH505" s="338"/>
      <c r="JI505" s="338"/>
      <c r="JM505" s="338"/>
      <c r="JN505" s="338"/>
      <c r="JQ505" s="338"/>
      <c r="JR505" s="338"/>
      <c r="JS505" s="338"/>
      <c r="JW505" s="358"/>
      <c r="JX505" s="336"/>
      <c r="JY505" s="336"/>
      <c r="JZ505" s="336"/>
      <c r="KA505" s="336"/>
      <c r="KB505" s="336"/>
      <c r="KC505" s="336"/>
      <c r="KD505" s="336"/>
      <c r="KE505" s="336"/>
      <c r="KF505" s="336"/>
      <c r="KG505" s="337"/>
      <c r="KH505" s="338"/>
      <c r="KI505" s="338"/>
      <c r="KJ505" s="338"/>
      <c r="KK505" s="338"/>
      <c r="KL505" s="338"/>
      <c r="KM505" s="338"/>
      <c r="KN505" s="338"/>
      <c r="KO505" s="338"/>
      <c r="KP505" s="338"/>
      <c r="KQ505" s="338"/>
      <c r="KR505" s="338"/>
      <c r="KS505" s="338"/>
      <c r="KT505" s="338"/>
      <c r="KU505" s="338"/>
      <c r="KV505" s="338"/>
      <c r="KW505" s="337"/>
      <c r="KX505" s="336"/>
      <c r="KY505" s="336"/>
      <c r="KZ505" s="336"/>
      <c r="LA505" s="336"/>
      <c r="LB505" s="336"/>
      <c r="LC505" s="336"/>
      <c r="LD505" s="336"/>
      <c r="LE505" s="336"/>
      <c r="LF505" s="336"/>
      <c r="LG505" s="336"/>
      <c r="LH505" s="336"/>
      <c r="LI505" s="336"/>
      <c r="LJ505" s="336"/>
      <c r="LK505" s="336"/>
      <c r="LL505" s="336"/>
      <c r="LM505" s="336"/>
      <c r="LN505" s="336"/>
      <c r="LO505" s="336"/>
      <c r="LP505" s="336"/>
      <c r="LQ505" s="337"/>
      <c r="MN505" s="10"/>
      <c r="OA505" s="10"/>
    </row>
    <row r="506" spans="1:391" s="370" customFormat="1" x14ac:dyDescent="0.25">
      <c r="A506" s="68"/>
      <c r="B506" s="10"/>
      <c r="C506" s="68"/>
      <c r="D506" s="68"/>
      <c r="E506" s="68"/>
      <c r="F506" s="68"/>
      <c r="G506" s="68"/>
      <c r="H506" s="68"/>
      <c r="I506" s="68"/>
      <c r="J506" s="68"/>
      <c r="K506" s="68"/>
      <c r="L506" s="68"/>
      <c r="M506" s="68"/>
      <c r="N506" s="68"/>
      <c r="O506" s="68"/>
      <c r="P506" s="68"/>
      <c r="Q506" s="68"/>
      <c r="R506" s="68"/>
      <c r="S506" s="68"/>
      <c r="T506" s="70"/>
      <c r="AC506" s="68"/>
      <c r="AD506" s="70"/>
      <c r="AM506" s="68"/>
      <c r="AN506" s="70"/>
      <c r="AU506" s="68"/>
      <c r="AV506" s="70"/>
      <c r="BB506" s="68"/>
      <c r="BC506" s="70"/>
      <c r="BD506" s="68"/>
      <c r="BE506" s="68"/>
      <c r="BF506" s="68"/>
      <c r="BG506" s="68"/>
      <c r="BH506" s="68"/>
      <c r="BI506" s="68"/>
      <c r="BJ506" s="70"/>
      <c r="BM506" s="68"/>
      <c r="BN506" s="70"/>
      <c r="BT506" s="68"/>
      <c r="BU506" s="70"/>
      <c r="BZ506" s="10"/>
      <c r="CF506" s="10"/>
      <c r="CI506" s="389"/>
      <c r="CJ506" s="389"/>
      <c r="CK506" s="68"/>
      <c r="CL506" s="70"/>
      <c r="CO506" s="10"/>
      <c r="CU506" s="10"/>
      <c r="DA506" s="10"/>
      <c r="DB506" s="70"/>
      <c r="DC506" s="70"/>
      <c r="DF506" s="68"/>
      <c r="DG506" s="70"/>
      <c r="DH506" s="68"/>
      <c r="DI506" s="386"/>
      <c r="DJ506" s="425"/>
      <c r="DL506" s="68"/>
      <c r="DM506" s="70"/>
      <c r="DQ506" s="68"/>
      <c r="DR506" s="70"/>
      <c r="DS506" s="338"/>
      <c r="DT506" s="338"/>
      <c r="DU506" s="338"/>
      <c r="DW506" s="338"/>
      <c r="DX506" s="338"/>
      <c r="DY506" s="338"/>
      <c r="EA506" s="338"/>
      <c r="EB506" s="338"/>
      <c r="EC506" s="338"/>
      <c r="EE506" s="338"/>
      <c r="EF506" s="338"/>
      <c r="EG506" s="338"/>
      <c r="EI506" s="336"/>
      <c r="EJ506" s="336"/>
      <c r="EK506" s="336"/>
      <c r="EL506" s="336"/>
      <c r="EM506" s="336"/>
      <c r="EN506" s="336"/>
      <c r="EO506" s="337"/>
      <c r="EP506" s="342"/>
      <c r="EQ506" s="336"/>
      <c r="ER506" s="342"/>
      <c r="ES506" s="336"/>
      <c r="ET506" s="342"/>
      <c r="EU506" s="336"/>
      <c r="EV506" s="342"/>
      <c r="EW506" s="336"/>
      <c r="EX506" s="342"/>
      <c r="EY506" s="342"/>
      <c r="EZ506" s="342"/>
      <c r="FA506" s="337"/>
      <c r="FE506" s="338"/>
      <c r="FH506" s="338"/>
      <c r="FI506" s="338"/>
      <c r="FJ506" s="338"/>
      <c r="FK506" s="338"/>
      <c r="FL506" s="338"/>
      <c r="FM506" s="337"/>
      <c r="FN506" s="336"/>
      <c r="FO506" s="336"/>
      <c r="FP506" s="336"/>
      <c r="FQ506" s="336"/>
      <c r="FR506" s="336"/>
      <c r="FS506" s="336"/>
      <c r="FT506" s="336"/>
      <c r="FU506" s="336"/>
      <c r="FV506" s="336"/>
      <c r="FW506" s="337"/>
      <c r="FX506" s="532"/>
      <c r="FY506" s="341"/>
      <c r="FZ506" s="341"/>
      <c r="GA506" s="336"/>
      <c r="GB506" s="341"/>
      <c r="GC506" s="341"/>
      <c r="GD506" s="341"/>
      <c r="GE506" s="336"/>
      <c r="GF506" s="336"/>
      <c r="GG506" s="336"/>
      <c r="GH506" s="336"/>
      <c r="GI506" s="336"/>
      <c r="GJ506" s="337"/>
      <c r="GM506" s="338"/>
      <c r="GN506" s="338"/>
      <c r="GO506" s="338"/>
      <c r="GS506" s="338"/>
      <c r="GT506" s="338"/>
      <c r="GU506" s="338"/>
      <c r="GY506" s="338"/>
      <c r="GZ506" s="338"/>
      <c r="HA506" s="338"/>
      <c r="HE506" s="338"/>
      <c r="HF506" s="338"/>
      <c r="HG506" s="338"/>
      <c r="HN506" s="68"/>
      <c r="HO506" s="68"/>
      <c r="HP506" s="68"/>
      <c r="HQ506" s="336"/>
      <c r="HR506" s="68"/>
      <c r="HS506" s="68"/>
      <c r="HT506" s="10"/>
      <c r="HW506" s="338"/>
      <c r="HX506" s="338"/>
      <c r="HY506" s="338"/>
      <c r="IC506" s="338"/>
      <c r="ID506" s="338"/>
      <c r="IE506" s="338"/>
      <c r="II506" s="338"/>
      <c r="IJ506" s="338"/>
      <c r="IK506" s="338"/>
      <c r="IO506" s="338"/>
      <c r="IP506" s="338"/>
      <c r="IQ506" s="338"/>
      <c r="IX506" s="68"/>
      <c r="IY506" s="68"/>
      <c r="IZ506" s="68"/>
      <c r="JA506" s="68"/>
      <c r="JB506" s="68"/>
      <c r="JC506" s="68"/>
      <c r="JD506" s="10"/>
      <c r="JG506" s="338"/>
      <c r="JH506" s="338"/>
      <c r="JI506" s="338"/>
      <c r="JM506" s="338"/>
      <c r="JN506" s="338"/>
      <c r="JQ506" s="338"/>
      <c r="JR506" s="338"/>
      <c r="JS506" s="338"/>
      <c r="JW506" s="358"/>
      <c r="JX506" s="336"/>
      <c r="JY506" s="336"/>
      <c r="JZ506" s="336"/>
      <c r="KA506" s="336"/>
      <c r="KB506" s="336"/>
      <c r="KC506" s="336"/>
      <c r="KD506" s="336"/>
      <c r="KE506" s="336"/>
      <c r="KF506" s="336"/>
      <c r="KG506" s="337"/>
      <c r="KH506" s="338"/>
      <c r="KI506" s="338"/>
      <c r="KJ506" s="338"/>
      <c r="KK506" s="338"/>
      <c r="KL506" s="338"/>
      <c r="KM506" s="338"/>
      <c r="KN506" s="338"/>
      <c r="KO506" s="338"/>
      <c r="KP506" s="338"/>
      <c r="KQ506" s="338"/>
      <c r="KR506" s="338"/>
      <c r="KS506" s="338"/>
      <c r="KT506" s="338"/>
      <c r="KU506" s="338"/>
      <c r="KV506" s="338"/>
      <c r="KW506" s="337"/>
      <c r="KX506" s="336"/>
      <c r="KY506" s="336"/>
      <c r="KZ506" s="336"/>
      <c r="LA506" s="336"/>
      <c r="LB506" s="336"/>
      <c r="LC506" s="336"/>
      <c r="LD506" s="336"/>
      <c r="LE506" s="336"/>
      <c r="LF506" s="336"/>
      <c r="LG506" s="336"/>
      <c r="LH506" s="336"/>
      <c r="LI506" s="336"/>
      <c r="LJ506" s="336"/>
      <c r="LK506" s="336"/>
      <c r="LL506" s="336"/>
      <c r="LM506" s="336"/>
      <c r="LN506" s="336"/>
      <c r="LO506" s="336"/>
      <c r="LP506" s="336"/>
      <c r="LQ506" s="337"/>
      <c r="MN506" s="10"/>
      <c r="OA506" s="10"/>
    </row>
    <row r="507" spans="1:391" s="370" customFormat="1" x14ac:dyDescent="0.25">
      <c r="A507" s="68"/>
      <c r="B507" s="10"/>
      <c r="C507" s="68"/>
      <c r="D507" s="68"/>
      <c r="E507" s="68"/>
      <c r="F507" s="68"/>
      <c r="G507" s="68"/>
      <c r="H507" s="68"/>
      <c r="I507" s="68"/>
      <c r="J507" s="68"/>
      <c r="K507" s="68"/>
      <c r="L507" s="68"/>
      <c r="M507" s="68"/>
      <c r="N507" s="68"/>
      <c r="O507" s="68"/>
      <c r="P507" s="68"/>
      <c r="Q507" s="68"/>
      <c r="R507" s="68"/>
      <c r="S507" s="68"/>
      <c r="T507" s="70"/>
      <c r="AC507" s="68"/>
      <c r="AD507" s="70"/>
      <c r="AM507" s="68"/>
      <c r="AN507" s="70"/>
      <c r="AU507" s="68"/>
      <c r="AV507" s="70"/>
      <c r="BB507" s="68"/>
      <c r="BC507" s="70"/>
      <c r="BD507" s="68"/>
      <c r="BE507" s="68"/>
      <c r="BF507" s="68"/>
      <c r="BG507" s="68"/>
      <c r="BH507" s="68"/>
      <c r="BI507" s="68"/>
      <c r="BJ507" s="70"/>
      <c r="BM507" s="68"/>
      <c r="BN507" s="70"/>
      <c r="BT507" s="68"/>
      <c r="BU507" s="70"/>
      <c r="BZ507" s="10"/>
      <c r="CF507" s="10"/>
      <c r="CI507" s="389"/>
      <c r="CJ507" s="389"/>
      <c r="CK507" s="68"/>
      <c r="CL507" s="70"/>
      <c r="CO507" s="10"/>
      <c r="CU507" s="10"/>
      <c r="DA507" s="10"/>
      <c r="DB507" s="70"/>
      <c r="DC507" s="70"/>
      <c r="DF507" s="68"/>
      <c r="DG507" s="70"/>
      <c r="DH507" s="68"/>
      <c r="DI507" s="386"/>
      <c r="DJ507" s="425"/>
      <c r="DL507" s="68"/>
      <c r="DM507" s="70"/>
      <c r="DQ507" s="68"/>
      <c r="DR507" s="70"/>
      <c r="DS507" s="338"/>
      <c r="DT507" s="338"/>
      <c r="DU507" s="338"/>
      <c r="DW507" s="338"/>
      <c r="DX507" s="338"/>
      <c r="DY507" s="338"/>
      <c r="EA507" s="338"/>
      <c r="EB507" s="338"/>
      <c r="EC507" s="338"/>
      <c r="EE507" s="338"/>
      <c r="EF507" s="338"/>
      <c r="EG507" s="338"/>
      <c r="EI507" s="336"/>
      <c r="EJ507" s="336"/>
      <c r="EK507" s="336"/>
      <c r="EL507" s="336"/>
      <c r="EM507" s="336"/>
      <c r="EN507" s="336"/>
      <c r="EO507" s="337"/>
      <c r="EP507" s="342"/>
      <c r="EQ507" s="336"/>
      <c r="ER507" s="342"/>
      <c r="ES507" s="336"/>
      <c r="ET507" s="342"/>
      <c r="EU507" s="336"/>
      <c r="EV507" s="342"/>
      <c r="EW507" s="336"/>
      <c r="EX507" s="342"/>
      <c r="EY507" s="342"/>
      <c r="EZ507" s="342"/>
      <c r="FA507" s="337"/>
      <c r="FE507" s="338"/>
      <c r="FH507" s="338"/>
      <c r="FI507" s="338"/>
      <c r="FJ507" s="338"/>
      <c r="FK507" s="338"/>
      <c r="FL507" s="338"/>
      <c r="FM507" s="337"/>
      <c r="FN507" s="336"/>
      <c r="FO507" s="336"/>
      <c r="FP507" s="336"/>
      <c r="FQ507" s="336"/>
      <c r="FR507" s="336"/>
      <c r="FS507" s="336"/>
      <c r="FT507" s="336"/>
      <c r="FU507" s="336"/>
      <c r="FV507" s="336"/>
      <c r="FW507" s="337"/>
      <c r="FX507" s="532"/>
      <c r="FY507" s="341"/>
      <c r="FZ507" s="341"/>
      <c r="GA507" s="336"/>
      <c r="GB507" s="341"/>
      <c r="GC507" s="341"/>
      <c r="GD507" s="341"/>
      <c r="GE507" s="336"/>
      <c r="GF507" s="336"/>
      <c r="GG507" s="336"/>
      <c r="GH507" s="336"/>
      <c r="GI507" s="336"/>
      <c r="GJ507" s="337"/>
      <c r="GM507" s="338"/>
      <c r="GN507" s="338"/>
      <c r="GO507" s="338"/>
      <c r="GS507" s="338"/>
      <c r="GT507" s="338"/>
      <c r="GU507" s="338"/>
      <c r="GY507" s="338"/>
      <c r="GZ507" s="338"/>
      <c r="HA507" s="338"/>
      <c r="HE507" s="338"/>
      <c r="HF507" s="338"/>
      <c r="HG507" s="338"/>
      <c r="HN507" s="68"/>
      <c r="HO507" s="68"/>
      <c r="HP507" s="68"/>
      <c r="HQ507" s="336"/>
      <c r="HR507" s="68"/>
      <c r="HS507" s="68"/>
      <c r="HT507" s="10"/>
      <c r="HW507" s="338"/>
      <c r="HX507" s="338"/>
      <c r="HY507" s="338"/>
      <c r="IC507" s="338"/>
      <c r="ID507" s="338"/>
      <c r="IE507" s="338"/>
      <c r="II507" s="338"/>
      <c r="IJ507" s="338"/>
      <c r="IK507" s="338"/>
      <c r="IO507" s="338"/>
      <c r="IP507" s="338"/>
      <c r="IQ507" s="338"/>
      <c r="IX507" s="68"/>
      <c r="IY507" s="68"/>
      <c r="IZ507" s="68"/>
      <c r="JA507" s="68"/>
      <c r="JB507" s="68"/>
      <c r="JC507" s="68"/>
      <c r="JD507" s="10"/>
      <c r="JG507" s="338"/>
      <c r="JH507" s="338"/>
      <c r="JI507" s="338"/>
      <c r="JM507" s="338"/>
      <c r="JN507" s="338"/>
      <c r="JQ507" s="338"/>
      <c r="JR507" s="338"/>
      <c r="JS507" s="338"/>
      <c r="JW507" s="358"/>
      <c r="JX507" s="336"/>
      <c r="JY507" s="336"/>
      <c r="JZ507" s="336"/>
      <c r="KA507" s="336"/>
      <c r="KB507" s="336"/>
      <c r="KC507" s="336"/>
      <c r="KD507" s="336"/>
      <c r="KE507" s="336"/>
      <c r="KF507" s="336"/>
      <c r="KG507" s="337"/>
      <c r="KH507" s="338"/>
      <c r="KI507" s="338"/>
      <c r="KJ507" s="338"/>
      <c r="KK507" s="338"/>
      <c r="KL507" s="338"/>
      <c r="KM507" s="338"/>
      <c r="KN507" s="338"/>
      <c r="KO507" s="338"/>
      <c r="KP507" s="338"/>
      <c r="KQ507" s="338"/>
      <c r="KR507" s="338"/>
      <c r="KS507" s="338"/>
      <c r="KT507" s="338"/>
      <c r="KU507" s="338"/>
      <c r="KV507" s="338"/>
      <c r="KW507" s="337"/>
      <c r="KX507" s="336"/>
      <c r="KY507" s="336"/>
      <c r="KZ507" s="336"/>
      <c r="LA507" s="336"/>
      <c r="LB507" s="336"/>
      <c r="LC507" s="336"/>
      <c r="LD507" s="336"/>
      <c r="LE507" s="336"/>
      <c r="LF507" s="336"/>
      <c r="LG507" s="336"/>
      <c r="LH507" s="336"/>
      <c r="LI507" s="336"/>
      <c r="LJ507" s="336"/>
      <c r="LK507" s="336"/>
      <c r="LL507" s="336"/>
      <c r="LM507" s="336"/>
      <c r="LN507" s="336"/>
      <c r="LO507" s="336"/>
      <c r="LP507" s="336"/>
      <c r="LQ507" s="337"/>
      <c r="MN507" s="10"/>
      <c r="OA507" s="10"/>
    </row>
    <row r="508" spans="1:391" s="370" customFormat="1" x14ac:dyDescent="0.25">
      <c r="A508" s="68"/>
      <c r="B508" s="10"/>
      <c r="C508" s="68"/>
      <c r="D508" s="68"/>
      <c r="E508" s="68"/>
      <c r="F508" s="68"/>
      <c r="G508" s="68"/>
      <c r="H508" s="68"/>
      <c r="I508" s="68"/>
      <c r="J508" s="68"/>
      <c r="K508" s="68"/>
      <c r="L508" s="68"/>
      <c r="M508" s="68"/>
      <c r="N508" s="68"/>
      <c r="O508" s="68"/>
      <c r="P508" s="68"/>
      <c r="Q508" s="68"/>
      <c r="R508" s="68"/>
      <c r="S508" s="68"/>
      <c r="T508" s="70"/>
      <c r="AC508" s="68"/>
      <c r="AD508" s="70"/>
      <c r="AM508" s="68"/>
      <c r="AN508" s="70"/>
      <c r="AU508" s="68"/>
      <c r="AV508" s="70"/>
      <c r="BB508" s="68"/>
      <c r="BC508" s="70"/>
      <c r="BD508" s="68"/>
      <c r="BE508" s="68"/>
      <c r="BF508" s="68"/>
      <c r="BG508" s="68"/>
      <c r="BH508" s="68"/>
      <c r="BI508" s="68"/>
      <c r="BJ508" s="70"/>
      <c r="BM508" s="68"/>
      <c r="BN508" s="70"/>
      <c r="BT508" s="68"/>
      <c r="BU508" s="70"/>
      <c r="BZ508" s="10"/>
      <c r="CF508" s="10"/>
      <c r="CI508" s="389"/>
      <c r="CJ508" s="389"/>
      <c r="CK508" s="68"/>
      <c r="CL508" s="70"/>
      <c r="CO508" s="10"/>
      <c r="CU508" s="10"/>
      <c r="DA508" s="10"/>
      <c r="DB508" s="70"/>
      <c r="DC508" s="70"/>
      <c r="DF508" s="68"/>
      <c r="DG508" s="70"/>
      <c r="DH508" s="68"/>
      <c r="DI508" s="386"/>
      <c r="DJ508" s="425"/>
      <c r="DL508" s="68"/>
      <c r="DM508" s="70"/>
      <c r="DQ508" s="68"/>
      <c r="DR508" s="70"/>
      <c r="DS508" s="338"/>
      <c r="DT508" s="338"/>
      <c r="DU508" s="338"/>
      <c r="DW508" s="338"/>
      <c r="DX508" s="338"/>
      <c r="DY508" s="338"/>
      <c r="EA508" s="338"/>
      <c r="EB508" s="338"/>
      <c r="EC508" s="338"/>
      <c r="EE508" s="338"/>
      <c r="EF508" s="338"/>
      <c r="EG508" s="338"/>
      <c r="EI508" s="336"/>
      <c r="EJ508" s="336"/>
      <c r="EK508" s="336"/>
      <c r="EL508" s="336"/>
      <c r="EM508" s="336"/>
      <c r="EN508" s="336"/>
      <c r="EO508" s="337"/>
      <c r="EP508" s="342"/>
      <c r="EQ508" s="336"/>
      <c r="ER508" s="342"/>
      <c r="ES508" s="336"/>
      <c r="ET508" s="342"/>
      <c r="EU508" s="336"/>
      <c r="EV508" s="342"/>
      <c r="EW508" s="336"/>
      <c r="EX508" s="342"/>
      <c r="EY508" s="342"/>
      <c r="EZ508" s="342"/>
      <c r="FA508" s="337"/>
      <c r="FE508" s="338"/>
      <c r="FH508" s="338"/>
      <c r="FI508" s="338"/>
      <c r="FJ508" s="338"/>
      <c r="FK508" s="338"/>
      <c r="FL508" s="338"/>
      <c r="FM508" s="337"/>
      <c r="FN508" s="336"/>
      <c r="FO508" s="336"/>
      <c r="FP508" s="336"/>
      <c r="FQ508" s="336"/>
      <c r="FR508" s="336"/>
      <c r="FS508" s="336"/>
      <c r="FT508" s="336"/>
      <c r="FU508" s="336"/>
      <c r="FV508" s="336"/>
      <c r="FW508" s="337"/>
      <c r="FX508" s="532"/>
      <c r="FY508" s="341"/>
      <c r="FZ508" s="341"/>
      <c r="GA508" s="336"/>
      <c r="GB508" s="341"/>
      <c r="GC508" s="341"/>
      <c r="GD508" s="341"/>
      <c r="GE508" s="336"/>
      <c r="GF508" s="336"/>
      <c r="GG508" s="336"/>
      <c r="GH508" s="336"/>
      <c r="GI508" s="336"/>
      <c r="GJ508" s="337"/>
      <c r="GM508" s="338"/>
      <c r="GN508" s="338"/>
      <c r="GO508" s="338"/>
      <c r="GS508" s="338"/>
      <c r="GT508" s="338"/>
      <c r="GU508" s="338"/>
      <c r="GY508" s="338"/>
      <c r="GZ508" s="338"/>
      <c r="HA508" s="338"/>
      <c r="HE508" s="338"/>
      <c r="HF508" s="338"/>
      <c r="HG508" s="338"/>
      <c r="HN508" s="68"/>
      <c r="HO508" s="68"/>
      <c r="HP508" s="68"/>
      <c r="HQ508" s="336"/>
      <c r="HR508" s="68"/>
      <c r="HS508" s="68"/>
      <c r="HT508" s="10"/>
      <c r="HW508" s="338"/>
      <c r="HX508" s="338"/>
      <c r="HY508" s="338"/>
      <c r="IC508" s="338"/>
      <c r="ID508" s="338"/>
      <c r="IE508" s="338"/>
      <c r="II508" s="338"/>
      <c r="IJ508" s="338"/>
      <c r="IK508" s="338"/>
      <c r="IO508" s="338"/>
      <c r="IP508" s="338"/>
      <c r="IQ508" s="338"/>
      <c r="IX508" s="68"/>
      <c r="IY508" s="68"/>
      <c r="IZ508" s="68"/>
      <c r="JA508" s="68"/>
      <c r="JB508" s="68"/>
      <c r="JC508" s="68"/>
      <c r="JD508" s="10"/>
      <c r="JG508" s="338"/>
      <c r="JH508" s="338"/>
      <c r="JI508" s="338"/>
      <c r="JM508" s="338"/>
      <c r="JN508" s="338"/>
      <c r="JQ508" s="338"/>
      <c r="JR508" s="338"/>
      <c r="JS508" s="338"/>
      <c r="JW508" s="358"/>
      <c r="JX508" s="336"/>
      <c r="JY508" s="336"/>
      <c r="JZ508" s="336"/>
      <c r="KA508" s="336"/>
      <c r="KB508" s="336"/>
      <c r="KC508" s="336"/>
      <c r="KD508" s="336"/>
      <c r="KE508" s="336"/>
      <c r="KF508" s="336"/>
      <c r="KG508" s="337"/>
      <c r="KH508" s="338"/>
      <c r="KI508" s="338"/>
      <c r="KJ508" s="338"/>
      <c r="KK508" s="338"/>
      <c r="KL508" s="338"/>
      <c r="KM508" s="338"/>
      <c r="KN508" s="338"/>
      <c r="KO508" s="338"/>
      <c r="KP508" s="338"/>
      <c r="KQ508" s="338"/>
      <c r="KR508" s="338"/>
      <c r="KS508" s="338"/>
      <c r="KT508" s="338"/>
      <c r="KU508" s="338"/>
      <c r="KV508" s="338"/>
      <c r="KW508" s="337"/>
      <c r="KX508" s="336"/>
      <c r="KY508" s="336"/>
      <c r="KZ508" s="336"/>
      <c r="LA508" s="336"/>
      <c r="LB508" s="336"/>
      <c r="LC508" s="336"/>
      <c r="LD508" s="336"/>
      <c r="LE508" s="336"/>
      <c r="LF508" s="336"/>
      <c r="LG508" s="336"/>
      <c r="LH508" s="336"/>
      <c r="LI508" s="336"/>
      <c r="LJ508" s="336"/>
      <c r="LK508" s="336"/>
      <c r="LL508" s="336"/>
      <c r="LM508" s="336"/>
      <c r="LN508" s="336"/>
      <c r="LO508" s="336"/>
      <c r="LP508" s="336"/>
      <c r="LQ508" s="337"/>
      <c r="MN508" s="10"/>
      <c r="OA508" s="10"/>
    </row>
    <row r="509" spans="1:391" s="370" customFormat="1" x14ac:dyDescent="0.25">
      <c r="A509" s="68"/>
      <c r="B509" s="10"/>
      <c r="C509" s="68"/>
      <c r="D509" s="68"/>
      <c r="E509" s="68"/>
      <c r="F509" s="68"/>
      <c r="G509" s="68"/>
      <c r="H509" s="68"/>
      <c r="I509" s="68"/>
      <c r="J509" s="68"/>
      <c r="K509" s="68"/>
      <c r="L509" s="68"/>
      <c r="M509" s="68"/>
      <c r="N509" s="68"/>
      <c r="O509" s="68"/>
      <c r="P509" s="68"/>
      <c r="Q509" s="68"/>
      <c r="R509" s="68"/>
      <c r="S509" s="68"/>
      <c r="T509" s="70"/>
      <c r="AC509" s="68"/>
      <c r="AD509" s="70"/>
      <c r="AM509" s="68"/>
      <c r="AN509" s="70"/>
      <c r="AU509" s="68"/>
      <c r="AV509" s="70"/>
      <c r="BB509" s="68"/>
      <c r="BC509" s="70"/>
      <c r="BD509" s="68"/>
      <c r="BE509" s="68"/>
      <c r="BF509" s="68"/>
      <c r="BG509" s="68"/>
      <c r="BH509" s="68"/>
      <c r="BI509" s="68"/>
      <c r="BJ509" s="70"/>
      <c r="BM509" s="68"/>
      <c r="BN509" s="70"/>
      <c r="BT509" s="68"/>
      <c r="BU509" s="70"/>
      <c r="BZ509" s="10"/>
      <c r="CF509" s="10"/>
      <c r="CI509" s="389"/>
      <c r="CJ509" s="389"/>
      <c r="CK509" s="68"/>
      <c r="CL509" s="70"/>
      <c r="CO509" s="10"/>
      <c r="CU509" s="10"/>
      <c r="DA509" s="10"/>
      <c r="DB509" s="70"/>
      <c r="DC509" s="70"/>
      <c r="DF509" s="68"/>
      <c r="DG509" s="70"/>
      <c r="DH509" s="68"/>
      <c r="DI509" s="386"/>
      <c r="DJ509" s="425"/>
      <c r="DL509" s="68"/>
      <c r="DM509" s="70"/>
      <c r="DQ509" s="68"/>
      <c r="DR509" s="70"/>
      <c r="DS509" s="338"/>
      <c r="DT509" s="338"/>
      <c r="DU509" s="338"/>
      <c r="DW509" s="338"/>
      <c r="DX509" s="338"/>
      <c r="DY509" s="338"/>
      <c r="EA509" s="338"/>
      <c r="EB509" s="338"/>
      <c r="EC509" s="338"/>
      <c r="EE509" s="338"/>
      <c r="EF509" s="338"/>
      <c r="EG509" s="338"/>
      <c r="EI509" s="336"/>
      <c r="EJ509" s="336"/>
      <c r="EK509" s="336"/>
      <c r="EL509" s="336"/>
      <c r="EM509" s="336"/>
      <c r="EN509" s="336"/>
      <c r="EO509" s="337"/>
      <c r="EP509" s="342"/>
      <c r="EQ509" s="336"/>
      <c r="ER509" s="342"/>
      <c r="ES509" s="336"/>
      <c r="ET509" s="342"/>
      <c r="EU509" s="336"/>
      <c r="EV509" s="342"/>
      <c r="EW509" s="336"/>
      <c r="EX509" s="342"/>
      <c r="EY509" s="342"/>
      <c r="EZ509" s="342"/>
      <c r="FA509" s="337"/>
      <c r="FE509" s="338"/>
      <c r="FH509" s="338"/>
      <c r="FI509" s="338"/>
      <c r="FJ509" s="338"/>
      <c r="FK509" s="338"/>
      <c r="FL509" s="338"/>
      <c r="FM509" s="337"/>
      <c r="FN509" s="336"/>
      <c r="FO509" s="336"/>
      <c r="FP509" s="336"/>
      <c r="FQ509" s="336"/>
      <c r="FR509" s="336"/>
      <c r="FS509" s="336"/>
      <c r="FT509" s="336"/>
      <c r="FU509" s="336"/>
      <c r="FV509" s="336"/>
      <c r="FW509" s="337"/>
      <c r="FX509" s="532"/>
      <c r="FY509" s="341"/>
      <c r="FZ509" s="341"/>
      <c r="GA509" s="336"/>
      <c r="GB509" s="341"/>
      <c r="GC509" s="341"/>
      <c r="GD509" s="341"/>
      <c r="GE509" s="336"/>
      <c r="GF509" s="336"/>
      <c r="GG509" s="336"/>
      <c r="GH509" s="336"/>
      <c r="GI509" s="336"/>
      <c r="GJ509" s="337"/>
      <c r="GM509" s="338"/>
      <c r="GN509" s="338"/>
      <c r="GO509" s="338"/>
      <c r="GS509" s="338"/>
      <c r="GT509" s="338"/>
      <c r="GU509" s="338"/>
      <c r="GY509" s="338"/>
      <c r="GZ509" s="338"/>
      <c r="HA509" s="338"/>
      <c r="HE509" s="338"/>
      <c r="HF509" s="338"/>
      <c r="HG509" s="338"/>
      <c r="HN509" s="68"/>
      <c r="HO509" s="68"/>
      <c r="HP509" s="68"/>
      <c r="HQ509" s="336"/>
      <c r="HR509" s="68"/>
      <c r="HS509" s="68"/>
      <c r="HT509" s="10"/>
      <c r="HW509" s="338"/>
      <c r="HX509" s="338"/>
      <c r="HY509" s="338"/>
      <c r="IC509" s="338"/>
      <c r="ID509" s="338"/>
      <c r="IE509" s="338"/>
      <c r="II509" s="338"/>
      <c r="IJ509" s="338"/>
      <c r="IK509" s="338"/>
      <c r="IO509" s="338"/>
      <c r="IP509" s="338"/>
      <c r="IQ509" s="338"/>
      <c r="IX509" s="68"/>
      <c r="IY509" s="68"/>
      <c r="IZ509" s="68"/>
      <c r="JA509" s="68"/>
      <c r="JB509" s="68"/>
      <c r="JC509" s="68"/>
      <c r="JD509" s="10"/>
      <c r="JG509" s="338"/>
      <c r="JH509" s="338"/>
      <c r="JI509" s="338"/>
      <c r="JM509" s="338"/>
      <c r="JN509" s="338"/>
      <c r="JQ509" s="338"/>
      <c r="JR509" s="338"/>
      <c r="JS509" s="338"/>
      <c r="JW509" s="358"/>
      <c r="JX509" s="336"/>
      <c r="JY509" s="336"/>
      <c r="JZ509" s="336"/>
      <c r="KA509" s="336"/>
      <c r="KB509" s="336"/>
      <c r="KC509" s="336"/>
      <c r="KD509" s="336"/>
      <c r="KE509" s="336"/>
      <c r="KF509" s="336"/>
      <c r="KG509" s="337"/>
      <c r="KH509" s="338"/>
      <c r="KI509" s="338"/>
      <c r="KJ509" s="338"/>
      <c r="KK509" s="338"/>
      <c r="KL509" s="338"/>
      <c r="KM509" s="338"/>
      <c r="KN509" s="338"/>
      <c r="KO509" s="338"/>
      <c r="KP509" s="338"/>
      <c r="KQ509" s="338"/>
      <c r="KR509" s="338"/>
      <c r="KS509" s="338"/>
      <c r="KT509" s="338"/>
      <c r="KU509" s="338"/>
      <c r="KV509" s="338"/>
      <c r="KW509" s="337"/>
      <c r="KX509" s="336"/>
      <c r="KY509" s="336"/>
      <c r="KZ509" s="336"/>
      <c r="LA509" s="336"/>
      <c r="LB509" s="336"/>
      <c r="LC509" s="336"/>
      <c r="LD509" s="336"/>
      <c r="LE509" s="336"/>
      <c r="LF509" s="336"/>
      <c r="LG509" s="336"/>
      <c r="LH509" s="336"/>
      <c r="LI509" s="336"/>
      <c r="LJ509" s="336"/>
      <c r="LK509" s="336"/>
      <c r="LL509" s="336"/>
      <c r="LM509" s="336"/>
      <c r="LN509" s="336"/>
      <c r="LO509" s="336"/>
      <c r="LP509" s="336"/>
      <c r="LQ509" s="337"/>
      <c r="MN509" s="10"/>
      <c r="OA509" s="10"/>
    </row>
    <row r="510" spans="1:391" s="370" customFormat="1" x14ac:dyDescent="0.25">
      <c r="A510" s="68"/>
      <c r="B510" s="10"/>
      <c r="C510" s="68"/>
      <c r="D510" s="68"/>
      <c r="E510" s="68"/>
      <c r="F510" s="68"/>
      <c r="G510" s="68"/>
      <c r="H510" s="68"/>
      <c r="I510" s="68"/>
      <c r="J510" s="68"/>
      <c r="K510" s="68"/>
      <c r="L510" s="68"/>
      <c r="M510" s="68"/>
      <c r="N510" s="68"/>
      <c r="O510" s="68"/>
      <c r="P510" s="68"/>
      <c r="Q510" s="68"/>
      <c r="R510" s="68"/>
      <c r="S510" s="68"/>
      <c r="T510" s="70"/>
      <c r="AC510" s="68"/>
      <c r="AD510" s="70"/>
      <c r="AM510" s="68"/>
      <c r="AN510" s="70"/>
      <c r="AU510" s="68"/>
      <c r="AV510" s="70"/>
      <c r="BB510" s="68"/>
      <c r="BC510" s="70"/>
      <c r="BD510" s="68"/>
      <c r="BE510" s="68"/>
      <c r="BF510" s="68"/>
      <c r="BG510" s="68"/>
      <c r="BH510" s="68"/>
      <c r="BI510" s="68"/>
      <c r="BJ510" s="70"/>
      <c r="BM510" s="68"/>
      <c r="BN510" s="70"/>
      <c r="BT510" s="68"/>
      <c r="BU510" s="70"/>
      <c r="BZ510" s="10"/>
      <c r="CF510" s="10"/>
      <c r="CI510" s="389"/>
      <c r="CJ510" s="389"/>
      <c r="CK510" s="68"/>
      <c r="CL510" s="70"/>
      <c r="CO510" s="10"/>
      <c r="CU510" s="10"/>
      <c r="DA510" s="10"/>
      <c r="DB510" s="70"/>
      <c r="DC510" s="70"/>
      <c r="DF510" s="68"/>
      <c r="DG510" s="70"/>
      <c r="DH510" s="68"/>
      <c r="DI510" s="386"/>
      <c r="DJ510" s="425"/>
      <c r="DL510" s="68"/>
      <c r="DM510" s="70"/>
      <c r="DQ510" s="68"/>
      <c r="DR510" s="70"/>
      <c r="DS510" s="338"/>
      <c r="DT510" s="338"/>
      <c r="DU510" s="338"/>
      <c r="DW510" s="338"/>
      <c r="DX510" s="338"/>
      <c r="DY510" s="338"/>
      <c r="EA510" s="338"/>
      <c r="EB510" s="338"/>
      <c r="EC510" s="338"/>
      <c r="EE510" s="338"/>
      <c r="EF510" s="338"/>
      <c r="EG510" s="338"/>
      <c r="EI510" s="336"/>
      <c r="EJ510" s="336"/>
      <c r="EK510" s="336"/>
      <c r="EL510" s="336"/>
      <c r="EM510" s="336"/>
      <c r="EN510" s="336"/>
      <c r="EO510" s="337"/>
      <c r="EP510" s="342"/>
      <c r="EQ510" s="336"/>
      <c r="ER510" s="342"/>
      <c r="ES510" s="336"/>
      <c r="ET510" s="342"/>
      <c r="EU510" s="336"/>
      <c r="EV510" s="342"/>
      <c r="EW510" s="336"/>
      <c r="EX510" s="342"/>
      <c r="EY510" s="342"/>
      <c r="EZ510" s="342"/>
      <c r="FA510" s="337"/>
      <c r="FE510" s="338"/>
      <c r="FH510" s="338"/>
      <c r="FI510" s="338"/>
      <c r="FJ510" s="338"/>
      <c r="FK510" s="338"/>
      <c r="FL510" s="338"/>
      <c r="FM510" s="337"/>
      <c r="FN510" s="336"/>
      <c r="FO510" s="336"/>
      <c r="FP510" s="336"/>
      <c r="FQ510" s="336"/>
      <c r="FR510" s="336"/>
      <c r="FS510" s="336"/>
      <c r="FT510" s="336"/>
      <c r="FU510" s="336"/>
      <c r="FV510" s="336"/>
      <c r="FW510" s="337"/>
      <c r="FX510" s="532"/>
      <c r="FY510" s="341"/>
      <c r="FZ510" s="341"/>
      <c r="GA510" s="336"/>
      <c r="GB510" s="341"/>
      <c r="GC510" s="341"/>
      <c r="GD510" s="341"/>
      <c r="GE510" s="336"/>
      <c r="GF510" s="336"/>
      <c r="GG510" s="336"/>
      <c r="GH510" s="336"/>
      <c r="GI510" s="336"/>
      <c r="GJ510" s="337"/>
      <c r="GM510" s="338"/>
      <c r="GN510" s="338"/>
      <c r="GO510" s="338"/>
      <c r="GS510" s="338"/>
      <c r="GT510" s="338"/>
      <c r="GU510" s="338"/>
      <c r="GY510" s="338"/>
      <c r="GZ510" s="338"/>
      <c r="HA510" s="338"/>
      <c r="HE510" s="338"/>
      <c r="HF510" s="338"/>
      <c r="HG510" s="338"/>
      <c r="HN510" s="68"/>
      <c r="HO510" s="68"/>
      <c r="HP510" s="68"/>
      <c r="HQ510" s="336"/>
      <c r="HR510" s="68"/>
      <c r="HS510" s="68"/>
      <c r="HT510" s="10"/>
      <c r="HW510" s="338"/>
      <c r="HX510" s="338"/>
      <c r="HY510" s="338"/>
      <c r="IC510" s="338"/>
      <c r="ID510" s="338"/>
      <c r="IE510" s="338"/>
      <c r="II510" s="338"/>
      <c r="IJ510" s="338"/>
      <c r="IK510" s="338"/>
      <c r="IO510" s="338"/>
      <c r="IP510" s="338"/>
      <c r="IQ510" s="338"/>
      <c r="IX510" s="68"/>
      <c r="IY510" s="68"/>
      <c r="IZ510" s="68"/>
      <c r="JA510" s="68"/>
      <c r="JB510" s="68"/>
      <c r="JC510" s="68"/>
      <c r="JD510" s="10"/>
      <c r="JG510" s="338"/>
      <c r="JH510" s="338"/>
      <c r="JI510" s="338"/>
      <c r="JM510" s="338"/>
      <c r="JN510" s="338"/>
      <c r="JQ510" s="338"/>
      <c r="JR510" s="338"/>
      <c r="JS510" s="338"/>
      <c r="JW510" s="358"/>
      <c r="JX510" s="336"/>
      <c r="JY510" s="336"/>
      <c r="JZ510" s="336"/>
      <c r="KA510" s="336"/>
      <c r="KB510" s="336"/>
      <c r="KC510" s="336"/>
      <c r="KD510" s="336"/>
      <c r="KE510" s="336"/>
      <c r="KF510" s="336"/>
      <c r="KG510" s="337"/>
      <c r="KH510" s="338"/>
      <c r="KI510" s="338"/>
      <c r="KJ510" s="338"/>
      <c r="KK510" s="338"/>
      <c r="KL510" s="338"/>
      <c r="KM510" s="338"/>
      <c r="KN510" s="338"/>
      <c r="KO510" s="338"/>
      <c r="KP510" s="338"/>
      <c r="KQ510" s="338"/>
      <c r="KR510" s="338"/>
      <c r="KS510" s="338"/>
      <c r="KT510" s="338"/>
      <c r="KU510" s="338"/>
      <c r="KV510" s="338"/>
      <c r="KW510" s="337"/>
      <c r="KX510" s="336"/>
      <c r="KY510" s="336"/>
      <c r="KZ510" s="336"/>
      <c r="LA510" s="336"/>
      <c r="LB510" s="336"/>
      <c r="LC510" s="336"/>
      <c r="LD510" s="336"/>
      <c r="LE510" s="336"/>
      <c r="LF510" s="336"/>
      <c r="LG510" s="336"/>
      <c r="LH510" s="336"/>
      <c r="LI510" s="336"/>
      <c r="LJ510" s="336"/>
      <c r="LK510" s="336"/>
      <c r="LL510" s="336"/>
      <c r="LM510" s="336"/>
      <c r="LN510" s="336"/>
      <c r="LO510" s="336"/>
      <c r="LP510" s="336"/>
      <c r="LQ510" s="337"/>
      <c r="MN510" s="10"/>
      <c r="OA510" s="10"/>
    </row>
    <row r="511" spans="1:391" s="370" customFormat="1" x14ac:dyDescent="0.25">
      <c r="A511" s="68"/>
      <c r="B511" s="10"/>
      <c r="C511" s="68"/>
      <c r="D511" s="68"/>
      <c r="E511" s="68"/>
      <c r="F511" s="68"/>
      <c r="G511" s="68"/>
      <c r="H511" s="68"/>
      <c r="I511" s="68"/>
      <c r="J511" s="68"/>
      <c r="K511" s="68"/>
      <c r="L511" s="68"/>
      <c r="M511" s="68"/>
      <c r="N511" s="68"/>
      <c r="O511" s="68"/>
      <c r="P511" s="68"/>
      <c r="Q511" s="68"/>
      <c r="R511" s="68"/>
      <c r="S511" s="68"/>
      <c r="T511" s="70"/>
      <c r="AC511" s="68"/>
      <c r="AD511" s="70"/>
      <c r="AM511" s="68"/>
      <c r="AN511" s="70"/>
      <c r="AU511" s="68"/>
      <c r="AV511" s="70"/>
      <c r="BB511" s="68"/>
      <c r="BC511" s="70"/>
      <c r="BD511" s="68"/>
      <c r="BE511" s="68"/>
      <c r="BF511" s="68"/>
      <c r="BG511" s="68"/>
      <c r="BH511" s="68"/>
      <c r="BI511" s="68"/>
      <c r="BJ511" s="70"/>
      <c r="BM511" s="68"/>
      <c r="BN511" s="70"/>
      <c r="BT511" s="68"/>
      <c r="BU511" s="70"/>
      <c r="BZ511" s="10"/>
      <c r="CF511" s="10"/>
      <c r="CI511" s="389"/>
      <c r="CJ511" s="389"/>
      <c r="CK511" s="68"/>
      <c r="CL511" s="70"/>
      <c r="CO511" s="10"/>
      <c r="CU511" s="10"/>
      <c r="DA511" s="10"/>
      <c r="DB511" s="70"/>
      <c r="DC511" s="70"/>
      <c r="DF511" s="68"/>
      <c r="DG511" s="70"/>
      <c r="DH511" s="68"/>
      <c r="DI511" s="386"/>
      <c r="DJ511" s="425"/>
      <c r="DL511" s="68"/>
      <c r="DM511" s="70"/>
      <c r="DQ511" s="68"/>
      <c r="DR511" s="70"/>
      <c r="DS511" s="338"/>
      <c r="DT511" s="338"/>
      <c r="DU511" s="338"/>
      <c r="DW511" s="338"/>
      <c r="DX511" s="338"/>
      <c r="DY511" s="338"/>
      <c r="EA511" s="338"/>
      <c r="EB511" s="338"/>
      <c r="EC511" s="338"/>
      <c r="EE511" s="338"/>
      <c r="EF511" s="338"/>
      <c r="EG511" s="338"/>
      <c r="EI511" s="336"/>
      <c r="EJ511" s="336"/>
      <c r="EK511" s="336"/>
      <c r="EL511" s="336"/>
      <c r="EM511" s="336"/>
      <c r="EN511" s="336"/>
      <c r="EO511" s="337"/>
      <c r="EP511" s="342"/>
      <c r="EQ511" s="336"/>
      <c r="ER511" s="342"/>
      <c r="ES511" s="336"/>
      <c r="ET511" s="342"/>
      <c r="EU511" s="336"/>
      <c r="EV511" s="342"/>
      <c r="EW511" s="336"/>
      <c r="EX511" s="342"/>
      <c r="EY511" s="342"/>
      <c r="EZ511" s="342"/>
      <c r="FA511" s="337"/>
      <c r="FE511" s="338"/>
      <c r="FH511" s="338"/>
      <c r="FI511" s="338"/>
      <c r="FJ511" s="338"/>
      <c r="FK511" s="338"/>
      <c r="FL511" s="338"/>
      <c r="FM511" s="337"/>
      <c r="FN511" s="336"/>
      <c r="FO511" s="336"/>
      <c r="FP511" s="336"/>
      <c r="FQ511" s="336"/>
      <c r="FR511" s="336"/>
      <c r="FS511" s="336"/>
      <c r="FT511" s="336"/>
      <c r="FU511" s="336"/>
      <c r="FV511" s="336"/>
      <c r="FW511" s="337"/>
      <c r="FX511" s="532"/>
      <c r="FY511" s="341"/>
      <c r="FZ511" s="341"/>
      <c r="GA511" s="336"/>
      <c r="GB511" s="341"/>
      <c r="GC511" s="341"/>
      <c r="GD511" s="341"/>
      <c r="GE511" s="336"/>
      <c r="GF511" s="336"/>
      <c r="GG511" s="336"/>
      <c r="GH511" s="336"/>
      <c r="GI511" s="336"/>
      <c r="GJ511" s="337"/>
      <c r="GM511" s="338"/>
      <c r="GN511" s="338"/>
      <c r="GO511" s="338"/>
      <c r="GS511" s="338"/>
      <c r="GT511" s="338"/>
      <c r="GU511" s="338"/>
      <c r="GY511" s="338"/>
      <c r="GZ511" s="338"/>
      <c r="HA511" s="338"/>
      <c r="HE511" s="338"/>
      <c r="HF511" s="338"/>
      <c r="HG511" s="338"/>
      <c r="HN511" s="68"/>
      <c r="HO511" s="68"/>
      <c r="HP511" s="68"/>
      <c r="HQ511" s="336"/>
      <c r="HR511" s="68"/>
      <c r="HS511" s="68"/>
      <c r="HT511" s="10"/>
      <c r="HW511" s="338"/>
      <c r="HX511" s="338"/>
      <c r="HY511" s="338"/>
      <c r="IC511" s="338"/>
      <c r="ID511" s="338"/>
      <c r="IE511" s="338"/>
      <c r="II511" s="338"/>
      <c r="IJ511" s="338"/>
      <c r="IK511" s="338"/>
      <c r="IO511" s="338"/>
      <c r="IP511" s="338"/>
      <c r="IQ511" s="338"/>
      <c r="IX511" s="68"/>
      <c r="IY511" s="68"/>
      <c r="IZ511" s="68"/>
      <c r="JA511" s="68"/>
      <c r="JB511" s="68"/>
      <c r="JC511" s="68"/>
      <c r="JD511" s="10"/>
      <c r="JG511" s="338"/>
      <c r="JH511" s="338"/>
      <c r="JI511" s="338"/>
      <c r="JM511" s="338"/>
      <c r="JN511" s="338"/>
      <c r="JQ511" s="338"/>
      <c r="JR511" s="338"/>
      <c r="JS511" s="338"/>
      <c r="JW511" s="358"/>
      <c r="JX511" s="336"/>
      <c r="JY511" s="336"/>
      <c r="JZ511" s="336"/>
      <c r="KA511" s="336"/>
      <c r="KB511" s="336"/>
      <c r="KC511" s="336"/>
      <c r="KD511" s="336"/>
      <c r="KE511" s="336"/>
      <c r="KF511" s="336"/>
      <c r="KG511" s="337"/>
      <c r="KH511" s="338"/>
      <c r="KI511" s="338"/>
      <c r="KJ511" s="338"/>
      <c r="KK511" s="338"/>
      <c r="KL511" s="338"/>
      <c r="KM511" s="338"/>
      <c r="KN511" s="338"/>
      <c r="KO511" s="338"/>
      <c r="KP511" s="338"/>
      <c r="KQ511" s="338"/>
      <c r="KR511" s="338"/>
      <c r="KS511" s="338"/>
      <c r="KT511" s="338"/>
      <c r="KU511" s="338"/>
      <c r="KV511" s="338"/>
      <c r="KW511" s="337"/>
      <c r="KX511" s="336"/>
      <c r="KY511" s="336"/>
      <c r="KZ511" s="336"/>
      <c r="LA511" s="336"/>
      <c r="LB511" s="336"/>
      <c r="LC511" s="336"/>
      <c r="LD511" s="336"/>
      <c r="LE511" s="336"/>
      <c r="LF511" s="336"/>
      <c r="LG511" s="336"/>
      <c r="LH511" s="336"/>
      <c r="LI511" s="336"/>
      <c r="LJ511" s="336"/>
      <c r="LK511" s="336"/>
      <c r="LL511" s="336"/>
      <c r="LM511" s="336"/>
      <c r="LN511" s="336"/>
      <c r="LO511" s="336"/>
      <c r="LP511" s="336"/>
      <c r="LQ511" s="337"/>
      <c r="MN511" s="10"/>
      <c r="OA511" s="10"/>
    </row>
    <row r="512" spans="1:391" s="370" customFormat="1" x14ac:dyDescent="0.25">
      <c r="A512" s="68"/>
      <c r="B512" s="10"/>
      <c r="C512" s="68"/>
      <c r="D512" s="68"/>
      <c r="E512" s="68"/>
      <c r="F512" s="68"/>
      <c r="G512" s="68"/>
      <c r="H512" s="68"/>
      <c r="I512" s="68"/>
      <c r="J512" s="68"/>
      <c r="K512" s="68"/>
      <c r="L512" s="68"/>
      <c r="M512" s="68"/>
      <c r="N512" s="68"/>
      <c r="O512" s="68"/>
      <c r="P512" s="68"/>
      <c r="Q512" s="68"/>
      <c r="R512" s="68"/>
      <c r="S512" s="68"/>
      <c r="T512" s="70"/>
      <c r="AC512" s="68"/>
      <c r="AD512" s="70"/>
      <c r="AM512" s="68"/>
      <c r="AN512" s="70"/>
      <c r="AU512" s="68"/>
      <c r="AV512" s="70"/>
      <c r="BB512" s="68"/>
      <c r="BC512" s="70"/>
      <c r="BD512" s="68"/>
      <c r="BE512" s="68"/>
      <c r="BF512" s="68"/>
      <c r="BG512" s="68"/>
      <c r="BH512" s="68"/>
      <c r="BI512" s="68"/>
      <c r="BJ512" s="70"/>
      <c r="BM512" s="68"/>
      <c r="BN512" s="70"/>
      <c r="BT512" s="68"/>
      <c r="BU512" s="70"/>
      <c r="BZ512" s="10"/>
      <c r="CF512" s="10"/>
      <c r="CI512" s="389"/>
      <c r="CJ512" s="389"/>
      <c r="CK512" s="68"/>
      <c r="CL512" s="70"/>
      <c r="CO512" s="10"/>
      <c r="CU512" s="10"/>
      <c r="DA512" s="10"/>
      <c r="DB512" s="70"/>
      <c r="DC512" s="70"/>
      <c r="DF512" s="68"/>
      <c r="DG512" s="70"/>
      <c r="DH512" s="68"/>
      <c r="DI512" s="386"/>
      <c r="DJ512" s="425"/>
      <c r="DL512" s="68"/>
      <c r="DM512" s="70"/>
      <c r="DQ512" s="68"/>
      <c r="DR512" s="70"/>
      <c r="DS512" s="338"/>
      <c r="DT512" s="338"/>
      <c r="DU512" s="338"/>
      <c r="DW512" s="338"/>
      <c r="DX512" s="338"/>
      <c r="DY512" s="338"/>
      <c r="EA512" s="338"/>
      <c r="EB512" s="338"/>
      <c r="EC512" s="338"/>
      <c r="EE512" s="338"/>
      <c r="EF512" s="338"/>
      <c r="EG512" s="338"/>
      <c r="EI512" s="336"/>
      <c r="EJ512" s="336"/>
      <c r="EK512" s="336"/>
      <c r="EL512" s="336"/>
      <c r="EM512" s="336"/>
      <c r="EN512" s="336"/>
      <c r="EO512" s="337"/>
      <c r="EP512" s="342"/>
      <c r="EQ512" s="336"/>
      <c r="ER512" s="342"/>
      <c r="ES512" s="336"/>
      <c r="ET512" s="342"/>
      <c r="EU512" s="336"/>
      <c r="EV512" s="342"/>
      <c r="EW512" s="336"/>
      <c r="EX512" s="342"/>
      <c r="EY512" s="342"/>
      <c r="EZ512" s="342"/>
      <c r="FA512" s="337"/>
      <c r="FE512" s="338"/>
      <c r="FH512" s="338"/>
      <c r="FI512" s="338"/>
      <c r="FJ512" s="338"/>
      <c r="FK512" s="338"/>
      <c r="FL512" s="338"/>
      <c r="FM512" s="337"/>
      <c r="FN512" s="336"/>
      <c r="FO512" s="336"/>
      <c r="FP512" s="336"/>
      <c r="FQ512" s="336"/>
      <c r="FR512" s="336"/>
      <c r="FS512" s="336"/>
      <c r="FT512" s="336"/>
      <c r="FU512" s="336"/>
      <c r="FV512" s="336"/>
      <c r="FW512" s="337"/>
      <c r="FX512" s="532"/>
      <c r="FY512" s="341"/>
      <c r="FZ512" s="341"/>
      <c r="GA512" s="336"/>
      <c r="GB512" s="341"/>
      <c r="GC512" s="341"/>
      <c r="GD512" s="341"/>
      <c r="GE512" s="336"/>
      <c r="GF512" s="336"/>
      <c r="GG512" s="336"/>
      <c r="GH512" s="336"/>
      <c r="GI512" s="336"/>
      <c r="GJ512" s="337"/>
      <c r="GM512" s="338"/>
      <c r="GN512" s="338"/>
      <c r="GO512" s="338"/>
      <c r="GS512" s="338"/>
      <c r="GT512" s="338"/>
      <c r="GU512" s="338"/>
      <c r="GY512" s="338"/>
      <c r="GZ512" s="338"/>
      <c r="HA512" s="338"/>
      <c r="HE512" s="338"/>
      <c r="HF512" s="338"/>
      <c r="HG512" s="338"/>
      <c r="HN512" s="68"/>
      <c r="HO512" s="68"/>
      <c r="HP512" s="68"/>
      <c r="HQ512" s="336"/>
      <c r="HR512" s="68"/>
      <c r="HS512" s="68"/>
      <c r="HT512" s="10"/>
      <c r="HW512" s="338"/>
      <c r="HX512" s="338"/>
      <c r="HY512" s="338"/>
      <c r="IC512" s="338"/>
      <c r="ID512" s="338"/>
      <c r="IE512" s="338"/>
      <c r="II512" s="338"/>
      <c r="IJ512" s="338"/>
      <c r="IK512" s="338"/>
      <c r="IO512" s="338"/>
      <c r="IP512" s="338"/>
      <c r="IQ512" s="338"/>
      <c r="IX512" s="68"/>
      <c r="IY512" s="68"/>
      <c r="IZ512" s="68"/>
      <c r="JA512" s="68"/>
      <c r="JB512" s="68"/>
      <c r="JC512" s="68"/>
      <c r="JD512" s="10"/>
      <c r="JG512" s="338"/>
      <c r="JH512" s="338"/>
      <c r="JI512" s="338"/>
      <c r="JM512" s="338"/>
      <c r="JN512" s="338"/>
      <c r="JQ512" s="338"/>
      <c r="JR512" s="338"/>
      <c r="JS512" s="338"/>
      <c r="JW512" s="358"/>
      <c r="JX512" s="336"/>
      <c r="JY512" s="336"/>
      <c r="JZ512" s="336"/>
      <c r="KA512" s="336"/>
      <c r="KB512" s="336"/>
      <c r="KC512" s="336"/>
      <c r="KD512" s="336"/>
      <c r="KE512" s="336"/>
      <c r="KF512" s="336"/>
      <c r="KG512" s="337"/>
      <c r="KH512" s="338"/>
      <c r="KI512" s="338"/>
      <c r="KJ512" s="338"/>
      <c r="KK512" s="338"/>
      <c r="KL512" s="338"/>
      <c r="KM512" s="338"/>
      <c r="KN512" s="338"/>
      <c r="KO512" s="338"/>
      <c r="KP512" s="338"/>
      <c r="KQ512" s="338"/>
      <c r="KR512" s="338"/>
      <c r="KS512" s="338"/>
      <c r="KT512" s="338"/>
      <c r="KU512" s="338"/>
      <c r="KV512" s="338"/>
      <c r="KW512" s="337"/>
      <c r="KX512" s="336"/>
      <c r="KY512" s="336"/>
      <c r="KZ512" s="336"/>
      <c r="LA512" s="336"/>
      <c r="LB512" s="336"/>
      <c r="LC512" s="336"/>
      <c r="LD512" s="336"/>
      <c r="LE512" s="336"/>
      <c r="LF512" s="336"/>
      <c r="LG512" s="336"/>
      <c r="LH512" s="336"/>
      <c r="LI512" s="336"/>
      <c r="LJ512" s="336"/>
      <c r="LK512" s="336"/>
      <c r="LL512" s="336"/>
      <c r="LM512" s="336"/>
      <c r="LN512" s="336"/>
      <c r="LO512" s="336"/>
      <c r="LP512" s="336"/>
      <c r="LQ512" s="337"/>
      <c r="MN512" s="10"/>
      <c r="OA512" s="10"/>
    </row>
  </sheetData>
  <sortState ref="A6:IX48">
    <sortCondition ref="B6:B48"/>
  </sortState>
  <mergeCells count="45">
    <mergeCell ref="DG4:DH4"/>
    <mergeCell ref="IG4:IL4"/>
    <mergeCell ref="FX4:GJ4"/>
    <mergeCell ref="FN4:FW4"/>
    <mergeCell ref="HO4:HT4"/>
    <mergeCell ref="DR4:EI4"/>
    <mergeCell ref="FB4:FM4"/>
    <mergeCell ref="T4:AC4"/>
    <mergeCell ref="AD4:AM4"/>
    <mergeCell ref="AN4:AU4"/>
    <mergeCell ref="AV4:BB4"/>
    <mergeCell ref="BJ4:BM4"/>
    <mergeCell ref="BC4:BI4"/>
    <mergeCell ref="JY4:KG4"/>
    <mergeCell ref="IY4:JD4"/>
    <mergeCell ref="DB2:DB4"/>
    <mergeCell ref="BN4:BT4"/>
    <mergeCell ref="BU4:BZ4"/>
    <mergeCell ref="CA4:CF4"/>
    <mergeCell ref="CG4:CK4"/>
    <mergeCell ref="CL4:CO4"/>
    <mergeCell ref="CP4:CU4"/>
    <mergeCell ref="CV4:DA4"/>
    <mergeCell ref="DC4:DF4"/>
    <mergeCell ref="EP4:FA4"/>
    <mergeCell ref="IM4:IR4"/>
    <mergeCell ref="IS4:IX4"/>
    <mergeCell ref="DK4:DL4"/>
    <mergeCell ref="DM4:DQ4"/>
    <mergeCell ref="KX4:LQ4"/>
    <mergeCell ref="MO4:OA4"/>
    <mergeCell ref="KH4:KW4"/>
    <mergeCell ref="LR4:MN4"/>
    <mergeCell ref="GK3:HN3"/>
    <mergeCell ref="JE4:JN4"/>
    <mergeCell ref="JO4:JX4"/>
    <mergeCell ref="HU3:IX3"/>
    <mergeCell ref="GK4:GP4"/>
    <mergeCell ref="GQ4:GV4"/>
    <mergeCell ref="GW4:HB4"/>
    <mergeCell ref="HC4:HH4"/>
    <mergeCell ref="HI4:HN4"/>
    <mergeCell ref="HU4:HZ4"/>
    <mergeCell ref="IA4:IF4"/>
    <mergeCell ref="JE3:KG3"/>
  </mergeCells>
  <hyperlinks>
    <hyperlink ref="S13" r:id="rId1"/>
    <hyperlink ref="S14" r:id="rId2"/>
    <hyperlink ref="S16" r:id="rId3"/>
    <hyperlink ref="S22" r:id="rId4"/>
    <hyperlink ref="S23" r:id="rId5"/>
    <hyperlink ref="S24" r:id="rId6"/>
    <hyperlink ref="S25" r:id="rId7"/>
    <hyperlink ref="S26" r:id="rId8"/>
    <hyperlink ref="S27" r:id="rId9"/>
    <hyperlink ref="S10" r:id="rId10"/>
    <hyperlink ref="S11" r:id="rId11"/>
    <hyperlink ref="S12" r:id="rId12"/>
    <hyperlink ref="S6" r:id="rId13"/>
    <hyperlink ref="S7" r:id="rId14"/>
    <hyperlink ref="S9" r:id="rId15"/>
    <hyperlink ref="S15" r:id="rId16"/>
    <hyperlink ref="S17" r:id="rId17"/>
    <hyperlink ref="S32" r:id="rId18"/>
    <hyperlink ref="S18" r:id="rId19"/>
    <hyperlink ref="S19" r:id="rId20"/>
    <hyperlink ref="S30" r:id="rId21"/>
    <hyperlink ref="S20" r:id="rId22"/>
    <hyperlink ref="S45" r:id="rId23"/>
    <hyperlink ref="S44" r:id="rId24"/>
    <hyperlink ref="S47" r:id="rId25"/>
    <hyperlink ref="S43" r:id="rId26"/>
    <hyperlink ref="S41" r:id="rId27"/>
    <hyperlink ref="S40" r:id="rId28"/>
    <hyperlink ref="S39" r:id="rId29"/>
    <hyperlink ref="S38" r:id="rId30"/>
    <hyperlink ref="S36" r:id="rId31"/>
    <hyperlink ref="S46" r:id="rId32"/>
    <hyperlink ref="S48" r:id="rId33"/>
  </hyperlinks>
  <pageMargins left="0.7" right="0.7" top="0.75" bottom="0.75" header="0.3" footer="0.3"/>
  <pageSetup paperSize="9" orientation="portrait" r:id="rId34"/>
  <ignoredErrors>
    <ignoredError sqref="HO80:HP80 HO81:HO83 HO79:HP79 HP82:HP83" formulaRange="1"/>
  </ignoredErrors>
  <legacyDrawing r:id="rId3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17"/>
  <sheetViews>
    <sheetView workbookViewId="0">
      <selection activeCell="J27" sqref="J27"/>
    </sheetView>
  </sheetViews>
  <sheetFormatPr defaultRowHeight="15" x14ac:dyDescent="0.25"/>
  <cols>
    <col min="1" max="16384" width="8.796875" style="2"/>
  </cols>
  <sheetData>
    <row r="1" spans="1:2" s="28" customFormat="1" x14ac:dyDescent="0.25">
      <c r="A1" s="28" t="s">
        <v>98</v>
      </c>
      <c r="B1" s="28" t="s">
        <v>97</v>
      </c>
    </row>
    <row r="2" spans="1:2" x14ac:dyDescent="0.25">
      <c r="A2" s="2" t="s">
        <v>96</v>
      </c>
      <c r="B2" s="2" t="s">
        <v>102</v>
      </c>
    </row>
    <row r="3" spans="1:2" x14ac:dyDescent="0.25">
      <c r="A3" s="2" t="s">
        <v>101</v>
      </c>
      <c r="B3" s="2" t="s">
        <v>100</v>
      </c>
    </row>
    <row r="4" spans="1:2" x14ac:dyDescent="0.25">
      <c r="A4" s="2" t="s">
        <v>103</v>
      </c>
      <c r="B4" s="2" t="s">
        <v>99</v>
      </c>
    </row>
    <row r="5" spans="1:2" x14ac:dyDescent="0.25">
      <c r="A5" s="2" t="s">
        <v>281</v>
      </c>
      <c r="B5" s="2" t="s">
        <v>282</v>
      </c>
    </row>
    <row r="6" spans="1:2" x14ac:dyDescent="0.25">
      <c r="A6" s="2" t="s">
        <v>319</v>
      </c>
    </row>
    <row r="7" spans="1:2" x14ac:dyDescent="0.25">
      <c r="A7" s="2" t="s">
        <v>320</v>
      </c>
    </row>
    <row r="8" spans="1:2" x14ac:dyDescent="0.25">
      <c r="A8" s="2" t="s">
        <v>321</v>
      </c>
    </row>
    <row r="9" spans="1:2" x14ac:dyDescent="0.25">
      <c r="A9" s="2" t="s">
        <v>322</v>
      </c>
    </row>
    <row r="10" spans="1:2" x14ac:dyDescent="0.25">
      <c r="A10" s="2" t="s">
        <v>323</v>
      </c>
    </row>
    <row r="11" spans="1:2" x14ac:dyDescent="0.25">
      <c r="A11" s="2" t="s">
        <v>443</v>
      </c>
      <c r="B11" s="2" t="s">
        <v>444</v>
      </c>
    </row>
    <row r="12" spans="1:2" x14ac:dyDescent="0.25">
      <c r="A12" s="2" t="s">
        <v>463</v>
      </c>
    </row>
    <row r="13" spans="1:2" x14ac:dyDescent="0.25">
      <c r="A13" s="2" t="s">
        <v>484</v>
      </c>
    </row>
    <row r="14" spans="1:2" x14ac:dyDescent="0.25">
      <c r="A14" s="2" t="s">
        <v>491</v>
      </c>
    </row>
    <row r="15" spans="1:2" x14ac:dyDescent="0.25">
      <c r="A15" s="2" t="s">
        <v>569</v>
      </c>
      <c r="B15" s="2" t="s">
        <v>656</v>
      </c>
    </row>
    <row r="16" spans="1:2" x14ac:dyDescent="0.25">
      <c r="A16" s="2" t="s">
        <v>668</v>
      </c>
      <c r="B16" s="2" t="s">
        <v>669</v>
      </c>
    </row>
    <row r="17" spans="1:1" x14ac:dyDescent="0.25">
      <c r="A17" s="2" t="s">
        <v>733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M15"/>
  <sheetViews>
    <sheetView topLeftCell="Y1" zoomScale="80" zoomScaleNormal="80" workbookViewId="0">
      <selection activeCell="AH4" sqref="AH4:AW13"/>
    </sheetView>
  </sheetViews>
  <sheetFormatPr defaultRowHeight="14.25" x14ac:dyDescent="0.2"/>
  <cols>
    <col min="1" max="1" width="10.5" bestFit="1" customWidth="1"/>
    <col min="2" max="3" width="9.3984375" bestFit="1" customWidth="1"/>
    <col min="28" max="33" width="8.8984375" bestFit="1" customWidth="1"/>
    <col min="34" max="34" width="9.3984375" bestFit="1" customWidth="1"/>
    <col min="35" max="37" width="8.8984375" bestFit="1" customWidth="1"/>
    <col min="38" max="38" width="10.3984375" bestFit="1" customWidth="1"/>
  </cols>
  <sheetData>
    <row r="1" spans="1:65" x14ac:dyDescent="0.2">
      <c r="A1">
        <v>4</v>
      </c>
      <c r="B1">
        <v>3</v>
      </c>
    </row>
    <row r="2" spans="1:65" x14ac:dyDescent="0.2">
      <c r="B2" s="1190" t="s">
        <v>437</v>
      </c>
      <c r="C2" s="1190"/>
      <c r="D2" s="1190"/>
      <c r="E2" s="1190"/>
      <c r="F2" s="1190"/>
      <c r="G2" s="1190"/>
      <c r="H2" s="1190"/>
      <c r="I2" s="1190"/>
      <c r="J2" s="1190"/>
      <c r="K2" s="1190"/>
      <c r="L2" s="1190"/>
      <c r="M2" s="1190"/>
      <c r="N2" s="1190"/>
      <c r="O2" s="1190"/>
      <c r="P2" s="1190"/>
      <c r="Q2" s="1190"/>
      <c r="R2" s="1190" t="s">
        <v>419</v>
      </c>
      <c r="S2" s="1190"/>
      <c r="T2" s="1190"/>
      <c r="U2" s="1190"/>
      <c r="V2" s="1190"/>
      <c r="W2" s="1190"/>
      <c r="X2" s="1190"/>
      <c r="Y2" s="1190"/>
      <c r="Z2" s="1190"/>
      <c r="AA2" s="1190"/>
      <c r="AB2" s="1190"/>
      <c r="AC2" s="1190"/>
      <c r="AD2" s="1190"/>
      <c r="AE2" s="1190"/>
      <c r="AF2" s="1190"/>
      <c r="AG2" s="1190"/>
      <c r="AH2" s="1190" t="s">
        <v>420</v>
      </c>
      <c r="AI2" s="1190"/>
      <c r="AJ2" s="1190"/>
      <c r="AK2" s="1190"/>
      <c r="AL2" s="1190"/>
      <c r="AM2" s="1190"/>
      <c r="AN2" s="1190"/>
      <c r="AO2" s="1190"/>
      <c r="AP2" s="1190"/>
      <c r="AQ2" s="1190"/>
      <c r="AR2" s="1190"/>
      <c r="AS2" s="1190"/>
      <c r="AT2" s="1190"/>
      <c r="AU2" s="1190"/>
      <c r="AV2" s="1190"/>
      <c r="AW2" s="1190"/>
      <c r="AX2" s="1190" t="s">
        <v>438</v>
      </c>
      <c r="AY2" s="1190"/>
      <c r="AZ2" s="1190"/>
      <c r="BA2" s="1190"/>
      <c r="BB2" s="1190"/>
      <c r="BC2" s="1190"/>
      <c r="BD2" s="1190"/>
      <c r="BE2" s="1190"/>
      <c r="BF2" s="1190"/>
      <c r="BG2" s="1190"/>
      <c r="BH2" s="1190"/>
      <c r="BI2" s="1190"/>
      <c r="BJ2" s="1190"/>
      <c r="BK2" s="1190"/>
      <c r="BL2" s="1190"/>
      <c r="BM2" s="1190"/>
    </row>
    <row r="3" spans="1:65" x14ac:dyDescent="0.2">
      <c r="A3" s="80"/>
      <c r="B3" s="80" t="s">
        <v>421</v>
      </c>
      <c r="C3" s="80" t="s">
        <v>422</v>
      </c>
      <c r="D3" s="80" t="s">
        <v>423</v>
      </c>
      <c r="E3" s="80" t="s">
        <v>424</v>
      </c>
      <c r="F3" s="80" t="s">
        <v>425</v>
      </c>
      <c r="G3" s="80" t="s">
        <v>426</v>
      </c>
      <c r="H3" s="80" t="s">
        <v>427</v>
      </c>
      <c r="I3" s="80" t="s">
        <v>428</v>
      </c>
      <c r="J3" s="80" t="s">
        <v>429</v>
      </c>
      <c r="K3" s="80" t="s">
        <v>430</v>
      </c>
      <c r="L3" s="80" t="s">
        <v>431</v>
      </c>
      <c r="M3" s="80" t="s">
        <v>432</v>
      </c>
      <c r="N3" s="80" t="s">
        <v>433</v>
      </c>
      <c r="O3" s="80" t="s">
        <v>434</v>
      </c>
      <c r="P3" s="80" t="s">
        <v>435</v>
      </c>
      <c r="Q3" s="80" t="s">
        <v>436</v>
      </c>
      <c r="R3" s="80" t="s">
        <v>421</v>
      </c>
      <c r="S3" s="80" t="s">
        <v>422</v>
      </c>
      <c r="T3" s="80" t="s">
        <v>423</v>
      </c>
      <c r="U3" s="80" t="s">
        <v>424</v>
      </c>
      <c r="V3" s="80" t="s">
        <v>425</v>
      </c>
      <c r="W3" s="80" t="s">
        <v>426</v>
      </c>
      <c r="X3" s="80" t="s">
        <v>427</v>
      </c>
      <c r="Y3" s="80" t="s">
        <v>428</v>
      </c>
      <c r="Z3" s="80" t="s">
        <v>429</v>
      </c>
      <c r="AA3" s="80" t="s">
        <v>430</v>
      </c>
      <c r="AB3" s="80" t="s">
        <v>431</v>
      </c>
      <c r="AC3" s="80" t="s">
        <v>432</v>
      </c>
      <c r="AD3" s="80" t="s">
        <v>433</v>
      </c>
      <c r="AE3" s="80" t="s">
        <v>434</v>
      </c>
      <c r="AF3" s="80" t="s">
        <v>435</v>
      </c>
      <c r="AG3" s="80" t="s">
        <v>436</v>
      </c>
      <c r="AH3" s="80" t="s">
        <v>421</v>
      </c>
      <c r="AI3" s="80" t="s">
        <v>422</v>
      </c>
      <c r="AJ3" s="80" t="s">
        <v>423</v>
      </c>
      <c r="AK3" s="80" t="s">
        <v>424</v>
      </c>
      <c r="AL3" s="80" t="s">
        <v>425</v>
      </c>
      <c r="AM3" s="80" t="s">
        <v>426</v>
      </c>
      <c r="AN3" s="80" t="s">
        <v>427</v>
      </c>
      <c r="AO3" s="80" t="s">
        <v>428</v>
      </c>
      <c r="AP3" s="80" t="s">
        <v>429</v>
      </c>
      <c r="AQ3" s="80" t="s">
        <v>430</v>
      </c>
      <c r="AR3" s="80" t="s">
        <v>431</v>
      </c>
      <c r="AS3" s="80" t="s">
        <v>432</v>
      </c>
      <c r="AT3" s="80" t="s">
        <v>433</v>
      </c>
      <c r="AU3" s="80" t="s">
        <v>434</v>
      </c>
      <c r="AV3" s="80" t="s">
        <v>435</v>
      </c>
      <c r="AW3" s="80" t="s">
        <v>436</v>
      </c>
      <c r="AX3" s="80" t="s">
        <v>421</v>
      </c>
      <c r="AY3" s="80" t="s">
        <v>422</v>
      </c>
      <c r="AZ3" s="80" t="s">
        <v>423</v>
      </c>
      <c r="BA3" s="80" t="s">
        <v>424</v>
      </c>
      <c r="BB3" s="80" t="s">
        <v>425</v>
      </c>
      <c r="BC3" s="80" t="s">
        <v>426</v>
      </c>
      <c r="BD3" s="80" t="s">
        <v>427</v>
      </c>
      <c r="BE3" s="80" t="s">
        <v>428</v>
      </c>
      <c r="BF3" s="80" t="s">
        <v>429</v>
      </c>
      <c r="BG3" s="80" t="s">
        <v>430</v>
      </c>
      <c r="BH3" s="80" t="s">
        <v>431</v>
      </c>
      <c r="BI3" s="80" t="s">
        <v>432</v>
      </c>
      <c r="BJ3" s="80" t="s">
        <v>433</v>
      </c>
      <c r="BK3" s="80" t="s">
        <v>434</v>
      </c>
      <c r="BL3" s="80" t="s">
        <v>435</v>
      </c>
      <c r="BM3" s="80" t="s">
        <v>436</v>
      </c>
    </row>
    <row r="4" spans="1:65" x14ac:dyDescent="0.2">
      <c r="A4" s="83" t="s">
        <v>399</v>
      </c>
      <c r="B4" s="81">
        <v>38.702928870292901</v>
      </c>
      <c r="C4" s="81">
        <v>38.144329896907202</v>
      </c>
      <c r="D4" s="81">
        <v>40.598290598290603</v>
      </c>
      <c r="E4" s="81">
        <v>37.305699481865297</v>
      </c>
      <c r="F4" s="81">
        <v>36.489151873767298</v>
      </c>
      <c r="G4" s="81">
        <v>27.649769585253502</v>
      </c>
      <c r="H4" s="81">
        <v>39.963669391462297</v>
      </c>
      <c r="I4" s="81">
        <v>41.519434628975297</v>
      </c>
      <c r="J4" s="81">
        <v>39.180765805877101</v>
      </c>
      <c r="K4" s="81">
        <v>36.020583190394497</v>
      </c>
      <c r="L4" s="81">
        <v>28.795811518324602</v>
      </c>
      <c r="M4" s="81">
        <v>40.036396724294796</v>
      </c>
      <c r="N4" s="81">
        <v>27.5229357798165</v>
      </c>
      <c r="O4" s="81">
        <v>31.954887218045101</v>
      </c>
      <c r="P4" s="81">
        <v>32.567049808429097</v>
      </c>
      <c r="Q4" s="81">
        <v>33.932135728542903</v>
      </c>
      <c r="R4" s="81">
        <v>27.250433647600399</v>
      </c>
      <c r="S4" s="81">
        <v>26.857128419696899</v>
      </c>
      <c r="T4" s="81">
        <v>28.729766714953101</v>
      </c>
      <c r="U4" s="81">
        <v>26.128453282191899</v>
      </c>
      <c r="V4" s="81">
        <v>25.691730342313601</v>
      </c>
      <c r="W4" s="81">
        <v>18.655183429880999</v>
      </c>
      <c r="X4" s="81">
        <v>29.037663358895799</v>
      </c>
      <c r="Y4" s="81">
        <v>30.5069188754998</v>
      </c>
      <c r="Z4" s="81">
        <v>28.4688044150884</v>
      </c>
      <c r="AA4" s="81">
        <v>25.9604680381455</v>
      </c>
      <c r="AB4" s="81">
        <v>19.8217116690487</v>
      </c>
      <c r="AC4" s="81">
        <v>29.090507150267801</v>
      </c>
      <c r="AD4" s="81">
        <v>18.569609193964101</v>
      </c>
      <c r="AE4" s="81">
        <v>22.1296883313649</v>
      </c>
      <c r="AF4" s="81">
        <v>22.5536287208547</v>
      </c>
      <c r="AG4" s="81">
        <v>23.498990403764701</v>
      </c>
      <c r="AH4" s="81">
        <v>53.346889269802098</v>
      </c>
      <c r="AI4" s="81">
        <v>52.576934166938997</v>
      </c>
      <c r="AJ4" s="81">
        <v>55.724325768439797</v>
      </c>
      <c r="AK4" s="81">
        <v>51.6468129422137</v>
      </c>
      <c r="AL4" s="81">
        <v>50.295489291845001</v>
      </c>
      <c r="AM4" s="81">
        <v>39.471765340836598</v>
      </c>
      <c r="AN4" s="81">
        <v>53.649360835883499</v>
      </c>
      <c r="AO4" s="81">
        <v>55.2120462373206</v>
      </c>
      <c r="AP4" s="81">
        <v>52.598349314610601</v>
      </c>
      <c r="AQ4" s="81">
        <v>48.689364304022902</v>
      </c>
      <c r="AR4" s="81">
        <v>40.440025540287301</v>
      </c>
      <c r="AS4" s="81">
        <v>53.746993885630303</v>
      </c>
      <c r="AT4" s="81">
        <v>39.290702197071298</v>
      </c>
      <c r="AU4" s="81">
        <v>44.653751969175801</v>
      </c>
      <c r="AV4" s="81">
        <v>45.509187830654298</v>
      </c>
      <c r="AW4" s="81">
        <v>47.416758578047002</v>
      </c>
      <c r="AX4" s="80">
        <v>37</v>
      </c>
      <c r="AY4" s="80">
        <v>37</v>
      </c>
      <c r="AZ4" s="80">
        <v>38</v>
      </c>
      <c r="BA4" s="80">
        <v>36</v>
      </c>
      <c r="BB4" s="80">
        <v>37</v>
      </c>
      <c r="BC4" s="80">
        <v>30</v>
      </c>
      <c r="BD4" s="80">
        <v>44</v>
      </c>
      <c r="BE4" s="80">
        <v>47</v>
      </c>
      <c r="BF4" s="80">
        <v>44</v>
      </c>
      <c r="BG4" s="80">
        <v>42</v>
      </c>
      <c r="BH4" s="80">
        <v>33</v>
      </c>
      <c r="BI4" s="80">
        <v>44</v>
      </c>
      <c r="BJ4" s="80">
        <v>30</v>
      </c>
      <c r="BK4" s="80">
        <v>34</v>
      </c>
      <c r="BL4" s="80">
        <v>34</v>
      </c>
      <c r="BM4" s="80">
        <v>34</v>
      </c>
    </row>
    <row r="5" spans="1:65" x14ac:dyDescent="0.2">
      <c r="A5" s="83" t="s">
        <v>83</v>
      </c>
      <c r="B5" s="81">
        <v>46.131667467563702</v>
      </c>
      <c r="C5" s="81">
        <v>36.891293654697499</v>
      </c>
      <c r="D5" s="81">
        <v>42.606516290726802</v>
      </c>
      <c r="E5" s="81">
        <v>43.158410985777302</v>
      </c>
      <c r="F5" s="81">
        <v>30.064754856614201</v>
      </c>
      <c r="G5" s="81">
        <v>32.909170688898598</v>
      </c>
      <c r="H5" s="81">
        <v>30.659386812263801</v>
      </c>
      <c r="I5" s="81">
        <v>35.173824130879296</v>
      </c>
      <c r="J5" s="81">
        <v>34.100246507806098</v>
      </c>
      <c r="K5" s="81">
        <v>33.9685169842585</v>
      </c>
      <c r="L5" s="81">
        <v>47.129391602399302</v>
      </c>
      <c r="M5" s="81">
        <v>29.5154185022026</v>
      </c>
      <c r="N5" s="81">
        <v>39.787798408488101</v>
      </c>
      <c r="O5" s="81">
        <v>32.537960954446902</v>
      </c>
      <c r="P5" s="81">
        <v>24.165202108963101</v>
      </c>
      <c r="Q5" s="81">
        <v>25.1433612704014</v>
      </c>
      <c r="R5" s="81">
        <v>37.366798757806102</v>
      </c>
      <c r="S5" s="81">
        <v>29.017342696237801</v>
      </c>
      <c r="T5" s="81">
        <v>34.032571932227803</v>
      </c>
      <c r="U5" s="81">
        <v>34.614307636634003</v>
      </c>
      <c r="V5" s="81">
        <v>23.2033430755015</v>
      </c>
      <c r="W5" s="81">
        <v>25.885150373607502</v>
      </c>
      <c r="X5" s="81">
        <v>24.032065066148299</v>
      </c>
      <c r="Y5" s="81">
        <v>28.1345191182699</v>
      </c>
      <c r="Z5" s="81">
        <v>27.160655997454</v>
      </c>
      <c r="AA5" s="81">
        <v>27.016169622164199</v>
      </c>
      <c r="AB5" s="81">
        <v>38.734628145842201</v>
      </c>
      <c r="AC5" s="81">
        <v>22.874043931806401</v>
      </c>
      <c r="AD5" s="81">
        <v>31.994088475289999</v>
      </c>
      <c r="AE5" s="81">
        <v>25.593170369393299</v>
      </c>
      <c r="AF5" s="81">
        <v>18.204537333672398</v>
      </c>
      <c r="AG5" s="81">
        <v>19.043336287130501</v>
      </c>
      <c r="AH5" s="81">
        <v>56.334661700782597</v>
      </c>
      <c r="AI5" s="81">
        <v>46.243556049597998</v>
      </c>
      <c r="AJ5" s="81">
        <v>52.683617202455601</v>
      </c>
      <c r="AK5" s="81">
        <v>53.172369417584299</v>
      </c>
      <c r="AL5" s="81">
        <v>38.319998064695497</v>
      </c>
      <c r="AM5" s="81">
        <v>41.251930429501002</v>
      </c>
      <c r="AN5" s="81">
        <v>38.549575885334498</v>
      </c>
      <c r="AO5" s="81">
        <v>43.439386659283102</v>
      </c>
      <c r="AP5" s="81">
        <v>42.272386112270397</v>
      </c>
      <c r="AQ5" s="81">
        <v>42.163886137559302</v>
      </c>
      <c r="AR5" s="81">
        <v>56.8036619652204</v>
      </c>
      <c r="AS5" s="81">
        <v>37.4835381620248</v>
      </c>
      <c r="AT5" s="81">
        <v>48.9059592351487</v>
      </c>
      <c r="AU5" s="81">
        <v>40.7866158129426</v>
      </c>
      <c r="AV5" s="81">
        <v>31.4543321511245</v>
      </c>
      <c r="AW5" s="81">
        <v>32.576140892352399</v>
      </c>
      <c r="AX5" s="80">
        <v>96</v>
      </c>
      <c r="AY5" s="80">
        <v>75</v>
      </c>
      <c r="AZ5" s="80">
        <v>85</v>
      </c>
      <c r="BA5" s="80">
        <v>88</v>
      </c>
      <c r="BB5" s="80">
        <v>65</v>
      </c>
      <c r="BC5" s="80">
        <v>75</v>
      </c>
      <c r="BD5" s="80">
        <v>73</v>
      </c>
      <c r="BE5" s="80">
        <v>86</v>
      </c>
      <c r="BF5" s="80">
        <v>83</v>
      </c>
      <c r="BG5" s="80">
        <v>82</v>
      </c>
      <c r="BH5" s="80">
        <v>110</v>
      </c>
      <c r="BI5" s="80">
        <v>67</v>
      </c>
      <c r="BJ5" s="80">
        <v>90</v>
      </c>
      <c r="BK5" s="80">
        <v>75</v>
      </c>
      <c r="BL5" s="80">
        <v>55</v>
      </c>
      <c r="BM5" s="80">
        <v>57</v>
      </c>
    </row>
    <row r="6" spans="1:65" x14ac:dyDescent="0.2">
      <c r="A6" s="83" t="s">
        <v>44</v>
      </c>
      <c r="B6" s="81">
        <v>31.464530892448501</v>
      </c>
      <c r="C6" s="81">
        <v>23.1615518239722</v>
      </c>
      <c r="D6" s="81">
        <v>25</v>
      </c>
      <c r="E6" s="81">
        <v>25.2293577981651</v>
      </c>
      <c r="F6" s="81">
        <v>16.8800931315483</v>
      </c>
      <c r="G6" s="81">
        <v>23.216308040770102</v>
      </c>
      <c r="H6" s="81">
        <v>26.849315068493201</v>
      </c>
      <c r="I6" s="81">
        <v>31.847133757961799</v>
      </c>
      <c r="J6" s="81">
        <v>20.144628099173602</v>
      </c>
      <c r="K6" s="81">
        <v>29.912325941206799</v>
      </c>
      <c r="L6" s="81">
        <v>33.437826541274802</v>
      </c>
      <c r="M6" s="81">
        <v>23.217247097844101</v>
      </c>
      <c r="N6" s="81">
        <v>23.282226007950001</v>
      </c>
      <c r="O6" s="81">
        <v>28.152492668621701</v>
      </c>
      <c r="P6" s="81">
        <v>24.769585253456199</v>
      </c>
      <c r="Q6" s="81">
        <v>14.0924464487035</v>
      </c>
      <c r="R6" s="81">
        <v>23.703390715925899</v>
      </c>
      <c r="S6" s="81">
        <v>16.546952195592901</v>
      </c>
      <c r="T6" s="81">
        <v>18.165038271672898</v>
      </c>
      <c r="U6" s="81">
        <v>18.331689998936</v>
      </c>
      <c r="V6" s="81">
        <v>11.304863293101199</v>
      </c>
      <c r="W6" s="81">
        <v>16.660423481571499</v>
      </c>
      <c r="X6" s="81">
        <v>19.863271095248798</v>
      </c>
      <c r="Y6" s="81">
        <v>24.302718126330799</v>
      </c>
      <c r="Z6" s="81">
        <v>14.324799839584999</v>
      </c>
      <c r="AA6" s="81">
        <v>22.713683177024102</v>
      </c>
      <c r="AB6" s="81">
        <v>25.7512009123487</v>
      </c>
      <c r="AC6" s="81">
        <v>16.732949548080502</v>
      </c>
      <c r="AD6" s="81">
        <v>16.707727352899099</v>
      </c>
      <c r="AE6" s="81">
        <v>20.757425702922699</v>
      </c>
      <c r="AF6" s="81">
        <v>17.925871665879701</v>
      </c>
      <c r="AG6" s="81">
        <v>9.1198883020458403</v>
      </c>
      <c r="AH6" s="81">
        <v>40.955411885560302</v>
      </c>
      <c r="AI6" s="81">
        <v>31.539459735949102</v>
      </c>
      <c r="AJ6" s="81">
        <v>33.561333113811202</v>
      </c>
      <c r="AK6" s="81">
        <v>33.869235252469998</v>
      </c>
      <c r="AL6" s="81">
        <v>24.242629475312299</v>
      </c>
      <c r="AM6" s="81">
        <v>31.495543355455801</v>
      </c>
      <c r="AN6" s="81">
        <v>35.496218407078501</v>
      </c>
      <c r="AO6" s="81">
        <v>40.9935739950336</v>
      </c>
      <c r="AP6" s="81">
        <v>27.538369765409499</v>
      </c>
      <c r="AQ6" s="81">
        <v>38.668617712581003</v>
      </c>
      <c r="AR6" s="81">
        <v>42.699357998372498</v>
      </c>
      <c r="AS6" s="81">
        <v>31.382973343554799</v>
      </c>
      <c r="AT6" s="81">
        <v>31.584968521144202</v>
      </c>
      <c r="AU6" s="81">
        <v>37.3261209279339</v>
      </c>
      <c r="AV6" s="81">
        <v>33.364468784783199</v>
      </c>
      <c r="AW6" s="81">
        <v>20.8032309456203</v>
      </c>
      <c r="AX6" s="80">
        <v>55</v>
      </c>
      <c r="AY6" s="80">
        <v>40</v>
      </c>
      <c r="AZ6" s="80">
        <v>44</v>
      </c>
      <c r="BA6" s="80">
        <v>44</v>
      </c>
      <c r="BB6" s="80">
        <v>29</v>
      </c>
      <c r="BC6" s="80">
        <v>41</v>
      </c>
      <c r="BD6" s="80">
        <v>49</v>
      </c>
      <c r="BE6" s="80">
        <v>60</v>
      </c>
      <c r="BF6" s="80">
        <v>39</v>
      </c>
      <c r="BG6" s="80">
        <v>58</v>
      </c>
      <c r="BH6" s="80">
        <v>64</v>
      </c>
      <c r="BI6" s="80">
        <v>42</v>
      </c>
      <c r="BJ6" s="80">
        <v>41</v>
      </c>
      <c r="BK6" s="80">
        <v>48</v>
      </c>
      <c r="BL6" s="80">
        <v>43</v>
      </c>
      <c r="BM6" s="80">
        <v>25</v>
      </c>
    </row>
    <row r="7" spans="1:65" x14ac:dyDescent="0.2">
      <c r="A7" s="83" t="s">
        <v>79</v>
      </c>
      <c r="B7" s="81">
        <v>56.009334889148199</v>
      </c>
      <c r="C7" s="81">
        <v>46.995835812016701</v>
      </c>
      <c r="D7" s="81">
        <v>53.148469093009801</v>
      </c>
      <c r="E7" s="81">
        <v>39.370078740157503</v>
      </c>
      <c r="F7" s="81">
        <v>49.637479085331798</v>
      </c>
      <c r="G7" s="81">
        <v>40.794979079497899</v>
      </c>
      <c r="H7" s="81">
        <v>42.0040485829959</v>
      </c>
      <c r="I7" s="81">
        <v>38.365719980069798</v>
      </c>
      <c r="J7" s="81">
        <v>39.325842696629202</v>
      </c>
      <c r="K7" s="81">
        <v>39.573820395738203</v>
      </c>
      <c r="L7" s="81">
        <v>50.479555779909099</v>
      </c>
      <c r="M7" s="81">
        <v>42.126379137412201</v>
      </c>
      <c r="N7" s="81">
        <v>39.772727272727302</v>
      </c>
      <c r="O7" s="81">
        <v>31.0199789695058</v>
      </c>
      <c r="P7" s="81">
        <v>29.966703662597101</v>
      </c>
      <c r="Q7" s="81">
        <v>26.121521862578099</v>
      </c>
      <c r="R7" s="81">
        <v>45.367741082260501</v>
      </c>
      <c r="S7" s="81">
        <v>37.2070457820315</v>
      </c>
      <c r="T7" s="81">
        <v>42.845167398187399</v>
      </c>
      <c r="U7" s="81">
        <v>30.690907822241599</v>
      </c>
      <c r="V7" s="81">
        <v>39.862971635443799</v>
      </c>
      <c r="W7" s="81">
        <v>32.246738077939497</v>
      </c>
      <c r="X7" s="81">
        <v>33.455990231681703</v>
      </c>
      <c r="Y7" s="81">
        <v>30.277626235399399</v>
      </c>
      <c r="Z7" s="81">
        <v>31.035340068665199</v>
      </c>
      <c r="AA7" s="81">
        <v>31.281462813303101</v>
      </c>
      <c r="AB7" s="81">
        <v>41.072181348270099</v>
      </c>
      <c r="AC7" s="81">
        <v>33.601649819351103</v>
      </c>
      <c r="AD7" s="81">
        <v>31.388014387627301</v>
      </c>
      <c r="AE7" s="81">
        <v>23.613845230648501</v>
      </c>
      <c r="AF7" s="81">
        <v>22.511910084653</v>
      </c>
      <c r="AG7" s="81">
        <v>19.124237029512699</v>
      </c>
      <c r="AH7" s="81">
        <v>68.396984246982797</v>
      </c>
      <c r="AI7" s="81">
        <v>58.570833530443601</v>
      </c>
      <c r="AJ7" s="81">
        <v>65.181879261511298</v>
      </c>
      <c r="AK7" s="81">
        <v>49.741726002271598</v>
      </c>
      <c r="AL7" s="81">
        <v>61.083189288207699</v>
      </c>
      <c r="AM7" s="81">
        <v>50.913980152128502</v>
      </c>
      <c r="AN7" s="81">
        <v>52.070337954081999</v>
      </c>
      <c r="AO7" s="81">
        <v>47.950567264635197</v>
      </c>
      <c r="AP7" s="81">
        <v>49.150555924475398</v>
      </c>
      <c r="AQ7" s="81">
        <v>49.389918848741601</v>
      </c>
      <c r="AR7" s="81">
        <v>61.396665215762901</v>
      </c>
      <c r="AS7" s="81">
        <v>52.155323856513398</v>
      </c>
      <c r="AT7" s="81">
        <v>49.709084969071696</v>
      </c>
      <c r="AU7" s="81">
        <v>40.013512808925199</v>
      </c>
      <c r="AV7" s="81">
        <v>39.100047943235701</v>
      </c>
      <c r="AW7" s="81">
        <v>34.842449580116998</v>
      </c>
      <c r="AX7" s="80">
        <v>96</v>
      </c>
      <c r="AY7" s="80">
        <v>79</v>
      </c>
      <c r="AZ7" s="80">
        <v>92</v>
      </c>
      <c r="BA7" s="80">
        <v>70</v>
      </c>
      <c r="BB7" s="80">
        <v>89</v>
      </c>
      <c r="BC7" s="80">
        <v>78</v>
      </c>
      <c r="BD7" s="80">
        <v>83</v>
      </c>
      <c r="BE7" s="80">
        <v>77</v>
      </c>
      <c r="BF7" s="80">
        <v>77</v>
      </c>
      <c r="BG7" s="80">
        <v>78</v>
      </c>
      <c r="BH7" s="80">
        <v>100</v>
      </c>
      <c r="BI7" s="80">
        <v>84</v>
      </c>
      <c r="BJ7" s="80">
        <v>77</v>
      </c>
      <c r="BK7" s="80">
        <v>59</v>
      </c>
      <c r="BL7" s="80">
        <v>54</v>
      </c>
      <c r="BM7" s="80">
        <v>46</v>
      </c>
    </row>
    <row r="8" spans="1:65" x14ac:dyDescent="0.2">
      <c r="A8" s="83" t="s">
        <v>84</v>
      </c>
      <c r="B8" s="81">
        <v>29.491833030853002</v>
      </c>
      <c r="C8" s="81">
        <v>14.971378247468101</v>
      </c>
      <c r="D8" s="81">
        <v>18.3691756272401</v>
      </c>
      <c r="E8" s="81">
        <v>21.758436944937799</v>
      </c>
      <c r="F8" s="81">
        <v>21.891418563922901</v>
      </c>
      <c r="G8" s="81">
        <v>19.524617996604398</v>
      </c>
      <c r="H8" s="81">
        <v>19.140791152700999</v>
      </c>
      <c r="I8" s="81">
        <v>19.2939244663383</v>
      </c>
      <c r="J8" s="81">
        <v>22.610075366917901</v>
      </c>
      <c r="K8" s="81">
        <v>16.962524654832301</v>
      </c>
      <c r="L8" s="81">
        <v>23.068050749711599</v>
      </c>
      <c r="M8" s="81">
        <v>20.139426800929499</v>
      </c>
      <c r="N8" s="81">
        <v>16.3170163170163</v>
      </c>
      <c r="O8" s="81">
        <v>13.215859030837001</v>
      </c>
      <c r="P8" s="81">
        <v>13.295729250604399</v>
      </c>
      <c r="Q8" s="81">
        <v>9.0515545060999596</v>
      </c>
      <c r="R8" s="81">
        <v>22.761174105823201</v>
      </c>
      <c r="S8" s="81">
        <v>10.368114656350601</v>
      </c>
      <c r="T8" s="81">
        <v>13.182037575472799</v>
      </c>
      <c r="U8" s="81">
        <v>16.097011433760699</v>
      </c>
      <c r="V8" s="81">
        <v>16.248232809746899</v>
      </c>
      <c r="W8" s="81">
        <v>14.2944742822461</v>
      </c>
      <c r="X8" s="81">
        <v>13.961424410137999</v>
      </c>
      <c r="Y8" s="81">
        <v>14.1764499864802</v>
      </c>
      <c r="Z8" s="81">
        <v>17.124650282794398</v>
      </c>
      <c r="AA8" s="81">
        <v>12.2758631999871</v>
      </c>
      <c r="AB8" s="81">
        <v>17.603352921955899</v>
      </c>
      <c r="AC8" s="81">
        <v>15.041087219388499</v>
      </c>
      <c r="AD8" s="81">
        <v>11.7598701369377</v>
      </c>
      <c r="AE8" s="81">
        <v>9.0971892561993801</v>
      </c>
      <c r="AF8" s="81">
        <v>9.1521682404229807</v>
      </c>
      <c r="AG8" s="81">
        <v>5.7379091054878701</v>
      </c>
      <c r="AH8" s="81">
        <v>37.589762166910901</v>
      </c>
      <c r="AI8" s="81">
        <v>20.921000482255899</v>
      </c>
      <c r="AJ8" s="81">
        <v>24.919860916547901</v>
      </c>
      <c r="AK8" s="81">
        <v>28.765807545700799</v>
      </c>
      <c r="AL8" s="81">
        <v>28.861106245331399</v>
      </c>
      <c r="AM8" s="81">
        <v>26.0431042914202</v>
      </c>
      <c r="AN8" s="81">
        <v>25.611884515933099</v>
      </c>
      <c r="AO8" s="81">
        <v>25.656829368081699</v>
      </c>
      <c r="AP8" s="81">
        <v>29.293975169759101</v>
      </c>
      <c r="AQ8" s="81">
        <v>22.848409392656301</v>
      </c>
      <c r="AR8" s="81">
        <v>29.6931539433461</v>
      </c>
      <c r="AS8" s="81">
        <v>26.410178830702101</v>
      </c>
      <c r="AT8" s="81">
        <v>22.055865881309501</v>
      </c>
      <c r="AU8" s="81">
        <v>18.5599796832877</v>
      </c>
      <c r="AV8" s="81">
        <v>18.672147167272101</v>
      </c>
      <c r="AW8" s="81">
        <v>13.5817760310244</v>
      </c>
      <c r="AX8" s="80">
        <v>65</v>
      </c>
      <c r="AY8" s="80">
        <v>34</v>
      </c>
      <c r="AZ8" s="80">
        <v>41</v>
      </c>
      <c r="BA8" s="80">
        <v>49</v>
      </c>
      <c r="BB8" s="80">
        <v>50</v>
      </c>
      <c r="BC8" s="80">
        <v>46</v>
      </c>
      <c r="BD8" s="80">
        <v>45</v>
      </c>
      <c r="BE8" s="80">
        <v>47</v>
      </c>
      <c r="BF8" s="80">
        <v>57</v>
      </c>
      <c r="BG8" s="80">
        <v>43</v>
      </c>
      <c r="BH8" s="80">
        <v>60</v>
      </c>
      <c r="BI8" s="80">
        <v>52</v>
      </c>
      <c r="BJ8" s="80">
        <v>42</v>
      </c>
      <c r="BK8" s="80">
        <v>33</v>
      </c>
      <c r="BL8" s="80">
        <v>33</v>
      </c>
      <c r="BM8" s="80">
        <v>23</v>
      </c>
    </row>
    <row r="9" spans="1:65" x14ac:dyDescent="0.2">
      <c r="A9" s="83" t="s">
        <v>81</v>
      </c>
      <c r="B9" s="81">
        <v>19.7594501718213</v>
      </c>
      <c r="C9" s="81">
        <v>24.882024882024901</v>
      </c>
      <c r="D9" s="81">
        <v>14.3353605560382</v>
      </c>
      <c r="E9" s="81">
        <v>27.1416454622562</v>
      </c>
      <c r="F9" s="81">
        <v>23.708721422523301</v>
      </c>
      <c r="G9" s="81">
        <v>19.7530864197531</v>
      </c>
      <c r="H9" s="81">
        <v>19.8621807863802</v>
      </c>
      <c r="I9" s="81">
        <v>25.380710659898501</v>
      </c>
      <c r="J9" s="81">
        <v>18.482107746755801</v>
      </c>
      <c r="K9" s="81">
        <v>20.241339042429001</v>
      </c>
      <c r="L9" s="81">
        <v>25.879498584714899</v>
      </c>
      <c r="M9" s="81">
        <v>24.667188723570899</v>
      </c>
      <c r="N9" s="81">
        <v>17.357001972386598</v>
      </c>
      <c r="O9" s="81">
        <v>12.9032258064516</v>
      </c>
      <c r="P9" s="81">
        <v>14.9425287356322</v>
      </c>
      <c r="Q9" s="81">
        <v>13.079222720478301</v>
      </c>
      <c r="R9" s="81">
        <v>14.466400948871099</v>
      </c>
      <c r="S9" s="81">
        <v>18.893964684791801</v>
      </c>
      <c r="T9" s="81">
        <v>9.8678025945828995</v>
      </c>
      <c r="U9" s="81">
        <v>20.9023742774535</v>
      </c>
      <c r="V9" s="81">
        <v>17.909313371139</v>
      </c>
      <c r="W9" s="81">
        <v>14.564366594026</v>
      </c>
      <c r="X9" s="81">
        <v>14.6941506886215</v>
      </c>
      <c r="Y9" s="81">
        <v>19.5882966533519</v>
      </c>
      <c r="Z9" s="81">
        <v>13.5799575961721</v>
      </c>
      <c r="AA9" s="81">
        <v>15.117200155882101</v>
      </c>
      <c r="AB9" s="81">
        <v>19.9303673862659</v>
      </c>
      <c r="AC9" s="81">
        <v>18.954945103949601</v>
      </c>
      <c r="AD9" s="81">
        <v>12.6116242043962</v>
      </c>
      <c r="AE9" s="81">
        <v>8.93585896947714</v>
      </c>
      <c r="AF9" s="81">
        <v>10.6255986549565</v>
      </c>
      <c r="AG9" s="81">
        <v>9.1101578484752395</v>
      </c>
      <c r="AH9" s="81">
        <v>26.356337504547199</v>
      </c>
      <c r="AI9" s="81">
        <v>32.165787106261099</v>
      </c>
      <c r="AJ9" s="81">
        <v>20.132176050898899</v>
      </c>
      <c r="AK9" s="81">
        <v>34.659275321834201</v>
      </c>
      <c r="AL9" s="81">
        <v>30.787746827936001</v>
      </c>
      <c r="AM9" s="81">
        <v>26.189726823920701</v>
      </c>
      <c r="AN9" s="81">
        <v>26.258856340866799</v>
      </c>
      <c r="AO9" s="81">
        <v>32.349799225252497</v>
      </c>
      <c r="AP9" s="81">
        <v>24.577285230297701</v>
      </c>
      <c r="AQ9" s="81">
        <v>26.543823176673001</v>
      </c>
      <c r="AR9" s="81">
        <v>33.047541936467901</v>
      </c>
      <c r="AS9" s="81">
        <v>31.560049838249999</v>
      </c>
      <c r="AT9" s="81">
        <v>23.3009650020938</v>
      </c>
      <c r="AU9" s="81">
        <v>18.0309647420126</v>
      </c>
      <c r="AV9" s="81">
        <v>20.4269286842272</v>
      </c>
      <c r="AW9" s="81">
        <v>18.190032649134199</v>
      </c>
      <c r="AX9" s="80">
        <v>46</v>
      </c>
      <c r="AY9" s="80">
        <v>58</v>
      </c>
      <c r="AZ9" s="80">
        <v>33</v>
      </c>
      <c r="BA9" s="80">
        <v>64</v>
      </c>
      <c r="BB9" s="80">
        <v>56</v>
      </c>
      <c r="BC9" s="80">
        <v>48</v>
      </c>
      <c r="BD9" s="80">
        <v>49</v>
      </c>
      <c r="BE9" s="80">
        <v>65</v>
      </c>
      <c r="BF9" s="80">
        <v>47</v>
      </c>
      <c r="BG9" s="80">
        <v>52</v>
      </c>
      <c r="BH9" s="80">
        <v>64</v>
      </c>
      <c r="BI9" s="80">
        <v>63</v>
      </c>
      <c r="BJ9" s="80">
        <v>44</v>
      </c>
      <c r="BK9" s="80">
        <v>34</v>
      </c>
      <c r="BL9" s="80">
        <v>39</v>
      </c>
      <c r="BM9" s="80">
        <v>35</v>
      </c>
    </row>
    <row r="10" spans="1:65" x14ac:dyDescent="0.2">
      <c r="A10" s="83" t="s">
        <v>82</v>
      </c>
      <c r="B10" s="81">
        <v>45.634920634920597</v>
      </c>
      <c r="C10" s="81">
        <v>45.068582625734798</v>
      </c>
      <c r="D10" s="81">
        <v>51.5532055518837</v>
      </c>
      <c r="E10" s="81">
        <v>37.659717552118401</v>
      </c>
      <c r="F10" s="81">
        <v>43.281653746769997</v>
      </c>
      <c r="G10" s="81">
        <v>47.619047619047599</v>
      </c>
      <c r="H10" s="81">
        <v>36.299765807962501</v>
      </c>
      <c r="I10" s="81">
        <v>35.575319622012202</v>
      </c>
      <c r="J10" s="81">
        <v>33.369803063457297</v>
      </c>
      <c r="K10" s="81">
        <v>40.805223068552799</v>
      </c>
      <c r="L10" s="81">
        <v>37.321624588364401</v>
      </c>
      <c r="M10" s="81">
        <v>35.523978685612803</v>
      </c>
      <c r="N10" s="81">
        <v>27.9975654290931</v>
      </c>
      <c r="O10" s="81">
        <v>33.292978208232398</v>
      </c>
      <c r="P10" s="81">
        <v>29.256875365710901</v>
      </c>
      <c r="Q10" s="81">
        <v>22.948938611589199</v>
      </c>
      <c r="R10" s="81">
        <v>35.506692167225403</v>
      </c>
      <c r="S10" s="81">
        <v>35.066047391799401</v>
      </c>
      <c r="T10" s="81">
        <v>40.750669666239503</v>
      </c>
      <c r="U10" s="81">
        <v>28.447745919724401</v>
      </c>
      <c r="V10" s="81">
        <v>33.542687160982297</v>
      </c>
      <c r="W10" s="81">
        <v>37.640881077545998</v>
      </c>
      <c r="X10" s="81">
        <v>27.8308222986959</v>
      </c>
      <c r="Y10" s="81">
        <v>27.3973310429324</v>
      </c>
      <c r="Z10" s="81">
        <v>25.5252552302968</v>
      </c>
      <c r="AA10" s="81">
        <v>32.095896464337002</v>
      </c>
      <c r="AB10" s="81">
        <v>28.981701840078198</v>
      </c>
      <c r="AC10" s="81">
        <v>27.108538158678101</v>
      </c>
      <c r="AD10" s="81">
        <v>20.497736706617101</v>
      </c>
      <c r="AE10" s="81">
        <v>25.080827464551099</v>
      </c>
      <c r="AF10" s="81">
        <v>21.715016815366798</v>
      </c>
      <c r="AG10" s="81">
        <v>16.395058199534699</v>
      </c>
      <c r="AH10" s="81">
        <v>57.753912761273298</v>
      </c>
      <c r="AI10" s="81">
        <v>57.037175764235997</v>
      </c>
      <c r="AJ10" s="81">
        <v>64.340733675393096</v>
      </c>
      <c r="AK10" s="81">
        <v>48.9042757280329</v>
      </c>
      <c r="AL10" s="81">
        <v>54.966170302194001</v>
      </c>
      <c r="AM10" s="81">
        <v>59.4307265267825</v>
      </c>
      <c r="AN10" s="81">
        <v>46.534661519757798</v>
      </c>
      <c r="AO10" s="81">
        <v>45.428888943237901</v>
      </c>
      <c r="AP10" s="81">
        <v>42.8649080496915</v>
      </c>
      <c r="AQ10" s="81">
        <v>51.149700461824096</v>
      </c>
      <c r="AR10" s="81">
        <v>47.3140522261413</v>
      </c>
      <c r="AS10" s="81">
        <v>45.726402253785302</v>
      </c>
      <c r="AT10" s="81">
        <v>37.344828795244098</v>
      </c>
      <c r="AU10" s="81">
        <v>43.3353873946485</v>
      </c>
      <c r="AV10" s="81">
        <v>38.571542811197702</v>
      </c>
      <c r="AW10" s="81">
        <v>31.2499408858199</v>
      </c>
      <c r="AX10" s="80">
        <v>69</v>
      </c>
      <c r="AY10" s="80">
        <v>69</v>
      </c>
      <c r="AZ10" s="80">
        <v>78</v>
      </c>
      <c r="BA10" s="80">
        <v>56</v>
      </c>
      <c r="BB10" s="80">
        <v>67</v>
      </c>
      <c r="BC10" s="80">
        <v>78</v>
      </c>
      <c r="BD10" s="80">
        <v>62</v>
      </c>
      <c r="BE10" s="80">
        <v>64</v>
      </c>
      <c r="BF10" s="80">
        <v>61</v>
      </c>
      <c r="BG10" s="80">
        <v>75</v>
      </c>
      <c r="BH10" s="80">
        <v>68</v>
      </c>
      <c r="BI10" s="80">
        <v>60</v>
      </c>
      <c r="BJ10" s="80">
        <v>46</v>
      </c>
      <c r="BK10" s="80">
        <v>55</v>
      </c>
      <c r="BL10" s="80">
        <v>50</v>
      </c>
      <c r="BM10" s="80">
        <v>40</v>
      </c>
    </row>
    <row r="11" spans="1:65" x14ac:dyDescent="0.2">
      <c r="A11" s="83" t="s">
        <v>292</v>
      </c>
      <c r="B11" s="81">
        <v>36.992744957346702</v>
      </c>
      <c r="C11" s="81">
        <v>31.25</v>
      </c>
      <c r="D11" s="81">
        <v>32.961745127917197</v>
      </c>
      <c r="E11" s="81">
        <v>32.242731521825199</v>
      </c>
      <c r="F11" s="81">
        <v>30.510053567269601</v>
      </c>
      <c r="G11" s="81">
        <v>29.4073964057627</v>
      </c>
      <c r="H11" s="81">
        <v>29.3286986747773</v>
      </c>
      <c r="I11" s="81">
        <v>31.2675266404936</v>
      </c>
      <c r="J11" s="81">
        <v>28.445931813428199</v>
      </c>
      <c r="K11" s="81">
        <v>29.794900221729499</v>
      </c>
      <c r="L11" s="81">
        <v>34.966014995445299</v>
      </c>
      <c r="M11" s="81">
        <v>29.434878902622</v>
      </c>
      <c r="N11" s="81">
        <v>26.809651474530799</v>
      </c>
      <c r="O11" s="81">
        <v>24.5639534883721</v>
      </c>
      <c r="P11" s="81">
        <v>22.549234936671802</v>
      </c>
      <c r="Q11" s="81">
        <v>18.889857599534999</v>
      </c>
      <c r="R11" s="81">
        <v>33.702884606584803</v>
      </c>
      <c r="S11" s="81">
        <v>28.2325803863374</v>
      </c>
      <c r="T11" s="81">
        <v>29.8516327418169</v>
      </c>
      <c r="U11" s="81">
        <v>29.185920346070699</v>
      </c>
      <c r="V11" s="81">
        <v>27.5677365070541</v>
      </c>
      <c r="W11" s="81">
        <v>26.5819075671664</v>
      </c>
      <c r="X11" s="81">
        <v>26.541470188760002</v>
      </c>
      <c r="Y11" s="81">
        <v>28.432586852626901</v>
      </c>
      <c r="Z11" s="81">
        <v>25.752305483250101</v>
      </c>
      <c r="AA11" s="81">
        <v>27.0448852257746</v>
      </c>
      <c r="AB11" s="81">
        <v>31.964941164553601</v>
      </c>
      <c r="AC11" s="81">
        <v>26.660833773303299</v>
      </c>
      <c r="AD11" s="81">
        <v>24.1471809105057</v>
      </c>
      <c r="AE11" s="81">
        <v>22.014738354504502</v>
      </c>
      <c r="AF11" s="81">
        <v>20.100995336870099</v>
      </c>
      <c r="AG11" s="81">
        <v>16.6633302389641</v>
      </c>
      <c r="AH11" s="81">
        <v>40.516945624814397</v>
      </c>
      <c r="AI11" s="81">
        <v>34.502053280198403</v>
      </c>
      <c r="AJ11" s="81">
        <v>36.307811746683399</v>
      </c>
      <c r="AK11" s="81">
        <v>35.532636650496599</v>
      </c>
      <c r="AL11" s="81">
        <v>33.680860895701898</v>
      </c>
      <c r="AM11" s="81">
        <v>32.451435655053203</v>
      </c>
      <c r="AN11" s="81">
        <v>32.329010082246803</v>
      </c>
      <c r="AO11" s="81">
        <v>34.3085951633281</v>
      </c>
      <c r="AP11" s="81">
        <v>31.344695614210099</v>
      </c>
      <c r="AQ11" s="81">
        <v>32.748702440135503</v>
      </c>
      <c r="AR11" s="81">
        <v>38.172942625250997</v>
      </c>
      <c r="AS11" s="81">
        <v>32.419115925952603</v>
      </c>
      <c r="AT11" s="81">
        <v>29.685502403238502</v>
      </c>
      <c r="AU11" s="81">
        <v>27.3273533242543</v>
      </c>
      <c r="AV11" s="81">
        <v>25.213425493401299</v>
      </c>
      <c r="AW11" s="81">
        <v>21.3310406053787</v>
      </c>
      <c r="AX11" s="82">
        <v>464</v>
      </c>
      <c r="AY11" s="82">
        <v>392</v>
      </c>
      <c r="AZ11" s="82">
        <v>411</v>
      </c>
      <c r="BA11" s="82">
        <v>407</v>
      </c>
      <c r="BB11" s="82">
        <v>393</v>
      </c>
      <c r="BC11" s="82">
        <v>396</v>
      </c>
      <c r="BD11" s="82">
        <v>405</v>
      </c>
      <c r="BE11" s="82">
        <v>446</v>
      </c>
      <c r="BF11" s="82">
        <v>408</v>
      </c>
      <c r="BG11" s="82">
        <v>430</v>
      </c>
      <c r="BH11" s="82">
        <v>499</v>
      </c>
      <c r="BI11" s="82">
        <v>412</v>
      </c>
      <c r="BJ11" s="82">
        <v>370</v>
      </c>
      <c r="BK11" s="82">
        <v>338</v>
      </c>
      <c r="BL11" s="82">
        <v>308</v>
      </c>
      <c r="BM11" s="82">
        <v>260</v>
      </c>
    </row>
    <row r="12" spans="1:65" x14ac:dyDescent="0.2">
      <c r="A12" s="83" t="s">
        <v>293</v>
      </c>
      <c r="B12" s="81">
        <v>37.8193465907095</v>
      </c>
      <c r="C12" s="81">
        <v>35.943973450635703</v>
      </c>
      <c r="D12" s="81">
        <v>35.962827802766697</v>
      </c>
      <c r="E12" s="81">
        <v>34.957295299350598</v>
      </c>
      <c r="F12" s="81">
        <v>34.570209139456097</v>
      </c>
      <c r="G12" s="81">
        <v>33.169235735614599</v>
      </c>
      <c r="H12" s="81">
        <v>33.471922530393101</v>
      </c>
      <c r="I12" s="81">
        <v>34.351686930483503</v>
      </c>
      <c r="J12" s="81">
        <v>33.367005089123602</v>
      </c>
      <c r="K12" s="81">
        <v>33.000227980849601</v>
      </c>
      <c r="L12" s="81">
        <v>32.974177381380699</v>
      </c>
      <c r="M12" s="81">
        <v>29.9310938845823</v>
      </c>
      <c r="N12" s="81">
        <v>27.976669091651701</v>
      </c>
      <c r="O12" s="81">
        <v>26.115349716929298</v>
      </c>
      <c r="P12" s="81">
        <v>23.245650678988898</v>
      </c>
      <c r="Q12" s="81">
        <v>20.546840213470301</v>
      </c>
      <c r="R12" s="81">
        <v>36.815809460783697</v>
      </c>
      <c r="S12" s="81">
        <v>34.960150699530402</v>
      </c>
      <c r="T12" s="81">
        <v>34.981087819386801</v>
      </c>
      <c r="U12" s="81">
        <v>33.997079209963502</v>
      </c>
      <c r="V12" s="81">
        <v>33.621375863333803</v>
      </c>
      <c r="W12" s="81">
        <v>32.249916747743796</v>
      </c>
      <c r="X12" s="81">
        <v>32.558448704023199</v>
      </c>
      <c r="Y12" s="81">
        <v>33.434991088117101</v>
      </c>
      <c r="Z12" s="81">
        <v>32.467817789038101</v>
      </c>
      <c r="AA12" s="81">
        <v>32.110246981993797</v>
      </c>
      <c r="AB12" s="81">
        <v>32.085998633511302</v>
      </c>
      <c r="AC12" s="81">
        <v>29.083763389915799</v>
      </c>
      <c r="AD12" s="81">
        <v>27.154578680643301</v>
      </c>
      <c r="AE12" s="81">
        <v>25.320769395353299</v>
      </c>
      <c r="AF12" s="81">
        <v>22.494196977458301</v>
      </c>
      <c r="AG12" s="81">
        <v>19.839284982874599</v>
      </c>
      <c r="AH12" s="81">
        <v>38.843308008435201</v>
      </c>
      <c r="AI12" s="81">
        <v>36.9484618059357</v>
      </c>
      <c r="AJ12" s="81">
        <v>36.965134186541697</v>
      </c>
      <c r="AK12" s="81">
        <v>35.937754127919497</v>
      </c>
      <c r="AL12" s="81">
        <v>35.539029090721897</v>
      </c>
      <c r="AM12" s="81">
        <v>34.108113388238301</v>
      </c>
      <c r="AN12" s="81">
        <v>34.404526946751503</v>
      </c>
      <c r="AO12" s="81">
        <v>35.2871474408091</v>
      </c>
      <c r="AP12" s="81">
        <v>34.284783227879899</v>
      </c>
      <c r="AQ12" s="81">
        <v>33.908623756689202</v>
      </c>
      <c r="AR12" s="81">
        <v>33.880710474179402</v>
      </c>
      <c r="AS12" s="81">
        <v>30.796844833013498</v>
      </c>
      <c r="AT12" s="81">
        <v>28.817323771274499</v>
      </c>
      <c r="AU12" s="81">
        <v>26.9285218596034</v>
      </c>
      <c r="AV12" s="81">
        <v>24.015809780528201</v>
      </c>
      <c r="AW12" s="81">
        <v>21.273184484859001</v>
      </c>
      <c r="AX12" s="82">
        <v>5384</v>
      </c>
      <c r="AY12" s="82">
        <v>5058</v>
      </c>
      <c r="AZ12" s="82">
        <v>5085</v>
      </c>
      <c r="BA12" s="82">
        <v>5022</v>
      </c>
      <c r="BB12" s="82">
        <v>5030</v>
      </c>
      <c r="BC12" s="82">
        <v>4932</v>
      </c>
      <c r="BD12" s="82">
        <v>5088</v>
      </c>
      <c r="BE12" s="82">
        <v>5323</v>
      </c>
      <c r="BF12" s="82">
        <v>5219</v>
      </c>
      <c r="BG12" s="82">
        <v>5211</v>
      </c>
      <c r="BH12" s="82">
        <v>5224</v>
      </c>
      <c r="BI12" s="82">
        <v>4726</v>
      </c>
      <c r="BJ12" s="82">
        <v>4384</v>
      </c>
      <c r="BK12" s="82">
        <v>4087</v>
      </c>
      <c r="BL12" s="82">
        <v>3617</v>
      </c>
      <c r="BM12" s="82">
        <v>3184</v>
      </c>
    </row>
    <row r="13" spans="1:65" x14ac:dyDescent="0.2">
      <c r="A13" s="85" t="s">
        <v>294</v>
      </c>
      <c r="B13" s="81">
        <v>46.644023312362499</v>
      </c>
      <c r="C13" s="81">
        <v>44.750251703775199</v>
      </c>
      <c r="D13" s="81">
        <v>43.638134994063201</v>
      </c>
      <c r="E13" s="81">
        <v>42.478675618691497</v>
      </c>
      <c r="F13" s="81">
        <v>42.760491262081104</v>
      </c>
      <c r="G13" s="81">
        <v>42.118388952721297</v>
      </c>
      <c r="H13" s="81">
        <v>41.595795980673401</v>
      </c>
      <c r="I13" s="81">
        <v>41.426295144139701</v>
      </c>
      <c r="J13" s="81">
        <v>40.586425669437702</v>
      </c>
      <c r="K13" s="81">
        <v>41.381035417762298</v>
      </c>
      <c r="L13" s="81">
        <v>39.667749484502302</v>
      </c>
      <c r="M13" s="81">
        <v>37.113627592412598</v>
      </c>
      <c r="N13" s="81">
        <v>34.172206843049501</v>
      </c>
      <c r="O13" s="81">
        <v>30.703799813667501</v>
      </c>
      <c r="P13" s="81">
        <v>27.746396850804601</v>
      </c>
      <c r="Q13" s="81">
        <v>24.346104996443501</v>
      </c>
      <c r="R13" s="81">
        <v>46.194094439772002</v>
      </c>
      <c r="S13" s="81">
        <v>44.308601149806499</v>
      </c>
      <c r="T13" s="81">
        <v>43.204434679316002</v>
      </c>
      <c r="U13" s="81">
        <v>42.055192212879597</v>
      </c>
      <c r="V13" s="81">
        <v>42.339029439824102</v>
      </c>
      <c r="W13" s="81">
        <v>41.704319980130599</v>
      </c>
      <c r="X13" s="81">
        <v>41.1870707737652</v>
      </c>
      <c r="Y13" s="81">
        <v>41.020313185122497</v>
      </c>
      <c r="Z13" s="81">
        <v>40.185476327619597</v>
      </c>
      <c r="AA13" s="81">
        <v>40.978323138194902</v>
      </c>
      <c r="AB13" s="81">
        <v>39.273930138117699</v>
      </c>
      <c r="AC13" s="81">
        <v>36.731043947885098</v>
      </c>
      <c r="AD13" s="81">
        <v>33.801981266709397</v>
      </c>
      <c r="AE13" s="81">
        <v>30.3524255518617</v>
      </c>
      <c r="AF13" s="81">
        <v>27.411153798826501</v>
      </c>
      <c r="AG13" s="81">
        <v>24.031307059552699</v>
      </c>
      <c r="AH13" s="81">
        <v>47.097243268541703</v>
      </c>
      <c r="AI13" s="81">
        <v>45.195208040132798</v>
      </c>
      <c r="AJ13" s="81">
        <v>44.0751045402586</v>
      </c>
      <c r="AK13" s="81">
        <v>42.905361185456599</v>
      </c>
      <c r="AL13" s="81">
        <v>43.185103604227301</v>
      </c>
      <c r="AM13" s="81">
        <v>42.535545195936201</v>
      </c>
      <c r="AN13" s="81">
        <v>42.007567069314703</v>
      </c>
      <c r="AO13" s="81">
        <v>41.8352944791488</v>
      </c>
      <c r="AP13" s="81">
        <v>40.990379103094</v>
      </c>
      <c r="AQ13" s="81">
        <v>41.786719777782402</v>
      </c>
      <c r="AR13" s="81">
        <v>40.064534248180998</v>
      </c>
      <c r="AS13" s="81">
        <v>37.499203222521501</v>
      </c>
      <c r="AT13" s="81">
        <v>34.545476478362403</v>
      </c>
      <c r="AU13" s="81">
        <v>31.058227019034799</v>
      </c>
      <c r="AV13" s="81">
        <v>28.084716496413598</v>
      </c>
      <c r="AW13" s="81">
        <v>24.663996352247</v>
      </c>
      <c r="AX13" s="82">
        <v>41089</v>
      </c>
      <c r="AY13" s="82">
        <v>39247</v>
      </c>
      <c r="AZ13" s="82">
        <v>38700</v>
      </c>
      <c r="BA13" s="82">
        <v>38461</v>
      </c>
      <c r="BB13" s="82">
        <v>39350</v>
      </c>
      <c r="BC13" s="82">
        <v>39553</v>
      </c>
      <c r="BD13" s="82">
        <v>39593</v>
      </c>
      <c r="BE13" s="82">
        <v>39804</v>
      </c>
      <c r="BF13" s="82">
        <v>39170</v>
      </c>
      <c r="BG13" s="82">
        <v>40366</v>
      </c>
      <c r="BH13" s="82">
        <v>38783</v>
      </c>
      <c r="BI13" s="82">
        <v>35966</v>
      </c>
      <c r="BJ13" s="82">
        <v>32552</v>
      </c>
      <c r="BK13" s="82">
        <v>29166</v>
      </c>
      <c r="BL13" s="82">
        <v>26157</v>
      </c>
      <c r="BM13" s="82">
        <v>22830</v>
      </c>
    </row>
    <row r="15" spans="1:65" x14ac:dyDescent="0.2">
      <c r="A15">
        <v>1</v>
      </c>
      <c r="B15" s="88">
        <v>2</v>
      </c>
      <c r="C15" s="88">
        <v>3</v>
      </c>
      <c r="D15" s="88">
        <v>4</v>
      </c>
      <c r="E15" s="88">
        <v>5</v>
      </c>
      <c r="F15" s="88">
        <v>6</v>
      </c>
      <c r="G15">
        <v>7</v>
      </c>
      <c r="H15" s="88">
        <v>8</v>
      </c>
      <c r="I15" s="88">
        <v>9</v>
      </c>
      <c r="J15" s="88">
        <v>10</v>
      </c>
      <c r="K15" s="88">
        <v>11</v>
      </c>
      <c r="L15" s="88">
        <v>12</v>
      </c>
      <c r="M15">
        <v>13</v>
      </c>
      <c r="N15" s="88">
        <v>14</v>
      </c>
      <c r="O15" s="88">
        <v>15</v>
      </c>
      <c r="P15" s="88">
        <v>16</v>
      </c>
      <c r="Q15" s="88">
        <v>17</v>
      </c>
      <c r="R15" s="88">
        <v>18</v>
      </c>
      <c r="S15">
        <v>19</v>
      </c>
      <c r="T15" s="88">
        <v>20</v>
      </c>
      <c r="U15" s="88">
        <v>21</v>
      </c>
      <c r="V15" s="88">
        <v>22</v>
      </c>
      <c r="W15" s="88">
        <v>23</v>
      </c>
      <c r="X15" s="88">
        <v>24</v>
      </c>
      <c r="Y15">
        <v>25</v>
      </c>
      <c r="Z15" s="88">
        <v>26</v>
      </c>
      <c r="AA15" s="88">
        <v>27</v>
      </c>
      <c r="AB15" s="88">
        <v>28</v>
      </c>
      <c r="AC15" s="88">
        <v>29</v>
      </c>
      <c r="AD15" s="88">
        <v>30</v>
      </c>
      <c r="AE15">
        <v>31</v>
      </c>
      <c r="AF15" s="88">
        <v>32</v>
      </c>
      <c r="AG15" s="88">
        <v>33</v>
      </c>
      <c r="AH15" s="88">
        <v>34</v>
      </c>
      <c r="AI15" s="88">
        <v>35</v>
      </c>
      <c r="AJ15" s="88">
        <v>36</v>
      </c>
      <c r="AK15">
        <v>37</v>
      </c>
      <c r="AL15" s="88">
        <v>38</v>
      </c>
      <c r="AM15" s="88">
        <v>39</v>
      </c>
      <c r="AN15" s="88">
        <v>40</v>
      </c>
      <c r="AO15" s="88">
        <v>41</v>
      </c>
      <c r="AP15" s="88">
        <v>42</v>
      </c>
      <c r="AQ15">
        <v>43</v>
      </c>
      <c r="AR15" s="88">
        <v>44</v>
      </c>
      <c r="AS15" s="88">
        <v>45</v>
      </c>
      <c r="AT15" s="88">
        <v>46</v>
      </c>
      <c r="AU15" s="88">
        <v>47</v>
      </c>
      <c r="AV15" s="88">
        <v>48</v>
      </c>
      <c r="AW15">
        <v>49</v>
      </c>
      <c r="AX15" s="88">
        <v>50</v>
      </c>
      <c r="AY15" s="88">
        <v>51</v>
      </c>
      <c r="AZ15" s="88">
        <v>52</v>
      </c>
      <c r="BA15" s="88">
        <v>53</v>
      </c>
      <c r="BB15" s="88">
        <v>54</v>
      </c>
      <c r="BC15">
        <v>55</v>
      </c>
      <c r="BD15" s="88">
        <v>56</v>
      </c>
      <c r="BE15" s="88">
        <v>57</v>
      </c>
      <c r="BF15" s="88">
        <v>58</v>
      </c>
      <c r="BG15" s="88">
        <v>59</v>
      </c>
      <c r="BH15" s="88">
        <v>60</v>
      </c>
      <c r="BI15">
        <v>61</v>
      </c>
      <c r="BJ15" s="88">
        <v>62</v>
      </c>
      <c r="BK15" s="88">
        <v>63</v>
      </c>
      <c r="BL15" s="88">
        <v>64</v>
      </c>
      <c r="BM15" s="88">
        <v>65</v>
      </c>
    </row>
  </sheetData>
  <mergeCells count="4">
    <mergeCell ref="AX2:BM2"/>
    <mergeCell ref="B2:Q2"/>
    <mergeCell ref="R2:AG2"/>
    <mergeCell ref="AH2:AW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G13"/>
  <sheetViews>
    <sheetView workbookViewId="0">
      <selection activeCell="E28" sqref="E28"/>
    </sheetView>
  </sheetViews>
  <sheetFormatPr defaultRowHeight="15" x14ac:dyDescent="0.25"/>
  <cols>
    <col min="1" max="16384" width="8.796875" style="115"/>
  </cols>
  <sheetData>
    <row r="1" spans="1:7" x14ac:dyDescent="0.25">
      <c r="A1" s="115" t="s">
        <v>464</v>
      </c>
    </row>
    <row r="2" spans="1:7" x14ac:dyDescent="0.25">
      <c r="A2" s="116"/>
      <c r="B2" s="113">
        <v>2009</v>
      </c>
      <c r="C2" s="113">
        <v>2010</v>
      </c>
      <c r="D2" s="113">
        <v>2011</v>
      </c>
      <c r="E2" s="113">
        <v>2012</v>
      </c>
      <c r="F2" s="113">
        <v>2013</v>
      </c>
      <c r="G2" s="113">
        <v>2014</v>
      </c>
    </row>
    <row r="3" spans="1:7" x14ac:dyDescent="0.25">
      <c r="A3" s="115" t="s">
        <v>399</v>
      </c>
      <c r="B3" s="118">
        <v>682</v>
      </c>
      <c r="C3" s="118">
        <v>718</v>
      </c>
      <c r="D3" s="118">
        <v>679</v>
      </c>
      <c r="E3" s="118">
        <v>775</v>
      </c>
      <c r="F3" s="114">
        <v>758</v>
      </c>
      <c r="G3" s="115">
        <v>692</v>
      </c>
    </row>
    <row r="4" spans="1:7" x14ac:dyDescent="0.25">
      <c r="A4" s="115" t="s">
        <v>83</v>
      </c>
      <c r="B4" s="118">
        <v>1435</v>
      </c>
      <c r="C4" s="118">
        <v>1496</v>
      </c>
      <c r="D4" s="118">
        <v>1567</v>
      </c>
      <c r="E4" s="118">
        <v>1619</v>
      </c>
      <c r="F4" s="114">
        <v>1493</v>
      </c>
      <c r="G4" s="115">
        <v>1463</v>
      </c>
    </row>
    <row r="5" spans="1:7" x14ac:dyDescent="0.25">
      <c r="A5" s="115" t="s">
        <v>44</v>
      </c>
      <c r="B5" s="118">
        <v>1131</v>
      </c>
      <c r="C5" s="118">
        <v>1067</v>
      </c>
      <c r="D5" s="118">
        <v>1134</v>
      </c>
      <c r="E5" s="118">
        <v>1136</v>
      </c>
      <c r="F5" s="114">
        <v>1046</v>
      </c>
      <c r="G5" s="115">
        <v>1060</v>
      </c>
    </row>
    <row r="6" spans="1:7" x14ac:dyDescent="0.25">
      <c r="A6" s="115" t="s">
        <v>79</v>
      </c>
      <c r="B6" s="118">
        <v>1576</v>
      </c>
      <c r="C6" s="118">
        <v>1716</v>
      </c>
      <c r="D6" s="118">
        <v>1718</v>
      </c>
      <c r="E6" s="118">
        <v>1648</v>
      </c>
      <c r="F6" s="114">
        <v>1646</v>
      </c>
      <c r="G6" s="115">
        <v>1618</v>
      </c>
    </row>
    <row r="7" spans="1:7" x14ac:dyDescent="0.25">
      <c r="A7" s="115" t="s">
        <v>84</v>
      </c>
      <c r="B7" s="118">
        <v>1368</v>
      </c>
      <c r="C7" s="118">
        <v>1313</v>
      </c>
      <c r="D7" s="118">
        <v>1308</v>
      </c>
      <c r="E7" s="118">
        <v>1290</v>
      </c>
      <c r="F7" s="114">
        <v>1261</v>
      </c>
      <c r="G7" s="115">
        <v>1229</v>
      </c>
    </row>
    <row r="8" spans="1:7" x14ac:dyDescent="0.25">
      <c r="A8" s="115" t="s">
        <v>81</v>
      </c>
      <c r="B8" s="118">
        <v>1479</v>
      </c>
      <c r="C8" s="118">
        <v>1527</v>
      </c>
      <c r="D8" s="118">
        <v>1524</v>
      </c>
      <c r="E8" s="118">
        <v>1545</v>
      </c>
      <c r="F8" s="114">
        <v>1512</v>
      </c>
      <c r="G8" s="115">
        <v>1521</v>
      </c>
    </row>
    <row r="9" spans="1:7" x14ac:dyDescent="0.25">
      <c r="A9" s="115" t="s">
        <v>82</v>
      </c>
      <c r="B9" s="118">
        <v>1256</v>
      </c>
      <c r="C9" s="118">
        <v>1187</v>
      </c>
      <c r="D9" s="118">
        <v>1268</v>
      </c>
      <c r="E9" s="118">
        <v>1194</v>
      </c>
      <c r="F9" s="114">
        <v>1119</v>
      </c>
      <c r="G9" s="115">
        <v>1136</v>
      </c>
    </row>
    <row r="10" spans="1:7" x14ac:dyDescent="0.25">
      <c r="A10" s="116"/>
      <c r="B10" s="116"/>
      <c r="C10" s="116"/>
      <c r="D10" s="116"/>
      <c r="E10" s="116"/>
      <c r="F10" s="116"/>
      <c r="G10" s="116"/>
    </row>
    <row r="11" spans="1:7" x14ac:dyDescent="0.25">
      <c r="A11" s="115" t="s">
        <v>292</v>
      </c>
      <c r="B11" s="117">
        <v>8927</v>
      </c>
      <c r="C11" s="117">
        <v>9024</v>
      </c>
      <c r="D11" s="117">
        <v>9198</v>
      </c>
      <c r="E11" s="117">
        <v>9207</v>
      </c>
      <c r="F11" s="114">
        <v>8835</v>
      </c>
      <c r="G11" s="117">
        <v>8719</v>
      </c>
    </row>
    <row r="12" spans="1:7" x14ac:dyDescent="0.25">
      <c r="A12" s="115" t="s">
        <v>293</v>
      </c>
      <c r="B12" s="117">
        <v>103669</v>
      </c>
      <c r="C12" s="117">
        <v>106434</v>
      </c>
      <c r="D12" s="117">
        <v>107132</v>
      </c>
      <c r="E12" s="117">
        <v>107858</v>
      </c>
      <c r="F12" s="114">
        <v>102190</v>
      </c>
      <c r="G12" s="117">
        <v>102406</v>
      </c>
    </row>
    <row r="13" spans="1:7" x14ac:dyDescent="0.25">
      <c r="A13" s="115" t="s">
        <v>294</v>
      </c>
      <c r="B13" s="117">
        <v>671058</v>
      </c>
      <c r="C13" s="117">
        <v>687006</v>
      </c>
      <c r="D13" s="117">
        <v>688120</v>
      </c>
      <c r="E13" s="117">
        <v>694241</v>
      </c>
      <c r="F13" s="114">
        <v>664517</v>
      </c>
      <c r="G13" s="117">
        <v>661496</v>
      </c>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13"/>
  <sheetViews>
    <sheetView workbookViewId="0">
      <selection activeCell="B3" sqref="B3:F9"/>
    </sheetView>
  </sheetViews>
  <sheetFormatPr defaultRowHeight="14.25" x14ac:dyDescent="0.2"/>
  <sheetData>
    <row r="1" spans="1:7" x14ac:dyDescent="0.2">
      <c r="A1" t="s">
        <v>485</v>
      </c>
      <c r="D1" t="s">
        <v>486</v>
      </c>
    </row>
    <row r="2" spans="1:7" x14ac:dyDescent="0.2">
      <c r="B2">
        <v>2009</v>
      </c>
      <c r="C2">
        <v>2010</v>
      </c>
      <c r="D2">
        <v>2011</v>
      </c>
      <c r="E2">
        <v>2012</v>
      </c>
      <c r="F2">
        <v>2013</v>
      </c>
      <c r="G2">
        <v>2014</v>
      </c>
    </row>
    <row r="3" spans="1:7" x14ac:dyDescent="0.2">
      <c r="A3" t="s">
        <v>399</v>
      </c>
      <c r="B3" s="141">
        <v>43</v>
      </c>
      <c r="C3" s="141">
        <v>42</v>
      </c>
      <c r="D3" s="141">
        <v>29</v>
      </c>
      <c r="E3" s="139">
        <v>37</v>
      </c>
      <c r="F3" s="139">
        <v>26</v>
      </c>
    </row>
    <row r="4" spans="1:7" x14ac:dyDescent="0.2">
      <c r="A4" t="s">
        <v>83</v>
      </c>
      <c r="B4" s="141">
        <v>109</v>
      </c>
      <c r="C4" s="141">
        <v>76</v>
      </c>
      <c r="D4" s="141">
        <v>101</v>
      </c>
      <c r="E4" s="139">
        <v>76</v>
      </c>
      <c r="F4" s="139">
        <v>77</v>
      </c>
    </row>
    <row r="5" spans="1:7" x14ac:dyDescent="0.2">
      <c r="A5" t="s">
        <v>44</v>
      </c>
      <c r="B5" s="141">
        <v>59</v>
      </c>
      <c r="C5" s="141">
        <v>55</v>
      </c>
      <c r="D5" s="141">
        <v>48</v>
      </c>
      <c r="E5" s="139">
        <v>51</v>
      </c>
      <c r="F5" s="139">
        <v>50</v>
      </c>
    </row>
    <row r="6" spans="1:7" x14ac:dyDescent="0.2">
      <c r="A6" t="s">
        <v>79</v>
      </c>
      <c r="B6" s="141">
        <v>73</v>
      </c>
      <c r="C6" s="141">
        <v>80</v>
      </c>
      <c r="D6" s="141">
        <v>79</v>
      </c>
      <c r="E6" s="139">
        <v>71</v>
      </c>
      <c r="F6" s="139">
        <v>66</v>
      </c>
    </row>
    <row r="7" spans="1:7" x14ac:dyDescent="0.2">
      <c r="A7" t="s">
        <v>84</v>
      </c>
      <c r="B7" s="141">
        <v>49</v>
      </c>
      <c r="C7" s="141">
        <v>35</v>
      </c>
      <c r="D7" s="141">
        <v>21</v>
      </c>
      <c r="E7" s="139">
        <v>34</v>
      </c>
      <c r="F7" s="139">
        <v>31</v>
      </c>
    </row>
    <row r="8" spans="1:7" x14ac:dyDescent="0.2">
      <c r="A8" t="s">
        <v>81</v>
      </c>
      <c r="B8" s="141">
        <v>46</v>
      </c>
      <c r="C8" s="141">
        <v>43</v>
      </c>
      <c r="D8" s="141">
        <v>42</v>
      </c>
      <c r="E8" s="139">
        <v>28</v>
      </c>
      <c r="F8" s="139">
        <v>39</v>
      </c>
    </row>
    <row r="9" spans="1:7" x14ac:dyDescent="0.2">
      <c r="A9" t="s">
        <v>82</v>
      </c>
      <c r="B9" s="141">
        <v>77</v>
      </c>
      <c r="C9" s="141">
        <v>68</v>
      </c>
      <c r="D9" s="141">
        <v>47</v>
      </c>
      <c r="E9" s="139">
        <v>48</v>
      </c>
      <c r="F9" s="139">
        <v>42</v>
      </c>
    </row>
    <row r="11" spans="1:7" x14ac:dyDescent="0.2">
      <c r="A11" t="s">
        <v>292</v>
      </c>
      <c r="B11" s="140">
        <v>456</v>
      </c>
      <c r="C11" s="140">
        <v>399</v>
      </c>
      <c r="D11" s="140">
        <v>367</v>
      </c>
      <c r="E11" s="138">
        <v>345</v>
      </c>
      <c r="F11" s="138">
        <v>331</v>
      </c>
    </row>
    <row r="12" spans="1:7" x14ac:dyDescent="0.2">
      <c r="A12" t="s">
        <v>293</v>
      </c>
      <c r="B12" s="140">
        <v>5317</v>
      </c>
      <c r="C12" s="140">
        <v>4994</v>
      </c>
      <c r="D12" s="140">
        <v>4521</v>
      </c>
      <c r="E12" s="138">
        <v>4191</v>
      </c>
      <c r="F12" s="138">
        <v>3686</v>
      </c>
    </row>
    <row r="13" spans="1:7" x14ac:dyDescent="0.2">
      <c r="A13" t="s">
        <v>294</v>
      </c>
      <c r="B13" s="140">
        <v>40359</v>
      </c>
      <c r="C13" s="140">
        <v>37844</v>
      </c>
      <c r="D13" s="140">
        <v>34025</v>
      </c>
      <c r="E13" s="138">
        <v>31566</v>
      </c>
      <c r="F13" s="138">
        <v>27213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2:M40"/>
  <sheetViews>
    <sheetView topLeftCell="C10" zoomScale="90" zoomScaleNormal="90" workbookViewId="0">
      <selection activeCell="F36" sqref="F36:M40"/>
    </sheetView>
  </sheetViews>
  <sheetFormatPr defaultRowHeight="14.25" x14ac:dyDescent="0.2"/>
  <cols>
    <col min="1" max="1" width="27.69921875" bestFit="1" customWidth="1"/>
    <col min="4" max="4" width="8.796875" style="172"/>
    <col min="8" max="8" width="27.69921875" bestFit="1" customWidth="1"/>
  </cols>
  <sheetData>
    <row r="2" spans="1:12" x14ac:dyDescent="0.2">
      <c r="B2" s="1191" t="s">
        <v>512</v>
      </c>
      <c r="C2" s="1191"/>
      <c r="D2" s="1191"/>
      <c r="E2" s="1191"/>
      <c r="I2" s="1191" t="s">
        <v>512</v>
      </c>
      <c r="J2" s="1191"/>
      <c r="K2" s="1191"/>
      <c r="L2" s="1191"/>
    </row>
    <row r="3" spans="1:12" x14ac:dyDescent="0.2">
      <c r="A3" t="s">
        <v>269</v>
      </c>
      <c r="B3">
        <v>1139</v>
      </c>
      <c r="C3">
        <v>567</v>
      </c>
      <c r="D3" s="172">
        <v>0.498</v>
      </c>
      <c r="E3" s="167">
        <v>4.4999999999999998E-2</v>
      </c>
      <c r="H3" t="s">
        <v>269</v>
      </c>
      <c r="I3">
        <v>1103</v>
      </c>
      <c r="J3">
        <v>380</v>
      </c>
      <c r="K3" s="173">
        <f>J3/I3</f>
        <v>0.3445149592021759</v>
      </c>
      <c r="L3" s="167">
        <v>0.39500000000000002</v>
      </c>
    </row>
    <row r="4" spans="1:12" x14ac:dyDescent="0.2">
      <c r="A4" t="s">
        <v>270</v>
      </c>
      <c r="B4">
        <v>385</v>
      </c>
      <c r="C4">
        <v>215</v>
      </c>
      <c r="D4" s="171">
        <f>C4/B4</f>
        <v>0.55844155844155841</v>
      </c>
      <c r="E4" s="167">
        <v>5.7000000000000002E-2</v>
      </c>
      <c r="H4" t="s">
        <v>270</v>
      </c>
      <c r="I4">
        <v>398</v>
      </c>
      <c r="J4">
        <v>156</v>
      </c>
      <c r="K4" s="173">
        <f t="shared" ref="K4:K6" si="0">J4/I4</f>
        <v>0.39195979899497485</v>
      </c>
      <c r="L4" s="167">
        <v>0.33400000000000002</v>
      </c>
    </row>
    <row r="5" spans="1:12" x14ac:dyDescent="0.2">
      <c r="A5" t="s">
        <v>271</v>
      </c>
      <c r="B5">
        <v>575</v>
      </c>
      <c r="C5">
        <v>340</v>
      </c>
      <c r="D5" s="172">
        <v>0.59099999999999997</v>
      </c>
      <c r="E5" s="167">
        <v>4.2999999999999997E-2</v>
      </c>
      <c r="H5" t="s">
        <v>271</v>
      </c>
      <c r="I5">
        <v>552</v>
      </c>
      <c r="J5">
        <v>222</v>
      </c>
      <c r="K5" s="173">
        <f t="shared" si="0"/>
        <v>0.40217391304347827</v>
      </c>
      <c r="L5" s="167">
        <v>0.39300000000000002</v>
      </c>
    </row>
    <row r="6" spans="1:12" x14ac:dyDescent="0.2">
      <c r="A6" t="s">
        <v>509</v>
      </c>
      <c r="B6">
        <v>9255</v>
      </c>
      <c r="C6">
        <v>5508</v>
      </c>
      <c r="D6" s="171">
        <f>C6/B6</f>
        <v>0.59513776337115076</v>
      </c>
      <c r="E6" s="167">
        <v>6.0999999999999999E-2</v>
      </c>
      <c r="H6" t="s">
        <v>509</v>
      </c>
      <c r="I6">
        <v>7181</v>
      </c>
      <c r="J6">
        <v>3542</v>
      </c>
      <c r="K6" s="173">
        <f t="shared" si="0"/>
        <v>0.49324606600751986</v>
      </c>
      <c r="L6" s="167">
        <v>0.188</v>
      </c>
    </row>
    <row r="7" spans="1:12" x14ac:dyDescent="0.2">
      <c r="A7" t="s">
        <v>294</v>
      </c>
      <c r="B7" s="166">
        <v>152355</v>
      </c>
      <c r="C7" s="166">
        <v>69692</v>
      </c>
      <c r="D7" s="171">
        <f>C7/B7</f>
        <v>0.45743165632896854</v>
      </c>
      <c r="E7" s="167">
        <v>9.1999999999999998E-2</v>
      </c>
      <c r="H7" t="s">
        <v>294</v>
      </c>
      <c r="I7" s="166">
        <v>154062</v>
      </c>
      <c r="J7" s="166">
        <v>68710</v>
      </c>
      <c r="K7" s="174">
        <v>0.44600000000000001</v>
      </c>
      <c r="L7" s="167">
        <v>0.11899999999999999</v>
      </c>
    </row>
    <row r="10" spans="1:12" x14ac:dyDescent="0.2">
      <c r="B10" s="1191" t="s">
        <v>513</v>
      </c>
      <c r="C10" s="1191"/>
      <c r="D10" s="1191"/>
      <c r="E10" s="1191"/>
      <c r="I10" s="1191" t="s">
        <v>513</v>
      </c>
      <c r="J10" s="1191"/>
      <c r="K10" s="1191"/>
      <c r="L10" s="1191"/>
    </row>
    <row r="11" spans="1:12" x14ac:dyDescent="0.2">
      <c r="A11" t="s">
        <v>269</v>
      </c>
      <c r="B11">
        <v>1222</v>
      </c>
      <c r="C11">
        <v>524</v>
      </c>
      <c r="D11" s="171">
        <f>C11/B11</f>
        <v>0.42880523731587561</v>
      </c>
      <c r="E11" s="167">
        <v>0.23200000000000001</v>
      </c>
      <c r="H11" t="s">
        <v>269</v>
      </c>
      <c r="I11">
        <v>1285</v>
      </c>
      <c r="J11">
        <v>320</v>
      </c>
      <c r="K11" s="173">
        <f>J11/I11</f>
        <v>0.24902723735408561</v>
      </c>
      <c r="L11" s="167">
        <v>0.53300000000000003</v>
      </c>
    </row>
    <row r="12" spans="1:12" x14ac:dyDescent="0.2">
      <c r="A12" t="s">
        <v>270</v>
      </c>
      <c r="B12">
        <v>440</v>
      </c>
      <c r="C12">
        <v>178</v>
      </c>
      <c r="D12" s="171">
        <f t="shared" ref="D12:D15" si="1">C12/B12</f>
        <v>0.40454545454545454</v>
      </c>
      <c r="E12" s="167">
        <v>0.189</v>
      </c>
      <c r="H12" t="s">
        <v>270</v>
      </c>
      <c r="I12">
        <v>413</v>
      </c>
      <c r="J12">
        <v>143</v>
      </c>
      <c r="K12" s="173">
        <f t="shared" ref="K12:K14" si="2">J12/I12</f>
        <v>0.34624697336561744</v>
      </c>
      <c r="L12" s="167">
        <v>0.40899999999999997</v>
      </c>
    </row>
    <row r="13" spans="1:12" x14ac:dyDescent="0.2">
      <c r="A13" t="s">
        <v>271</v>
      </c>
      <c r="B13">
        <v>570</v>
      </c>
      <c r="C13">
        <v>289</v>
      </c>
      <c r="D13" s="171">
        <f t="shared" si="1"/>
        <v>0.50701754385964914</v>
      </c>
      <c r="E13" s="167">
        <v>0.20200000000000001</v>
      </c>
      <c r="H13" t="s">
        <v>271</v>
      </c>
      <c r="I13">
        <v>588</v>
      </c>
      <c r="J13">
        <v>202</v>
      </c>
      <c r="K13" s="173">
        <f t="shared" si="2"/>
        <v>0.34353741496598639</v>
      </c>
      <c r="L13" s="167">
        <v>0.45700000000000002</v>
      </c>
    </row>
    <row r="14" spans="1:12" x14ac:dyDescent="0.2">
      <c r="A14" t="s">
        <v>509</v>
      </c>
      <c r="B14">
        <v>9244</v>
      </c>
      <c r="C14">
        <v>5202</v>
      </c>
      <c r="D14" s="171">
        <f t="shared" si="1"/>
        <v>0.56274340112505405</v>
      </c>
      <c r="E14" s="167">
        <v>9.7000000000000003E-2</v>
      </c>
      <c r="H14" t="s">
        <v>509</v>
      </c>
      <c r="I14">
        <v>7628</v>
      </c>
      <c r="J14">
        <v>3598</v>
      </c>
      <c r="K14" s="173">
        <f t="shared" si="2"/>
        <v>0.4716832721552176</v>
      </c>
      <c r="L14" s="167">
        <v>0.216</v>
      </c>
    </row>
    <row r="15" spans="1:12" x14ac:dyDescent="0.2">
      <c r="A15" t="s">
        <v>294</v>
      </c>
      <c r="B15" s="166">
        <v>158807</v>
      </c>
      <c r="C15" s="166">
        <v>72621</v>
      </c>
      <c r="D15" s="171">
        <f t="shared" si="1"/>
        <v>0.45729092546298339</v>
      </c>
      <c r="E15" s="167">
        <v>9.6000000000000002E-2</v>
      </c>
      <c r="H15" t="s">
        <v>294</v>
      </c>
      <c r="I15" s="166">
        <v>160136</v>
      </c>
      <c r="J15" s="166">
        <v>70606</v>
      </c>
      <c r="K15" s="174">
        <v>0.441</v>
      </c>
      <c r="L15" s="167">
        <v>0.128</v>
      </c>
    </row>
    <row r="16" spans="1:12" x14ac:dyDescent="0.2">
      <c r="K16" s="174"/>
    </row>
    <row r="18" spans="1:12" x14ac:dyDescent="0.2">
      <c r="B18" s="1191" t="s">
        <v>514</v>
      </c>
      <c r="C18" s="1191"/>
      <c r="D18" s="1191"/>
      <c r="E18" s="1191"/>
      <c r="I18" s="1191" t="s">
        <v>514</v>
      </c>
      <c r="J18" s="1191"/>
      <c r="K18" s="1191"/>
      <c r="L18" s="1191"/>
    </row>
    <row r="19" spans="1:12" x14ac:dyDescent="0.2">
      <c r="A19" t="s">
        <v>269</v>
      </c>
      <c r="B19">
        <v>1274</v>
      </c>
      <c r="C19">
        <v>432</v>
      </c>
      <c r="D19" s="171">
        <f>C19/B19</f>
        <v>0.3390894819466248</v>
      </c>
      <c r="E19" s="167">
        <v>0.34100000000000003</v>
      </c>
      <c r="H19" t="s">
        <v>269</v>
      </c>
      <c r="I19">
        <v>1127</v>
      </c>
      <c r="J19">
        <v>269</v>
      </c>
      <c r="K19" s="173">
        <f>J19/I19</f>
        <v>0.23868677905944988</v>
      </c>
      <c r="L19" s="167">
        <v>0.55500000000000005</v>
      </c>
    </row>
    <row r="20" spans="1:12" x14ac:dyDescent="0.2">
      <c r="A20" t="s">
        <v>270</v>
      </c>
      <c r="B20">
        <v>436</v>
      </c>
      <c r="C20">
        <v>178</v>
      </c>
      <c r="D20" s="171">
        <f t="shared" ref="D20:D23" si="3">C20/B20</f>
        <v>0.40825688073394495</v>
      </c>
      <c r="E20" s="167">
        <v>0.23200000000000001</v>
      </c>
      <c r="H20" t="s">
        <v>270</v>
      </c>
      <c r="I20">
        <v>418</v>
      </c>
      <c r="J20">
        <v>113</v>
      </c>
      <c r="K20" s="173">
        <f t="shared" ref="K20:K22" si="4">J20/I20</f>
        <v>0.27033492822966509</v>
      </c>
      <c r="L20" s="167">
        <v>0.505</v>
      </c>
    </row>
    <row r="21" spans="1:12" x14ac:dyDescent="0.2">
      <c r="A21" t="s">
        <v>271</v>
      </c>
      <c r="B21">
        <v>634</v>
      </c>
      <c r="C21">
        <v>254</v>
      </c>
      <c r="D21" s="171">
        <f t="shared" si="3"/>
        <v>0.40063091482649843</v>
      </c>
      <c r="E21" s="167">
        <v>0.33300000000000002</v>
      </c>
      <c r="H21" t="s">
        <v>271</v>
      </c>
      <c r="I21">
        <v>561</v>
      </c>
      <c r="J21">
        <v>181</v>
      </c>
      <c r="K21" s="173">
        <f t="shared" si="4"/>
        <v>0.32263814616755793</v>
      </c>
      <c r="L21" s="167">
        <v>0.51500000000000001</v>
      </c>
    </row>
    <row r="22" spans="1:12" x14ac:dyDescent="0.2">
      <c r="A22" t="s">
        <v>509</v>
      </c>
      <c r="B22" s="166">
        <v>9557</v>
      </c>
      <c r="C22" s="166">
        <v>5429</v>
      </c>
      <c r="D22" s="171">
        <f t="shared" si="3"/>
        <v>0.56806529245579152</v>
      </c>
      <c r="E22" s="167">
        <v>0.109</v>
      </c>
      <c r="H22" t="s">
        <v>509</v>
      </c>
      <c r="I22">
        <v>7485</v>
      </c>
      <c r="J22">
        <v>3709</v>
      </c>
      <c r="K22" s="173">
        <f t="shared" si="4"/>
        <v>0.49552438209752842</v>
      </c>
      <c r="L22" s="167">
        <v>0.19600000000000001</v>
      </c>
    </row>
    <row r="23" spans="1:12" x14ac:dyDescent="0.2">
      <c r="A23" t="s">
        <v>294</v>
      </c>
      <c r="B23" s="166">
        <v>162599</v>
      </c>
      <c r="C23" s="166">
        <v>74254</v>
      </c>
      <c r="D23" s="171">
        <f t="shared" si="3"/>
        <v>0.45666947521202467</v>
      </c>
      <c r="E23" s="167">
        <v>0.106</v>
      </c>
      <c r="H23" t="s">
        <v>294</v>
      </c>
      <c r="I23" s="166">
        <v>163046</v>
      </c>
      <c r="J23" s="166">
        <v>71185</v>
      </c>
      <c r="K23" s="174">
        <v>0.437</v>
      </c>
      <c r="L23" s="167">
        <v>0.126</v>
      </c>
    </row>
    <row r="26" spans="1:12" x14ac:dyDescent="0.2">
      <c r="B26" s="1191" t="s">
        <v>515</v>
      </c>
      <c r="C26" s="1191"/>
      <c r="D26" s="1191"/>
      <c r="E26" s="1191"/>
      <c r="I26" s="1191" t="s">
        <v>515</v>
      </c>
      <c r="J26" s="1191"/>
      <c r="K26" s="1191"/>
      <c r="L26" s="1191"/>
    </row>
    <row r="27" spans="1:12" x14ac:dyDescent="0.2">
      <c r="A27" t="s">
        <v>269</v>
      </c>
      <c r="B27" s="168">
        <v>1042</v>
      </c>
      <c r="C27">
        <v>379</v>
      </c>
      <c r="D27" s="171">
        <f>C27/B27</f>
        <v>0.3637236084452975</v>
      </c>
      <c r="E27" s="167">
        <v>0.317</v>
      </c>
      <c r="H27" t="s">
        <v>269</v>
      </c>
      <c r="I27">
        <v>1136</v>
      </c>
      <c r="J27">
        <v>238</v>
      </c>
      <c r="K27" s="173">
        <f>J27/I27</f>
        <v>0.20950704225352113</v>
      </c>
      <c r="L27" s="167">
        <v>0.60799999999999998</v>
      </c>
    </row>
    <row r="28" spans="1:12" x14ac:dyDescent="0.2">
      <c r="A28" t="s">
        <v>270</v>
      </c>
      <c r="B28">
        <v>441</v>
      </c>
      <c r="C28">
        <v>169</v>
      </c>
      <c r="D28" s="171">
        <f t="shared" ref="D28:D31" si="5">C28/B28</f>
        <v>0.3832199546485261</v>
      </c>
      <c r="E28" s="167">
        <v>0.27400000000000002</v>
      </c>
      <c r="H28" t="s">
        <v>270</v>
      </c>
      <c r="I28">
        <v>389</v>
      </c>
      <c r="J28">
        <v>104</v>
      </c>
      <c r="K28" s="173">
        <f t="shared" ref="K28:K30" si="6">J28/I28</f>
        <v>0.26735218508997427</v>
      </c>
      <c r="L28" s="167">
        <v>0.499</v>
      </c>
    </row>
    <row r="29" spans="1:12" x14ac:dyDescent="0.2">
      <c r="A29" t="s">
        <v>271</v>
      </c>
      <c r="B29">
        <v>537</v>
      </c>
      <c r="C29">
        <v>231</v>
      </c>
      <c r="D29" s="171">
        <f t="shared" si="5"/>
        <v>0.43016759776536312</v>
      </c>
      <c r="E29" s="167">
        <v>0.28100000000000003</v>
      </c>
      <c r="H29" t="s">
        <v>271</v>
      </c>
      <c r="I29">
        <v>579</v>
      </c>
      <c r="J29">
        <v>182</v>
      </c>
      <c r="K29" s="173">
        <f t="shared" si="6"/>
        <v>0.31433506044905007</v>
      </c>
      <c r="L29" s="167">
        <v>0.53400000000000003</v>
      </c>
    </row>
    <row r="30" spans="1:12" x14ac:dyDescent="0.2">
      <c r="A30" t="s">
        <v>509</v>
      </c>
      <c r="B30" s="166">
        <v>8677</v>
      </c>
      <c r="C30" s="166">
        <v>4962</v>
      </c>
      <c r="D30" s="171">
        <f t="shared" si="5"/>
        <v>0.57185663247666241</v>
      </c>
      <c r="E30" s="167">
        <v>9.6000000000000002E-2</v>
      </c>
      <c r="H30" t="s">
        <v>509</v>
      </c>
      <c r="I30">
        <v>7038</v>
      </c>
      <c r="J30">
        <v>2728</v>
      </c>
      <c r="K30" s="173">
        <f t="shared" si="6"/>
        <v>0.38761011651037225</v>
      </c>
      <c r="L30" s="167">
        <v>0.36499999999999999</v>
      </c>
    </row>
    <row r="31" spans="1:12" x14ac:dyDescent="0.2">
      <c r="A31" t="s">
        <v>294</v>
      </c>
      <c r="B31" s="166">
        <v>155251</v>
      </c>
      <c r="C31" s="166">
        <v>71652</v>
      </c>
      <c r="D31" s="171">
        <f t="shared" si="5"/>
        <v>0.46152359727151515</v>
      </c>
      <c r="E31" s="167">
        <v>0.12</v>
      </c>
      <c r="H31" t="s">
        <v>294</v>
      </c>
      <c r="I31" s="166">
        <v>154109</v>
      </c>
      <c r="J31" s="166">
        <v>66189</v>
      </c>
      <c r="K31" s="174">
        <v>0.42899999999999999</v>
      </c>
      <c r="L31" s="167">
        <v>0.13700000000000001</v>
      </c>
    </row>
    <row r="34" spans="2:13" x14ac:dyDescent="0.2">
      <c r="B34" s="168" t="s">
        <v>516</v>
      </c>
    </row>
    <row r="36" spans="2:13" x14ac:dyDescent="0.2">
      <c r="F36" s="172">
        <v>0.498</v>
      </c>
      <c r="G36" s="171">
        <v>0.42880523731587561</v>
      </c>
      <c r="H36" s="171">
        <v>0.3390894819466248</v>
      </c>
      <c r="I36" s="171">
        <v>0.3637236084452975</v>
      </c>
      <c r="J36" s="171">
        <v>0.3445149592021759</v>
      </c>
      <c r="K36" s="171">
        <v>0.24902723735408561</v>
      </c>
      <c r="L36" s="171">
        <v>0.23868677905944988</v>
      </c>
      <c r="M36" s="171">
        <v>0.20950704225352113</v>
      </c>
    </row>
    <row r="37" spans="2:13" x14ac:dyDescent="0.2">
      <c r="F37" s="171">
        <v>0.55844155844155841</v>
      </c>
      <c r="G37" s="171">
        <v>0.40454545454545454</v>
      </c>
      <c r="H37" s="171">
        <v>0.40825688073394495</v>
      </c>
      <c r="I37" s="171">
        <v>0.3832199546485261</v>
      </c>
      <c r="J37" s="171">
        <v>0.39195979899497485</v>
      </c>
      <c r="K37" s="171">
        <v>0.34624697336561744</v>
      </c>
      <c r="L37" s="171">
        <v>0.27033492822966509</v>
      </c>
      <c r="M37" s="171">
        <v>0.26735218508997427</v>
      </c>
    </row>
    <row r="38" spans="2:13" x14ac:dyDescent="0.2">
      <c r="F38" s="172">
        <v>0.59099999999999997</v>
      </c>
      <c r="G38" s="171">
        <v>0.50701754385964914</v>
      </c>
      <c r="H38" s="171">
        <v>0.40063091482649843</v>
      </c>
      <c r="I38" s="171">
        <v>0.43016759776536312</v>
      </c>
      <c r="J38" s="171">
        <v>0.40217391304347827</v>
      </c>
      <c r="K38" s="171">
        <v>0.34353741496598639</v>
      </c>
      <c r="L38" s="171">
        <v>0.32263814616755793</v>
      </c>
      <c r="M38" s="171">
        <v>0.31433506044905007</v>
      </c>
    </row>
    <row r="39" spans="2:13" x14ac:dyDescent="0.2">
      <c r="F39" s="171">
        <v>0.59513776337115076</v>
      </c>
      <c r="G39" s="171">
        <v>0.56274340112505405</v>
      </c>
      <c r="H39" s="171">
        <v>0.56806529245579152</v>
      </c>
      <c r="I39" s="171">
        <v>0.57185663247666241</v>
      </c>
      <c r="J39" s="171">
        <v>0.49324606600751986</v>
      </c>
      <c r="K39" s="171">
        <v>0.4716832721552176</v>
      </c>
      <c r="L39" s="171">
        <v>0.49552438209752842</v>
      </c>
      <c r="M39" s="171">
        <v>0.38761011651037225</v>
      </c>
    </row>
    <row r="40" spans="2:13" x14ac:dyDescent="0.2">
      <c r="F40" s="171">
        <v>0.45743165632896854</v>
      </c>
      <c r="G40" s="171">
        <v>0.45729092546298339</v>
      </c>
      <c r="H40" s="171">
        <v>0.45666947521202467</v>
      </c>
      <c r="I40" s="171">
        <v>0.46152359727151515</v>
      </c>
      <c r="J40" s="172">
        <v>0.44600000000000001</v>
      </c>
      <c r="K40" s="172">
        <v>0.441</v>
      </c>
      <c r="L40" s="172">
        <v>0.437</v>
      </c>
      <c r="M40" s="172">
        <v>0.42899999999999999</v>
      </c>
    </row>
  </sheetData>
  <mergeCells count="8">
    <mergeCell ref="B10:E10"/>
    <mergeCell ref="B18:E18"/>
    <mergeCell ref="B26:E26"/>
    <mergeCell ref="I2:L2"/>
    <mergeCell ref="I10:L10"/>
    <mergeCell ref="I18:L18"/>
    <mergeCell ref="I26:L26"/>
    <mergeCell ref="B2:E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O20"/>
  <sheetViews>
    <sheetView zoomScale="80" zoomScaleNormal="80" workbookViewId="0">
      <selection activeCell="L3" sqref="L3:O3"/>
    </sheetView>
  </sheetViews>
  <sheetFormatPr defaultRowHeight="15" x14ac:dyDescent="0.25"/>
  <cols>
    <col min="1" max="16384" width="8.796875" style="165"/>
  </cols>
  <sheetData>
    <row r="1" spans="1:15" ht="15.75" x14ac:dyDescent="0.25">
      <c r="A1" s="206"/>
      <c r="B1" s="1202" t="s">
        <v>550</v>
      </c>
      <c r="C1" s="1202"/>
      <c r="D1" s="1202"/>
      <c r="E1" s="1202"/>
      <c r="F1" s="1202" t="s">
        <v>551</v>
      </c>
      <c r="G1" s="1202"/>
      <c r="H1" s="1202"/>
      <c r="I1" s="1202"/>
      <c r="J1" s="1202"/>
      <c r="K1" s="1202" t="s">
        <v>552</v>
      </c>
      <c r="L1" s="1202"/>
      <c r="M1" s="1202"/>
      <c r="N1" s="1202"/>
      <c r="O1" s="1207"/>
    </row>
    <row r="2" spans="1:15" ht="51" x14ac:dyDescent="0.25">
      <c r="A2" s="206"/>
      <c r="B2" s="204"/>
      <c r="C2" s="1195" t="s">
        <v>281</v>
      </c>
      <c r="D2" s="1195"/>
      <c r="E2" s="1195"/>
      <c r="F2" s="204"/>
      <c r="G2" s="1192" t="s">
        <v>553</v>
      </c>
      <c r="H2" s="1192"/>
      <c r="I2" s="1192"/>
      <c r="J2" s="1192"/>
      <c r="K2" s="348" t="s">
        <v>788</v>
      </c>
      <c r="L2" s="1203" t="s">
        <v>813</v>
      </c>
      <c r="M2" s="1203"/>
      <c r="N2" s="1203"/>
      <c r="O2" s="1206"/>
    </row>
    <row r="3" spans="1:15" x14ac:dyDescent="0.25">
      <c r="A3" s="206"/>
      <c r="B3" s="204"/>
      <c r="C3" s="1195" t="s">
        <v>554</v>
      </c>
      <c r="D3" s="1195"/>
      <c r="E3" s="1195"/>
      <c r="F3" s="204"/>
      <c r="G3" s="1192" t="s">
        <v>555</v>
      </c>
      <c r="H3" s="1192"/>
      <c r="I3" s="1192"/>
      <c r="J3" s="1192"/>
      <c r="K3" s="204"/>
      <c r="L3" s="1192" t="s">
        <v>556</v>
      </c>
      <c r="M3" s="1192"/>
      <c r="N3" s="1192"/>
      <c r="O3" s="1199"/>
    </row>
    <row r="4" spans="1:15" ht="127.5" customHeight="1" x14ac:dyDescent="0.25">
      <c r="A4" s="206"/>
      <c r="B4" s="204"/>
      <c r="C4" s="1195" t="s">
        <v>557</v>
      </c>
      <c r="D4" s="1195"/>
      <c r="E4" s="1195"/>
      <c r="F4" s="204"/>
      <c r="G4" s="1192" t="s">
        <v>558</v>
      </c>
      <c r="H4" s="1192"/>
      <c r="I4" s="1192"/>
      <c r="J4" s="1192"/>
      <c r="K4" s="1200" t="s">
        <v>793</v>
      </c>
      <c r="L4" s="1192" t="s">
        <v>559</v>
      </c>
      <c r="M4" s="1192"/>
      <c r="N4" s="1192"/>
      <c r="O4" s="1199"/>
    </row>
    <row r="5" spans="1:15" x14ac:dyDescent="0.25">
      <c r="A5" s="206"/>
      <c r="B5" s="204"/>
      <c r="C5" s="1195" t="s">
        <v>560</v>
      </c>
      <c r="D5" s="1195"/>
      <c r="E5" s="1195"/>
      <c r="F5" s="207"/>
      <c r="G5" s="606" t="s">
        <v>561</v>
      </c>
      <c r="H5" s="606"/>
      <c r="I5" s="606"/>
      <c r="J5" s="606"/>
      <c r="K5" s="1200"/>
      <c r="L5" s="1193" t="s">
        <v>562</v>
      </c>
      <c r="M5" s="1193"/>
      <c r="N5" s="1193"/>
      <c r="O5" s="1194"/>
    </row>
    <row r="6" spans="1:15" x14ac:dyDescent="0.25">
      <c r="A6" s="206"/>
      <c r="B6" s="204"/>
      <c r="C6" s="1195" t="s">
        <v>563</v>
      </c>
      <c r="D6" s="1195"/>
      <c r="E6" s="1195"/>
      <c r="F6" s="207"/>
      <c r="G6" s="202"/>
      <c r="H6" s="202"/>
      <c r="I6" s="202"/>
      <c r="J6" s="202"/>
      <c r="K6" s="201" t="s">
        <v>584</v>
      </c>
      <c r="L6" s="1193" t="s">
        <v>564</v>
      </c>
      <c r="M6" s="1193"/>
      <c r="N6" s="1193"/>
      <c r="O6" s="1194"/>
    </row>
    <row r="7" spans="1:15" x14ac:dyDescent="0.25">
      <c r="A7" s="206"/>
      <c r="B7" s="203"/>
      <c r="C7" s="1195" t="s">
        <v>565</v>
      </c>
      <c r="D7" s="1195"/>
      <c r="E7" s="1195"/>
      <c r="F7" s="202"/>
      <c r="G7" s="202"/>
      <c r="H7" s="202"/>
      <c r="I7" s="202"/>
      <c r="J7" s="202"/>
      <c r="K7" s="201" t="s">
        <v>584</v>
      </c>
      <c r="L7" s="1193" t="s">
        <v>566</v>
      </c>
      <c r="M7" s="1193"/>
      <c r="N7" s="1193"/>
      <c r="O7" s="1194"/>
    </row>
    <row r="8" spans="1:15" x14ac:dyDescent="0.25">
      <c r="A8" s="206"/>
      <c r="B8" s="236"/>
      <c r="C8" s="1192"/>
      <c r="D8" s="1192"/>
      <c r="E8" s="1192"/>
      <c r="F8" s="202"/>
      <c r="G8" s="202"/>
      <c r="H8" s="202"/>
      <c r="I8" s="202"/>
      <c r="J8" s="202"/>
      <c r="K8" s="201" t="s">
        <v>584</v>
      </c>
      <c r="L8" s="1193" t="s">
        <v>567</v>
      </c>
      <c r="M8" s="1193"/>
      <c r="N8" s="1193"/>
      <c r="O8" s="1194"/>
    </row>
    <row r="9" spans="1:15" ht="51" x14ac:dyDescent="0.25">
      <c r="A9" s="206"/>
      <c r="B9" s="1198" t="s">
        <v>568</v>
      </c>
      <c r="C9" s="1196"/>
      <c r="D9" s="1196"/>
      <c r="E9" s="1196"/>
      <c r="F9" s="1202" t="s">
        <v>569</v>
      </c>
      <c r="G9" s="1202"/>
      <c r="H9" s="1202"/>
      <c r="I9" s="1202"/>
      <c r="J9" s="1202"/>
      <c r="K9" s="348" t="s">
        <v>788</v>
      </c>
      <c r="L9" s="1204" t="s">
        <v>570</v>
      </c>
      <c r="M9" s="1204"/>
      <c r="N9" s="1204"/>
      <c r="O9" s="1205"/>
    </row>
    <row r="10" spans="1:15" ht="51" x14ac:dyDescent="0.25">
      <c r="A10" s="206"/>
      <c r="B10" s="236"/>
      <c r="C10" s="1192" t="s">
        <v>463</v>
      </c>
      <c r="D10" s="1192"/>
      <c r="E10" s="1192"/>
      <c r="F10" s="348" t="s">
        <v>788</v>
      </c>
      <c r="G10" s="1203" t="s">
        <v>571</v>
      </c>
      <c r="H10" s="1203"/>
      <c r="I10" s="1203"/>
      <c r="J10" s="1203"/>
      <c r="K10" s="348" t="s">
        <v>788</v>
      </c>
      <c r="L10" s="1204" t="s">
        <v>572</v>
      </c>
      <c r="M10" s="1204"/>
      <c r="N10" s="1204"/>
      <c r="O10" s="1205"/>
    </row>
    <row r="11" spans="1:15" x14ac:dyDescent="0.25">
      <c r="A11" s="206"/>
      <c r="B11" s="235"/>
      <c r="C11" s="1192" t="s">
        <v>573</v>
      </c>
      <c r="D11" s="1192"/>
      <c r="E11" s="1192"/>
      <c r="F11" s="236"/>
      <c r="G11" s="1192" t="s">
        <v>574</v>
      </c>
      <c r="H11" s="1192"/>
      <c r="I11" s="1192"/>
      <c r="J11" s="1192"/>
      <c r="K11" s="362"/>
      <c r="L11" s="1193"/>
      <c r="M11" s="1193"/>
      <c r="N11" s="1193"/>
      <c r="O11" s="1194"/>
    </row>
    <row r="12" spans="1:15" ht="15.75" x14ac:dyDescent="0.25">
      <c r="A12" s="206"/>
      <c r="B12" s="236"/>
      <c r="C12" s="1192" t="s">
        <v>575</v>
      </c>
      <c r="D12" s="1201"/>
      <c r="E12" s="1201"/>
      <c r="F12" s="236"/>
      <c r="G12" s="1192" t="s">
        <v>576</v>
      </c>
      <c r="H12" s="1192"/>
      <c r="I12" s="1192"/>
      <c r="J12" s="1192"/>
      <c r="K12" s="1196" t="s">
        <v>577</v>
      </c>
      <c r="L12" s="1196"/>
      <c r="M12" s="1196"/>
      <c r="N12" s="1196"/>
      <c r="O12" s="1197"/>
    </row>
    <row r="13" spans="1:15" ht="51" x14ac:dyDescent="0.25">
      <c r="A13" s="206"/>
      <c r="B13" s="236"/>
      <c r="C13" s="1195" t="s">
        <v>578</v>
      </c>
      <c r="D13" s="1195"/>
      <c r="E13" s="1195"/>
      <c r="F13" s="335"/>
      <c r="G13" s="1192" t="s">
        <v>579</v>
      </c>
      <c r="H13" s="1192"/>
      <c r="I13" s="1192"/>
      <c r="J13" s="1192"/>
      <c r="K13" s="378" t="s">
        <v>788</v>
      </c>
      <c r="L13" s="1193" t="s">
        <v>580</v>
      </c>
      <c r="M13" s="1193"/>
      <c r="N13" s="1193"/>
      <c r="O13" s="1194"/>
    </row>
    <row r="14" spans="1:15" ht="51" x14ac:dyDescent="0.25">
      <c r="A14" s="206"/>
      <c r="B14" s="236"/>
      <c r="C14" s="1192" t="s">
        <v>581</v>
      </c>
      <c r="D14" s="1192"/>
      <c r="E14" s="1192"/>
      <c r="F14" s="363"/>
      <c r="G14" s="1192"/>
      <c r="H14" s="1201"/>
      <c r="I14" s="1201"/>
      <c r="J14" s="1201"/>
      <c r="K14" s="378" t="s">
        <v>788</v>
      </c>
      <c r="L14" s="1193" t="s">
        <v>582</v>
      </c>
      <c r="M14" s="1193"/>
      <c r="N14" s="1193"/>
      <c r="O14" s="1194"/>
    </row>
    <row r="15" spans="1:15" x14ac:dyDescent="0.25">
      <c r="A15" s="206"/>
      <c r="B15" s="236"/>
      <c r="C15" s="1192" t="s">
        <v>583</v>
      </c>
      <c r="D15" s="1192"/>
      <c r="E15" s="1192"/>
      <c r="F15" s="362"/>
      <c r="G15" s="362"/>
      <c r="H15" s="362"/>
      <c r="I15" s="362"/>
      <c r="J15" s="362"/>
      <c r="K15" s="362"/>
      <c r="L15" s="362"/>
      <c r="M15" s="362"/>
      <c r="N15" s="362"/>
      <c r="O15" s="373"/>
    </row>
    <row r="18" spans="3:4" x14ac:dyDescent="0.25">
      <c r="C18" s="349"/>
      <c r="D18" s="165" t="s">
        <v>789</v>
      </c>
    </row>
    <row r="19" spans="3:4" x14ac:dyDescent="0.25">
      <c r="C19" s="350"/>
      <c r="D19" s="165" t="s">
        <v>790</v>
      </c>
    </row>
    <row r="20" spans="3:4" x14ac:dyDescent="0.25">
      <c r="C20" s="350" t="s">
        <v>584</v>
      </c>
      <c r="D20" s="165" t="s">
        <v>791</v>
      </c>
    </row>
  </sheetData>
  <mergeCells count="41">
    <mergeCell ref="F1:J1"/>
    <mergeCell ref="B1:E1"/>
    <mergeCell ref="C2:E2"/>
    <mergeCell ref="L2:O2"/>
    <mergeCell ref="L3:O3"/>
    <mergeCell ref="G2:J2"/>
    <mergeCell ref="G3:J3"/>
    <mergeCell ref="C3:E3"/>
    <mergeCell ref="K1:O1"/>
    <mergeCell ref="L14:O14"/>
    <mergeCell ref="C7:E7"/>
    <mergeCell ref="C12:E12"/>
    <mergeCell ref="G13:J13"/>
    <mergeCell ref="C15:E15"/>
    <mergeCell ref="F9:J9"/>
    <mergeCell ref="G10:J10"/>
    <mergeCell ref="G11:J11"/>
    <mergeCell ref="C14:E14"/>
    <mergeCell ref="G12:J12"/>
    <mergeCell ref="G14:J14"/>
    <mergeCell ref="L7:O7"/>
    <mergeCell ref="C10:E10"/>
    <mergeCell ref="L9:O9"/>
    <mergeCell ref="L10:O10"/>
    <mergeCell ref="L11:O11"/>
    <mergeCell ref="C8:E8"/>
    <mergeCell ref="G4:J4"/>
    <mergeCell ref="L5:O5"/>
    <mergeCell ref="L8:O8"/>
    <mergeCell ref="C13:E13"/>
    <mergeCell ref="K12:O12"/>
    <mergeCell ref="B9:E9"/>
    <mergeCell ref="L13:O13"/>
    <mergeCell ref="L4:O4"/>
    <mergeCell ref="C6:E6"/>
    <mergeCell ref="C4:E4"/>
    <mergeCell ref="C5:E5"/>
    <mergeCell ref="G5:J5"/>
    <mergeCell ref="L6:O6"/>
    <mergeCell ref="C11:E11"/>
    <mergeCell ref="K4:K5"/>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2:T53"/>
  <sheetViews>
    <sheetView topLeftCell="C3" zoomScale="85" zoomScaleNormal="85" workbookViewId="0">
      <selection activeCell="T28" sqref="M17:T28"/>
    </sheetView>
  </sheetViews>
  <sheetFormatPr defaultRowHeight="14.25" x14ac:dyDescent="0.2"/>
  <sheetData>
    <row r="2" spans="1:16" x14ac:dyDescent="0.2">
      <c r="A2" t="s">
        <v>623</v>
      </c>
    </row>
    <row r="5" spans="1:16" x14ac:dyDescent="0.2">
      <c r="B5" t="s">
        <v>630</v>
      </c>
      <c r="C5" t="s">
        <v>631</v>
      </c>
      <c r="D5" t="s">
        <v>632</v>
      </c>
      <c r="E5" t="s">
        <v>633</v>
      </c>
      <c r="F5" t="s">
        <v>634</v>
      </c>
      <c r="G5" t="s">
        <v>635</v>
      </c>
      <c r="H5" t="s">
        <v>636</v>
      </c>
      <c r="I5" t="s">
        <v>637</v>
      </c>
      <c r="J5" t="s">
        <v>638</v>
      </c>
      <c r="M5" t="s">
        <v>624</v>
      </c>
      <c r="N5" t="s">
        <v>628</v>
      </c>
      <c r="O5" t="s">
        <v>629</v>
      </c>
      <c r="P5" t="s">
        <v>510</v>
      </c>
    </row>
    <row r="6" spans="1:16" x14ac:dyDescent="0.2">
      <c r="B6" t="s">
        <v>624</v>
      </c>
      <c r="C6" t="s">
        <v>399</v>
      </c>
      <c r="D6">
        <v>141.21037463976899</v>
      </c>
      <c r="E6">
        <v>104.468214157738</v>
      </c>
      <c r="F6">
        <v>186.68760354705401</v>
      </c>
      <c r="G6">
        <v>49</v>
      </c>
      <c r="H6">
        <v>3470</v>
      </c>
      <c r="I6" t="s">
        <v>626</v>
      </c>
      <c r="J6" t="s">
        <v>627</v>
      </c>
      <c r="L6" t="s">
        <v>399</v>
      </c>
      <c r="M6">
        <v>141.21037463976899</v>
      </c>
      <c r="N6">
        <v>148.29322887520999</v>
      </c>
      <c r="O6">
        <v>159.41637395298599</v>
      </c>
      <c r="P6">
        <v>147.91336502905401</v>
      </c>
    </row>
    <row r="7" spans="1:16" x14ac:dyDescent="0.2">
      <c r="B7" t="s">
        <v>624</v>
      </c>
      <c r="C7" t="s">
        <v>83</v>
      </c>
      <c r="D7">
        <v>137.67720828789501</v>
      </c>
      <c r="E7">
        <v>112.140348881591</v>
      </c>
      <c r="F7">
        <v>167.29028832696699</v>
      </c>
      <c r="G7">
        <v>101</v>
      </c>
      <c r="H7">
        <v>7336</v>
      </c>
      <c r="I7" t="s">
        <v>626</v>
      </c>
      <c r="J7" t="s">
        <v>627</v>
      </c>
      <c r="L7" t="s">
        <v>83</v>
      </c>
      <c r="M7">
        <v>137.67720828789501</v>
      </c>
      <c r="N7">
        <v>162.68835844779301</v>
      </c>
      <c r="O7">
        <v>152.29076017404699</v>
      </c>
      <c r="P7">
        <v>144.00200350613599</v>
      </c>
    </row>
    <row r="8" spans="1:16" x14ac:dyDescent="0.2">
      <c r="B8" t="s">
        <v>624</v>
      </c>
      <c r="C8" t="s">
        <v>44</v>
      </c>
      <c r="D8">
        <v>152.48226950354601</v>
      </c>
      <c r="E8">
        <v>121.966135387292</v>
      </c>
      <c r="F8">
        <v>188.314362206715</v>
      </c>
      <c r="G8">
        <v>86</v>
      </c>
      <c r="H8">
        <v>5640</v>
      </c>
      <c r="I8" t="s">
        <v>626</v>
      </c>
      <c r="J8" t="s">
        <v>627</v>
      </c>
      <c r="L8" t="s">
        <v>44</v>
      </c>
      <c r="M8">
        <v>152.48226950354601</v>
      </c>
      <c r="N8">
        <v>170.212765957447</v>
      </c>
      <c r="O8">
        <v>120.006857534716</v>
      </c>
      <c r="P8">
        <v>195.40031125713301</v>
      </c>
    </row>
    <row r="9" spans="1:16" x14ac:dyDescent="0.2">
      <c r="B9" t="s">
        <v>624</v>
      </c>
      <c r="C9" t="s">
        <v>79</v>
      </c>
      <c r="D9">
        <v>217.082310376018</v>
      </c>
      <c r="E9">
        <v>185.49678697553699</v>
      </c>
      <c r="F9">
        <v>252.50428889374399</v>
      </c>
      <c r="G9">
        <v>168</v>
      </c>
      <c r="H9">
        <v>7739</v>
      </c>
      <c r="I9" t="s">
        <v>626</v>
      </c>
      <c r="J9" t="s">
        <v>627</v>
      </c>
      <c r="L9" t="s">
        <v>79</v>
      </c>
      <c r="M9">
        <v>217.082310376018</v>
      </c>
      <c r="N9">
        <v>201.399975439027</v>
      </c>
      <c r="O9">
        <v>179.129598461169</v>
      </c>
      <c r="P9">
        <v>160.344621275577</v>
      </c>
    </row>
    <row r="10" spans="1:16" x14ac:dyDescent="0.2">
      <c r="B10" t="s">
        <v>624</v>
      </c>
      <c r="C10" t="s">
        <v>84</v>
      </c>
      <c r="D10">
        <v>139.53488372093</v>
      </c>
      <c r="E10">
        <v>113.407069457115</v>
      </c>
      <c r="F10">
        <v>169.87871399360799</v>
      </c>
      <c r="G10">
        <v>99</v>
      </c>
      <c r="H10">
        <v>7095</v>
      </c>
      <c r="I10" t="s">
        <v>626</v>
      </c>
      <c r="J10" t="s">
        <v>627</v>
      </c>
      <c r="L10" t="s">
        <v>84</v>
      </c>
      <c r="M10">
        <v>139.53488372093</v>
      </c>
      <c r="N10">
        <v>135.79728405431899</v>
      </c>
      <c r="O10">
        <v>125.06948304613699</v>
      </c>
      <c r="P10">
        <v>154.66072175003501</v>
      </c>
    </row>
    <row r="11" spans="1:16" x14ac:dyDescent="0.2">
      <c r="B11" t="s">
        <v>624</v>
      </c>
      <c r="C11" t="s">
        <v>81</v>
      </c>
      <c r="D11">
        <v>129.83861181895401</v>
      </c>
      <c r="E11">
        <v>106.405877250305</v>
      </c>
      <c r="F11">
        <v>156.89667157378599</v>
      </c>
      <c r="G11">
        <v>107</v>
      </c>
      <c r="H11">
        <v>8241</v>
      </c>
      <c r="I11" t="s">
        <v>626</v>
      </c>
      <c r="J11" t="s">
        <v>627</v>
      </c>
      <c r="L11" t="s">
        <v>81</v>
      </c>
      <c r="M11">
        <v>129.83861181895401</v>
      </c>
      <c r="N11">
        <v>139.30587246307201</v>
      </c>
      <c r="O11">
        <v>94.239604193662402</v>
      </c>
      <c r="P11">
        <v>114.51273662070599</v>
      </c>
    </row>
    <row r="12" spans="1:16" x14ac:dyDescent="0.2">
      <c r="B12" t="s">
        <v>624</v>
      </c>
      <c r="C12" t="s">
        <v>82</v>
      </c>
      <c r="D12">
        <v>107.369448511469</v>
      </c>
      <c r="E12">
        <v>83.039524998612706</v>
      </c>
      <c r="F12">
        <v>136.60026447536501</v>
      </c>
      <c r="G12">
        <v>66</v>
      </c>
      <c r="H12">
        <v>6147</v>
      </c>
      <c r="I12" t="s">
        <v>626</v>
      </c>
      <c r="J12" t="s">
        <v>627</v>
      </c>
      <c r="L12" t="s">
        <v>82</v>
      </c>
      <c r="M12">
        <v>107.369448511469</v>
      </c>
      <c r="N12">
        <v>126.10340479192899</v>
      </c>
      <c r="O12">
        <v>112.395124267849</v>
      </c>
      <c r="P12">
        <v>127.625201938611</v>
      </c>
    </row>
    <row r="13" spans="1:16" x14ac:dyDescent="0.2">
      <c r="B13" t="s">
        <v>624</v>
      </c>
      <c r="C13" t="s">
        <v>292</v>
      </c>
      <c r="D13">
        <v>148.024875186126</v>
      </c>
      <c r="E13">
        <v>137.074966906497</v>
      </c>
      <c r="F13">
        <v>159.61673776231299</v>
      </c>
      <c r="G13">
        <v>676</v>
      </c>
      <c r="H13">
        <v>45668</v>
      </c>
      <c r="I13" t="s">
        <v>626</v>
      </c>
      <c r="J13" t="s">
        <v>627</v>
      </c>
      <c r="L13" t="s">
        <v>292</v>
      </c>
      <c r="M13">
        <v>148.024875186126</v>
      </c>
      <c r="N13">
        <v>155.98885793871901</v>
      </c>
      <c r="O13">
        <v>133.842410002517</v>
      </c>
      <c r="P13">
        <v>147.58450571733201</v>
      </c>
    </row>
    <row r="14" spans="1:16" x14ac:dyDescent="0.2">
      <c r="B14" s="217" t="s">
        <v>624</v>
      </c>
      <c r="C14" t="s">
        <v>625</v>
      </c>
      <c r="D14" s="218">
        <v>140.97298779338399</v>
      </c>
      <c r="E14" s="218">
        <v>137.779978571247</v>
      </c>
      <c r="F14" s="218">
        <v>144.22132122435099</v>
      </c>
      <c r="G14" s="218">
        <v>7404</v>
      </c>
      <c r="H14" s="218">
        <v>525207</v>
      </c>
      <c r="I14" s="217" t="s">
        <v>626</v>
      </c>
      <c r="J14" s="217" t="s">
        <v>627</v>
      </c>
      <c r="L14" t="s">
        <v>625</v>
      </c>
      <c r="M14" s="218">
        <v>140.97298779338399</v>
      </c>
      <c r="N14" s="218">
        <v>145.72543693377699</v>
      </c>
      <c r="O14" s="218">
        <v>128.823001227758</v>
      </c>
      <c r="P14" s="218">
        <v>134.82341639103501</v>
      </c>
    </row>
    <row r="15" spans="1:16" x14ac:dyDescent="0.2">
      <c r="B15" s="217" t="s">
        <v>624</v>
      </c>
      <c r="C15" t="s">
        <v>294</v>
      </c>
      <c r="D15" s="218">
        <v>143.298539793092</v>
      </c>
      <c r="E15" s="218">
        <v>142.00604276675699</v>
      </c>
      <c r="F15" s="218">
        <v>144.59987335829601</v>
      </c>
      <c r="G15" s="218">
        <v>47009</v>
      </c>
      <c r="H15" s="218">
        <v>3280494</v>
      </c>
      <c r="I15" s="217" t="s">
        <v>626</v>
      </c>
      <c r="J15" s="217" t="s">
        <v>627</v>
      </c>
      <c r="L15" t="s">
        <v>294</v>
      </c>
      <c r="M15" s="218">
        <v>143.298539793092</v>
      </c>
      <c r="N15" s="218">
        <v>148.196948640719</v>
      </c>
      <c r="O15" s="218">
        <v>134.69851085474099</v>
      </c>
      <c r="P15" s="218">
        <v>140.79721627471699</v>
      </c>
    </row>
    <row r="17" spans="2:20" x14ac:dyDescent="0.2">
      <c r="B17" t="s">
        <v>628</v>
      </c>
      <c r="C17" t="s">
        <v>399</v>
      </c>
      <c r="D17">
        <v>148.29322887520999</v>
      </c>
      <c r="E17">
        <v>111.08180624235899</v>
      </c>
      <c r="F17">
        <v>193.97119467334201</v>
      </c>
      <c r="G17">
        <v>53</v>
      </c>
      <c r="H17">
        <v>3574</v>
      </c>
      <c r="I17" t="s">
        <v>626</v>
      </c>
      <c r="J17" t="s">
        <v>627</v>
      </c>
      <c r="L17" t="s">
        <v>420</v>
      </c>
      <c r="M17" t="s">
        <v>624</v>
      </c>
      <c r="O17" t="s">
        <v>628</v>
      </c>
      <c r="Q17" t="s">
        <v>629</v>
      </c>
      <c r="S17" t="s">
        <v>510</v>
      </c>
    </row>
    <row r="18" spans="2:20" x14ac:dyDescent="0.2">
      <c r="B18" t="s">
        <v>628</v>
      </c>
      <c r="C18" t="s">
        <v>83</v>
      </c>
      <c r="D18">
        <v>162.68835844779301</v>
      </c>
      <c r="E18">
        <v>135.10285126301</v>
      </c>
      <c r="F18">
        <v>194.25012663580901</v>
      </c>
      <c r="G18">
        <v>122</v>
      </c>
      <c r="H18">
        <v>7499</v>
      </c>
      <c r="I18" t="s">
        <v>626</v>
      </c>
      <c r="J18" t="s">
        <v>627</v>
      </c>
      <c r="M18" t="s">
        <v>420</v>
      </c>
      <c r="N18" t="s">
        <v>419</v>
      </c>
      <c r="O18" t="s">
        <v>420</v>
      </c>
      <c r="P18" t="s">
        <v>419</v>
      </c>
      <c r="Q18" t="s">
        <v>420</v>
      </c>
      <c r="R18" t="s">
        <v>419</v>
      </c>
      <c r="S18" t="s">
        <v>420</v>
      </c>
      <c r="T18" t="s">
        <v>419</v>
      </c>
    </row>
    <row r="19" spans="2:20" x14ac:dyDescent="0.2">
      <c r="B19" t="s">
        <v>628</v>
      </c>
      <c r="C19" t="s">
        <v>44</v>
      </c>
      <c r="D19">
        <v>170.212765957447</v>
      </c>
      <c r="E19">
        <v>137.872888949718</v>
      </c>
      <c r="F19">
        <v>207.85891993799299</v>
      </c>
      <c r="G19">
        <v>96</v>
      </c>
      <c r="H19">
        <v>5640</v>
      </c>
      <c r="I19" t="s">
        <v>626</v>
      </c>
      <c r="J19" t="s">
        <v>627</v>
      </c>
      <c r="L19" t="s">
        <v>399</v>
      </c>
      <c r="M19" s="219">
        <f>F6-D6</f>
        <v>45.477228907285024</v>
      </c>
      <c r="N19" s="219">
        <f t="shared" ref="N19:N28" si="0">D6-E6</f>
        <v>36.742160482030982</v>
      </c>
      <c r="O19" s="219">
        <f t="shared" ref="O19:O28" si="1">F17-D17</f>
        <v>45.677965798132021</v>
      </c>
      <c r="P19" s="219">
        <f t="shared" ref="P19:P28" si="2">D17-E17</f>
        <v>37.211422632850997</v>
      </c>
      <c r="Q19" s="219">
        <f t="shared" ref="Q19:Q28" si="3">F28-D28</f>
        <v>46.219133858939017</v>
      </c>
      <c r="R19" s="219">
        <f t="shared" ref="R19:R28" si="4">D28-E28</f>
        <v>38.061242639269992</v>
      </c>
      <c r="S19" s="219">
        <f t="shared" ref="S19:S28" si="5">F39-D39</f>
        <v>44.164442703605999</v>
      </c>
      <c r="T19" s="219">
        <f t="shared" ref="T19:T28" si="6">D39-E39</f>
        <v>36.181198672397002</v>
      </c>
    </row>
    <row r="20" spans="2:20" x14ac:dyDescent="0.2">
      <c r="B20" t="s">
        <v>628</v>
      </c>
      <c r="C20" t="s">
        <v>79</v>
      </c>
      <c r="D20">
        <v>201.399975439027</v>
      </c>
      <c r="E20">
        <v>171.75532983118401</v>
      </c>
      <c r="F20">
        <v>234.69183588645001</v>
      </c>
      <c r="G20">
        <v>164</v>
      </c>
      <c r="H20">
        <v>8143</v>
      </c>
      <c r="I20" t="s">
        <v>626</v>
      </c>
      <c r="J20" t="s">
        <v>627</v>
      </c>
      <c r="L20" t="s">
        <v>83</v>
      </c>
      <c r="M20" s="219">
        <f t="shared" ref="M20:M28" si="7">F7-D7</f>
        <v>29.613080039071974</v>
      </c>
      <c r="N20" s="219">
        <f t="shared" si="0"/>
        <v>25.536859406304018</v>
      </c>
      <c r="O20" s="219">
        <f t="shared" si="1"/>
        <v>31.561768188016003</v>
      </c>
      <c r="P20" s="219">
        <f t="shared" si="2"/>
        <v>27.585507184783012</v>
      </c>
      <c r="Q20" s="219">
        <f t="shared" si="3"/>
        <v>29.947839739047993</v>
      </c>
      <c r="R20" s="219">
        <f t="shared" si="4"/>
        <v>26.130490704654989</v>
      </c>
      <c r="S20" s="219">
        <f t="shared" si="5"/>
        <v>28.850593061533004</v>
      </c>
      <c r="T20" s="219">
        <f t="shared" si="6"/>
        <v>25.113580940334998</v>
      </c>
    </row>
    <row r="21" spans="2:20" x14ac:dyDescent="0.2">
      <c r="B21" t="s">
        <v>628</v>
      </c>
      <c r="C21" t="s">
        <v>84</v>
      </c>
      <c r="D21">
        <v>135.79728405431899</v>
      </c>
      <c r="E21">
        <v>110.12245115518699</v>
      </c>
      <c r="F21">
        <v>165.66117005668701</v>
      </c>
      <c r="G21">
        <v>97</v>
      </c>
      <c r="H21">
        <v>7143</v>
      </c>
      <c r="I21" t="s">
        <v>626</v>
      </c>
      <c r="J21" t="s">
        <v>627</v>
      </c>
      <c r="L21" t="s">
        <v>44</v>
      </c>
      <c r="M21" s="219">
        <f t="shared" si="7"/>
        <v>35.832092703168996</v>
      </c>
      <c r="N21" s="219">
        <f t="shared" si="0"/>
        <v>30.516134116254008</v>
      </c>
      <c r="O21" s="219">
        <f t="shared" si="1"/>
        <v>37.646153980545989</v>
      </c>
      <c r="P21" s="219">
        <f t="shared" si="2"/>
        <v>32.339877007729001</v>
      </c>
      <c r="Q21" s="219">
        <f t="shared" si="3"/>
        <v>31.614587691294986</v>
      </c>
      <c r="R21" s="219">
        <f t="shared" si="4"/>
        <v>26.4556233709</v>
      </c>
      <c r="S21" s="219">
        <f t="shared" si="5"/>
        <v>39.52475398765398</v>
      </c>
      <c r="T21" s="219">
        <f t="shared" si="6"/>
        <v>34.362798787481012</v>
      </c>
    </row>
    <row r="22" spans="2:20" x14ac:dyDescent="0.2">
      <c r="B22" t="s">
        <v>628</v>
      </c>
      <c r="C22" t="s">
        <v>81</v>
      </c>
      <c r="D22">
        <v>139.30587246307201</v>
      </c>
      <c r="E22">
        <v>115.111139961826</v>
      </c>
      <c r="F22">
        <v>167.08412412278599</v>
      </c>
      <c r="G22">
        <v>116</v>
      </c>
      <c r="H22">
        <v>8327</v>
      </c>
      <c r="I22" t="s">
        <v>626</v>
      </c>
      <c r="J22" t="s">
        <v>627</v>
      </c>
      <c r="L22" t="s">
        <v>79</v>
      </c>
      <c r="M22" s="219">
        <f t="shared" si="7"/>
        <v>35.421978517725989</v>
      </c>
      <c r="N22" s="219">
        <f t="shared" si="0"/>
        <v>31.585523400481009</v>
      </c>
      <c r="O22" s="219">
        <f t="shared" si="1"/>
        <v>33.291860447423005</v>
      </c>
      <c r="P22" s="219">
        <f t="shared" si="2"/>
        <v>29.644645607842989</v>
      </c>
      <c r="Q22" s="219">
        <f t="shared" si="3"/>
        <v>31.182056569361009</v>
      </c>
      <c r="R22" s="219">
        <f t="shared" si="4"/>
        <v>27.607169593389983</v>
      </c>
      <c r="S22" s="219">
        <f t="shared" si="5"/>
        <v>29.561556397223995</v>
      </c>
      <c r="T22" s="219">
        <f t="shared" si="6"/>
        <v>25.998261432944986</v>
      </c>
    </row>
    <row r="23" spans="2:20" x14ac:dyDescent="0.2">
      <c r="B23" t="s">
        <v>628</v>
      </c>
      <c r="C23" t="s">
        <v>82</v>
      </c>
      <c r="D23">
        <v>126.10340479192899</v>
      </c>
      <c r="E23">
        <v>99.992158772870894</v>
      </c>
      <c r="F23">
        <v>156.946602926552</v>
      </c>
      <c r="G23">
        <v>80</v>
      </c>
      <c r="H23">
        <v>6344</v>
      </c>
      <c r="I23" t="s">
        <v>626</v>
      </c>
      <c r="J23" t="s">
        <v>627</v>
      </c>
      <c r="L23" t="s">
        <v>84</v>
      </c>
      <c r="M23" s="219">
        <f t="shared" si="7"/>
        <v>30.343830272677991</v>
      </c>
      <c r="N23" s="219">
        <f t="shared" si="0"/>
        <v>26.127814263814997</v>
      </c>
      <c r="O23" s="219">
        <f t="shared" si="1"/>
        <v>29.863886002368019</v>
      </c>
      <c r="P23" s="219">
        <f t="shared" si="2"/>
        <v>25.674832899131999</v>
      </c>
      <c r="Q23" s="219">
        <f t="shared" si="3"/>
        <v>28.662145180308002</v>
      </c>
      <c r="R23" s="219">
        <f t="shared" si="4"/>
        <v>24.498847766284996</v>
      </c>
      <c r="S23" s="219">
        <f t="shared" si="5"/>
        <v>31.590681887272979</v>
      </c>
      <c r="T23" s="219">
        <f t="shared" si="6"/>
        <v>27.430224508596012</v>
      </c>
    </row>
    <row r="24" spans="2:20" x14ac:dyDescent="0.2">
      <c r="B24" t="s">
        <v>628</v>
      </c>
      <c r="C24" t="s">
        <v>292</v>
      </c>
      <c r="D24">
        <v>155.98885793871901</v>
      </c>
      <c r="E24">
        <v>144.86181594424801</v>
      </c>
      <c r="F24">
        <v>167.74378273193599</v>
      </c>
      <c r="G24">
        <v>728</v>
      </c>
      <c r="H24">
        <v>46670</v>
      </c>
      <c r="I24" t="s">
        <v>626</v>
      </c>
      <c r="J24" t="s">
        <v>627</v>
      </c>
      <c r="L24" t="s">
        <v>81</v>
      </c>
      <c r="M24" s="219">
        <f t="shared" si="7"/>
        <v>27.058059754831987</v>
      </c>
      <c r="N24" s="219">
        <f t="shared" si="0"/>
        <v>23.43273456864901</v>
      </c>
      <c r="O24" s="219">
        <f t="shared" si="1"/>
        <v>27.778251659713987</v>
      </c>
      <c r="P24" s="219">
        <f t="shared" si="2"/>
        <v>24.194732501246008</v>
      </c>
      <c r="Q24" s="219">
        <f t="shared" si="3"/>
        <v>23.049740719289602</v>
      </c>
      <c r="R24" s="219">
        <f t="shared" si="4"/>
        <v>19.513457974426601</v>
      </c>
      <c r="S24" s="219">
        <f t="shared" si="5"/>
        <v>25.041610531824006</v>
      </c>
      <c r="T24" s="219">
        <f t="shared" si="6"/>
        <v>21.545761773372888</v>
      </c>
    </row>
    <row r="25" spans="2:20" x14ac:dyDescent="0.2">
      <c r="B25" s="217" t="s">
        <v>628</v>
      </c>
      <c r="C25" t="s">
        <v>625</v>
      </c>
      <c r="D25" s="218">
        <v>145.72543693377699</v>
      </c>
      <c r="E25" s="218">
        <v>142.511446955297</v>
      </c>
      <c r="F25" s="218">
        <v>148.993630711257</v>
      </c>
      <c r="G25" s="218">
        <v>7811</v>
      </c>
      <c r="H25" s="218">
        <v>536008</v>
      </c>
      <c r="I25" s="217" t="s">
        <v>626</v>
      </c>
      <c r="J25" s="217" t="s">
        <v>627</v>
      </c>
      <c r="L25" t="s">
        <v>82</v>
      </c>
      <c r="M25" s="219">
        <f t="shared" si="7"/>
        <v>29.230815963896006</v>
      </c>
      <c r="N25" s="219">
        <f t="shared" si="0"/>
        <v>24.329923512856297</v>
      </c>
      <c r="O25" s="219">
        <f t="shared" si="1"/>
        <v>30.843198134623009</v>
      </c>
      <c r="P25" s="219">
        <f t="shared" si="2"/>
        <v>26.1112460190581</v>
      </c>
      <c r="Q25" s="219">
        <f t="shared" si="3"/>
        <v>29.376031796468013</v>
      </c>
      <c r="R25" s="219">
        <f t="shared" si="4"/>
        <v>24.613598288522098</v>
      </c>
      <c r="S25" s="219">
        <f t="shared" si="5"/>
        <v>31.433879102868005</v>
      </c>
      <c r="T25" s="219">
        <f t="shared" si="6"/>
        <v>26.583127690476999</v>
      </c>
    </row>
    <row r="26" spans="2:20" x14ac:dyDescent="0.2">
      <c r="B26" s="217" t="s">
        <v>628</v>
      </c>
      <c r="C26" t="s">
        <v>294</v>
      </c>
      <c r="D26" s="218">
        <v>148.196948640719</v>
      </c>
      <c r="E26" s="218">
        <v>146.89203810531899</v>
      </c>
      <c r="F26" s="218">
        <v>149.510567301728</v>
      </c>
      <c r="G26" s="218">
        <v>49331</v>
      </c>
      <c r="H26" s="218">
        <v>3328746</v>
      </c>
      <c r="I26" s="217" t="s">
        <v>626</v>
      </c>
      <c r="J26" s="217" t="s">
        <v>627</v>
      </c>
      <c r="L26" t="s">
        <v>292</v>
      </c>
      <c r="M26" s="219">
        <f t="shared" si="7"/>
        <v>11.591862576186998</v>
      </c>
      <c r="N26" s="219">
        <f t="shared" si="0"/>
        <v>10.949908279629</v>
      </c>
      <c r="O26" s="219">
        <f t="shared" si="1"/>
        <v>11.754924793216986</v>
      </c>
      <c r="P26" s="219">
        <f t="shared" si="2"/>
        <v>11.127041994471</v>
      </c>
      <c r="Q26" s="219">
        <f t="shared" si="3"/>
        <v>10.800881384504009</v>
      </c>
      <c r="R26" s="219">
        <f t="shared" si="4"/>
        <v>10.185633472196997</v>
      </c>
      <c r="S26" s="219">
        <f t="shared" si="5"/>
        <v>11.299939188645993</v>
      </c>
      <c r="T26" s="219">
        <f t="shared" si="6"/>
        <v>10.687258379895013</v>
      </c>
    </row>
    <row r="27" spans="2:20" x14ac:dyDescent="0.2">
      <c r="L27" t="s">
        <v>625</v>
      </c>
      <c r="M27" s="219">
        <f t="shared" si="7"/>
        <v>3.2483334309669942</v>
      </c>
      <c r="N27" s="219">
        <f t="shared" si="0"/>
        <v>3.1930092221369932</v>
      </c>
      <c r="O27" s="219">
        <f t="shared" si="1"/>
        <v>3.2681937774800076</v>
      </c>
      <c r="P27" s="219">
        <f t="shared" si="2"/>
        <v>3.2139899784799866</v>
      </c>
      <c r="Q27" s="219">
        <f t="shared" si="3"/>
        <v>3.0472288196779971</v>
      </c>
      <c r="R27" s="219">
        <f t="shared" si="4"/>
        <v>2.9939777583809928</v>
      </c>
      <c r="S27" s="219">
        <f t="shared" si="5"/>
        <v>3.1113127080460004</v>
      </c>
      <c r="T27" s="219">
        <f t="shared" si="6"/>
        <v>3.0582438763809989</v>
      </c>
    </row>
    <row r="28" spans="2:20" x14ac:dyDescent="0.2">
      <c r="B28" t="s">
        <v>629</v>
      </c>
      <c r="C28" t="s">
        <v>399</v>
      </c>
      <c r="D28">
        <v>159.41637395298599</v>
      </c>
      <c r="E28">
        <v>121.355131313716</v>
      </c>
      <c r="F28">
        <v>205.63550781192501</v>
      </c>
      <c r="G28">
        <v>59</v>
      </c>
      <c r="H28">
        <v>3701</v>
      </c>
      <c r="I28" t="s">
        <v>626</v>
      </c>
      <c r="J28" t="s">
        <v>627</v>
      </c>
      <c r="L28" t="s">
        <v>294</v>
      </c>
      <c r="M28" s="219">
        <f t="shared" si="7"/>
        <v>1.3013335652040041</v>
      </c>
      <c r="N28" s="219">
        <f t="shared" si="0"/>
        <v>1.2924970263350133</v>
      </c>
      <c r="O28" s="219">
        <f t="shared" si="1"/>
        <v>1.3136186610090022</v>
      </c>
      <c r="P28" s="219">
        <f t="shared" si="2"/>
        <v>1.3049105354000119</v>
      </c>
      <c r="Q28" s="219">
        <f t="shared" si="3"/>
        <v>1.24060109562501</v>
      </c>
      <c r="R28" s="219">
        <f t="shared" si="4"/>
        <v>1.2320582695269877</v>
      </c>
      <c r="S28" s="219">
        <f t="shared" si="5"/>
        <v>1.2643645531590266</v>
      </c>
      <c r="T28" s="219">
        <f t="shared" si="6"/>
        <v>1.2558740410409825</v>
      </c>
    </row>
    <row r="29" spans="2:20" x14ac:dyDescent="0.2">
      <c r="B29" t="s">
        <v>629</v>
      </c>
      <c r="C29" t="s">
        <v>83</v>
      </c>
      <c r="D29">
        <v>152.29076017404699</v>
      </c>
      <c r="E29">
        <v>126.16026946939201</v>
      </c>
      <c r="F29">
        <v>182.23859991309499</v>
      </c>
      <c r="G29">
        <v>119</v>
      </c>
      <c r="H29">
        <v>7814</v>
      </c>
      <c r="I29" t="s">
        <v>626</v>
      </c>
      <c r="J29" t="s">
        <v>627</v>
      </c>
    </row>
    <row r="30" spans="2:20" x14ac:dyDescent="0.2">
      <c r="B30" t="s">
        <v>629</v>
      </c>
      <c r="C30" t="s">
        <v>44</v>
      </c>
      <c r="D30">
        <v>120.006857534716</v>
      </c>
      <c r="E30">
        <v>93.551234163816005</v>
      </c>
      <c r="F30">
        <v>151.62144522601099</v>
      </c>
      <c r="G30">
        <v>70</v>
      </c>
      <c r="H30">
        <v>5833</v>
      </c>
      <c r="I30" t="s">
        <v>626</v>
      </c>
      <c r="J30" t="s">
        <v>627</v>
      </c>
    </row>
    <row r="31" spans="2:20" x14ac:dyDescent="0.2">
      <c r="B31" t="s">
        <v>629</v>
      </c>
      <c r="C31" t="s">
        <v>79</v>
      </c>
      <c r="D31">
        <v>179.129598461169</v>
      </c>
      <c r="E31">
        <v>151.52242886777901</v>
      </c>
      <c r="F31">
        <v>210.31165503053001</v>
      </c>
      <c r="G31">
        <v>149</v>
      </c>
      <c r="H31">
        <v>8318</v>
      </c>
      <c r="I31" t="s">
        <v>626</v>
      </c>
      <c r="J31" t="s">
        <v>627</v>
      </c>
      <c r="L31" t="s">
        <v>419</v>
      </c>
    </row>
    <row r="32" spans="2:20" x14ac:dyDescent="0.2">
      <c r="B32" t="s">
        <v>629</v>
      </c>
      <c r="C32" t="s">
        <v>84</v>
      </c>
      <c r="D32">
        <v>125.06948304613699</v>
      </c>
      <c r="E32">
        <v>100.570635279852</v>
      </c>
      <c r="F32">
        <v>153.731628226445</v>
      </c>
      <c r="G32">
        <v>90</v>
      </c>
      <c r="H32">
        <v>7196</v>
      </c>
      <c r="I32" t="s">
        <v>626</v>
      </c>
      <c r="J32" t="s">
        <v>627</v>
      </c>
      <c r="M32" t="s">
        <v>624</v>
      </c>
      <c r="N32" t="s">
        <v>628</v>
      </c>
      <c r="O32" t="s">
        <v>629</v>
      </c>
      <c r="P32" t="s">
        <v>510</v>
      </c>
    </row>
    <row r="33" spans="2:12" x14ac:dyDescent="0.2">
      <c r="B33" t="s">
        <v>629</v>
      </c>
      <c r="C33" t="s">
        <v>81</v>
      </c>
      <c r="D33">
        <v>94.239604193662402</v>
      </c>
      <c r="E33">
        <v>74.726146219235801</v>
      </c>
      <c r="F33">
        <v>117.289344912952</v>
      </c>
      <c r="G33">
        <v>80</v>
      </c>
      <c r="H33">
        <v>8489</v>
      </c>
      <c r="I33" t="s">
        <v>626</v>
      </c>
      <c r="J33" t="s">
        <v>627</v>
      </c>
      <c r="L33" t="s">
        <v>399</v>
      </c>
    </row>
    <row r="34" spans="2:12" x14ac:dyDescent="0.2">
      <c r="B34" t="s">
        <v>629</v>
      </c>
      <c r="C34" t="s">
        <v>82</v>
      </c>
      <c r="D34">
        <v>112.395124267849</v>
      </c>
      <c r="E34">
        <v>87.781525979326901</v>
      </c>
      <c r="F34">
        <v>141.77115606431701</v>
      </c>
      <c r="G34">
        <v>71</v>
      </c>
      <c r="H34">
        <v>6317</v>
      </c>
      <c r="I34" t="s">
        <v>626</v>
      </c>
      <c r="J34" t="s">
        <v>627</v>
      </c>
      <c r="L34" t="s">
        <v>83</v>
      </c>
    </row>
    <row r="35" spans="2:12" x14ac:dyDescent="0.2">
      <c r="B35" t="s">
        <v>629</v>
      </c>
      <c r="C35" t="s">
        <v>292</v>
      </c>
      <c r="D35">
        <v>133.842410002517</v>
      </c>
      <c r="E35">
        <v>123.65677653032</v>
      </c>
      <c r="F35">
        <v>144.64329138702101</v>
      </c>
      <c r="G35">
        <v>638</v>
      </c>
      <c r="H35">
        <v>47668</v>
      </c>
      <c r="I35" t="s">
        <v>626</v>
      </c>
      <c r="J35" t="s">
        <v>627</v>
      </c>
      <c r="L35" t="s">
        <v>44</v>
      </c>
    </row>
    <row r="36" spans="2:12" x14ac:dyDescent="0.2">
      <c r="B36" s="217" t="s">
        <v>629</v>
      </c>
      <c r="C36" t="s">
        <v>625</v>
      </c>
      <c r="D36" s="218">
        <v>128.823001227758</v>
      </c>
      <c r="E36" s="218">
        <v>125.82902346937701</v>
      </c>
      <c r="F36" s="218">
        <v>131.870230047436</v>
      </c>
      <c r="G36" s="218">
        <v>7030</v>
      </c>
      <c r="H36" s="218">
        <v>545710</v>
      </c>
      <c r="I36" s="217" t="s">
        <v>626</v>
      </c>
      <c r="J36" s="217" t="s">
        <v>627</v>
      </c>
      <c r="L36" t="s">
        <v>79</v>
      </c>
    </row>
    <row r="37" spans="2:12" x14ac:dyDescent="0.2">
      <c r="B37" s="217" t="s">
        <v>629</v>
      </c>
      <c r="C37" t="s">
        <v>294</v>
      </c>
      <c r="D37" s="218">
        <v>134.69851085474099</v>
      </c>
      <c r="E37" s="218">
        <v>133.466452585214</v>
      </c>
      <c r="F37" s="218">
        <v>135.939111950366</v>
      </c>
      <c r="G37" s="218">
        <v>45708</v>
      </c>
      <c r="H37" s="218">
        <v>3393356</v>
      </c>
      <c r="I37" s="217" t="s">
        <v>626</v>
      </c>
      <c r="J37" s="217" t="s">
        <v>627</v>
      </c>
      <c r="L37" t="s">
        <v>84</v>
      </c>
    </row>
    <row r="38" spans="2:12" x14ac:dyDescent="0.2">
      <c r="L38" t="s">
        <v>81</v>
      </c>
    </row>
    <row r="39" spans="2:12" x14ac:dyDescent="0.2">
      <c r="B39" t="s">
        <v>510</v>
      </c>
      <c r="C39" t="s">
        <v>399</v>
      </c>
      <c r="D39">
        <v>147.91336502905401</v>
      </c>
      <c r="E39">
        <v>111.732166356657</v>
      </c>
      <c r="F39">
        <v>192.07780773266001</v>
      </c>
      <c r="G39">
        <v>56</v>
      </c>
      <c r="H39">
        <v>3786</v>
      </c>
      <c r="I39" t="s">
        <v>626</v>
      </c>
      <c r="J39" t="s">
        <v>627</v>
      </c>
      <c r="L39" t="s">
        <v>82</v>
      </c>
    </row>
    <row r="40" spans="2:12" x14ac:dyDescent="0.2">
      <c r="B40" t="s">
        <v>510</v>
      </c>
      <c r="C40" t="s">
        <v>83</v>
      </c>
      <c r="D40">
        <v>144.00200350613599</v>
      </c>
      <c r="E40">
        <v>118.88842256580099</v>
      </c>
      <c r="F40">
        <v>172.852596567669</v>
      </c>
      <c r="G40">
        <v>115</v>
      </c>
      <c r="H40">
        <v>7986</v>
      </c>
      <c r="I40" t="s">
        <v>626</v>
      </c>
      <c r="J40" t="s">
        <v>627</v>
      </c>
      <c r="L40" t="s">
        <v>292</v>
      </c>
    </row>
    <row r="41" spans="2:12" x14ac:dyDescent="0.2">
      <c r="B41" t="s">
        <v>510</v>
      </c>
      <c r="C41" t="s">
        <v>44</v>
      </c>
      <c r="D41">
        <v>195.40031125713301</v>
      </c>
      <c r="E41">
        <v>161.037512469652</v>
      </c>
      <c r="F41">
        <v>234.92506524478699</v>
      </c>
      <c r="G41">
        <v>113</v>
      </c>
      <c r="H41">
        <v>5783</v>
      </c>
      <c r="I41" t="s">
        <v>626</v>
      </c>
      <c r="J41" t="s">
        <v>627</v>
      </c>
      <c r="L41" t="s">
        <v>625</v>
      </c>
    </row>
    <row r="42" spans="2:12" x14ac:dyDescent="0.2">
      <c r="B42" t="s">
        <v>510</v>
      </c>
      <c r="C42" t="s">
        <v>79</v>
      </c>
      <c r="D42">
        <v>160.344621275577</v>
      </c>
      <c r="E42">
        <v>134.34635984263201</v>
      </c>
      <c r="F42">
        <v>189.90617767280099</v>
      </c>
      <c r="G42">
        <v>134</v>
      </c>
      <c r="H42">
        <v>8357</v>
      </c>
      <c r="I42" t="s">
        <v>626</v>
      </c>
      <c r="J42" t="s">
        <v>627</v>
      </c>
      <c r="L42" t="s">
        <v>294</v>
      </c>
    </row>
    <row r="43" spans="2:12" x14ac:dyDescent="0.2">
      <c r="B43" t="s">
        <v>510</v>
      </c>
      <c r="C43" t="s">
        <v>84</v>
      </c>
      <c r="D43">
        <v>154.66072175003501</v>
      </c>
      <c r="E43">
        <v>127.230497241439</v>
      </c>
      <c r="F43">
        <v>186.25140363730799</v>
      </c>
      <c r="G43">
        <v>111</v>
      </c>
      <c r="H43">
        <v>7177</v>
      </c>
      <c r="I43" t="s">
        <v>626</v>
      </c>
      <c r="J43" t="s">
        <v>627</v>
      </c>
    </row>
    <row r="44" spans="2:12" x14ac:dyDescent="0.2">
      <c r="B44" t="s">
        <v>510</v>
      </c>
      <c r="C44" t="s">
        <v>81</v>
      </c>
      <c r="D44">
        <v>114.51273662070599</v>
      </c>
      <c r="E44">
        <v>92.966974847333105</v>
      </c>
      <c r="F44">
        <v>139.55434715253</v>
      </c>
      <c r="G44">
        <v>98</v>
      </c>
      <c r="H44">
        <v>8558</v>
      </c>
      <c r="I44" t="s">
        <v>626</v>
      </c>
      <c r="J44" t="s">
        <v>627</v>
      </c>
    </row>
    <row r="45" spans="2:12" x14ac:dyDescent="0.2">
      <c r="B45" t="s">
        <v>510</v>
      </c>
      <c r="C45" t="s">
        <v>82</v>
      </c>
      <c r="D45">
        <v>127.625201938611</v>
      </c>
      <c r="E45">
        <v>101.042074248134</v>
      </c>
      <c r="F45">
        <v>159.059081041479</v>
      </c>
      <c r="G45">
        <v>79</v>
      </c>
      <c r="H45">
        <v>6190</v>
      </c>
      <c r="I45" t="s">
        <v>626</v>
      </c>
      <c r="J45" t="s">
        <v>627</v>
      </c>
    </row>
    <row r="46" spans="2:12" x14ac:dyDescent="0.2">
      <c r="B46" t="s">
        <v>510</v>
      </c>
      <c r="C46" t="s">
        <v>292</v>
      </c>
      <c r="D46">
        <v>147.58450571733201</v>
      </c>
      <c r="E46">
        <v>136.89724733743699</v>
      </c>
      <c r="F46">
        <v>158.884444905978</v>
      </c>
      <c r="G46">
        <v>706</v>
      </c>
      <c r="H46">
        <v>47837</v>
      </c>
      <c r="I46" t="s">
        <v>626</v>
      </c>
      <c r="J46" t="s">
        <v>627</v>
      </c>
    </row>
    <row r="47" spans="2:12" x14ac:dyDescent="0.2">
      <c r="B47" s="217" t="s">
        <v>510</v>
      </c>
      <c r="C47" t="s">
        <v>625</v>
      </c>
      <c r="D47" s="218">
        <v>134.82341639103501</v>
      </c>
      <c r="E47" s="218">
        <v>131.76517251465401</v>
      </c>
      <c r="F47" s="218">
        <v>137.93472909908101</v>
      </c>
      <c r="G47" s="218">
        <v>7382</v>
      </c>
      <c r="H47" s="218">
        <v>547531</v>
      </c>
      <c r="I47" s="217" t="s">
        <v>626</v>
      </c>
      <c r="J47" s="217" t="s">
        <v>627</v>
      </c>
    </row>
    <row r="48" spans="2:12" x14ac:dyDescent="0.2">
      <c r="B48" s="217" t="s">
        <v>510</v>
      </c>
      <c r="C48" t="s">
        <v>294</v>
      </c>
      <c r="D48" s="218">
        <v>140.79721627471699</v>
      </c>
      <c r="E48" s="218">
        <v>139.541342233676</v>
      </c>
      <c r="F48" s="218">
        <v>142.06158082787601</v>
      </c>
      <c r="G48" s="218">
        <v>48070</v>
      </c>
      <c r="H48" s="218">
        <v>3414130</v>
      </c>
      <c r="I48" s="217" t="s">
        <v>626</v>
      </c>
      <c r="J48" s="217" t="s">
        <v>627</v>
      </c>
    </row>
    <row r="53" spans="10:10" x14ac:dyDescent="0.2">
      <c r="J53" s="2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7" tint="0.39997558519241921"/>
    <pageSetUpPr fitToPage="1"/>
  </sheetPr>
  <dimension ref="A1:X95"/>
  <sheetViews>
    <sheetView zoomScaleNormal="100" zoomScaleSheetLayoutView="80" zoomScalePageLayoutView="80" workbookViewId="0">
      <selection activeCell="X38" sqref="X38"/>
    </sheetView>
  </sheetViews>
  <sheetFormatPr defaultRowHeight="14.25" x14ac:dyDescent="0.2"/>
  <cols>
    <col min="1" max="1" width="1" style="69" customWidth="1"/>
    <col min="2" max="2" width="1.09765625" style="69" customWidth="1"/>
    <col min="3" max="3" width="6.5" style="69" customWidth="1"/>
    <col min="4" max="5" width="5.69921875" style="69" customWidth="1"/>
    <col min="6" max="17" width="6.69921875" style="69" customWidth="1"/>
    <col min="18" max="19" width="5.69921875" style="69" customWidth="1"/>
    <col min="20" max="20" width="1.5" style="69" customWidth="1"/>
    <col min="21" max="21" width="1.19921875" style="69" customWidth="1"/>
    <col min="22" max="22" width="1.09765625" style="69" customWidth="1"/>
    <col min="23" max="23" width="8.796875" style="69"/>
    <col min="24" max="24" width="19" style="69" bestFit="1" customWidth="1"/>
    <col min="25" max="16384" width="8.796875" style="69"/>
  </cols>
  <sheetData>
    <row r="1" spans="1:24" ht="15" x14ac:dyDescent="0.25">
      <c r="X1" s="23">
        <f ca="1">NOW()</f>
        <v>42356.527743287035</v>
      </c>
    </row>
    <row r="2" spans="1:24" ht="17.25" customHeight="1" x14ac:dyDescent="0.2">
      <c r="A2" s="590"/>
      <c r="B2" s="591"/>
      <c r="C2" s="591"/>
      <c r="D2" s="591"/>
      <c r="E2" s="591"/>
      <c r="F2" s="591"/>
      <c r="G2" s="591"/>
      <c r="H2" s="591"/>
      <c r="I2" s="591"/>
      <c r="J2" s="591"/>
      <c r="K2" s="591"/>
      <c r="L2" s="591"/>
      <c r="M2" s="591"/>
      <c r="N2" s="591"/>
      <c r="O2" s="169"/>
      <c r="P2" s="169"/>
      <c r="Q2" s="169"/>
      <c r="R2" s="169"/>
    </row>
    <row r="3" spans="1:24" ht="15" x14ac:dyDescent="0.25">
      <c r="A3" s="170"/>
      <c r="B3" s="170"/>
      <c r="C3" s="170"/>
      <c r="D3" s="170"/>
      <c r="E3" s="170"/>
      <c r="F3" s="170"/>
      <c r="G3" s="170"/>
      <c r="H3" s="170"/>
      <c r="I3" s="170"/>
      <c r="J3" s="170"/>
      <c r="K3" s="170"/>
      <c r="L3" s="170"/>
      <c r="M3" s="170"/>
      <c r="N3" s="170"/>
      <c r="O3" s="170"/>
      <c r="P3" s="170"/>
      <c r="Q3" s="170"/>
      <c r="R3" s="170"/>
    </row>
    <row r="4" spans="1:24" ht="15" x14ac:dyDescent="0.25">
      <c r="A4" s="170"/>
      <c r="B4" s="170"/>
      <c r="C4" s="170"/>
      <c r="D4" s="170"/>
      <c r="E4" s="170"/>
      <c r="F4" s="170"/>
      <c r="G4" s="170"/>
      <c r="H4" s="170"/>
      <c r="I4" s="170"/>
      <c r="J4" s="170"/>
      <c r="K4" s="170"/>
      <c r="L4" s="170"/>
      <c r="M4" s="170"/>
      <c r="N4" s="170"/>
      <c r="O4" s="170"/>
      <c r="P4" s="170"/>
      <c r="Q4" s="170"/>
      <c r="R4" s="170"/>
    </row>
    <row r="5" spans="1:24" ht="15" x14ac:dyDescent="0.25">
      <c r="A5" s="170"/>
      <c r="B5" s="5"/>
      <c r="C5" s="5"/>
      <c r="D5" s="5"/>
      <c r="E5" s="5"/>
      <c r="F5" s="5"/>
      <c r="G5" s="5"/>
      <c r="H5" s="5"/>
      <c r="I5" s="5"/>
      <c r="J5" s="5"/>
      <c r="K5" s="5"/>
      <c r="L5" s="5"/>
      <c r="M5" s="5"/>
      <c r="N5" s="5"/>
      <c r="O5" s="5"/>
      <c r="P5" s="5"/>
      <c r="Q5" s="5"/>
      <c r="R5" s="5"/>
      <c r="S5" s="6"/>
      <c r="T5" s="6"/>
      <c r="U5" s="6"/>
    </row>
    <row r="6" spans="1:24" ht="15" x14ac:dyDescent="0.25">
      <c r="B6" s="6"/>
      <c r="C6" s="5"/>
      <c r="D6" s="5"/>
      <c r="E6" s="5"/>
      <c r="F6" s="5"/>
      <c r="G6" s="5"/>
      <c r="H6" s="5"/>
      <c r="I6" s="5"/>
      <c r="J6" s="5"/>
      <c r="K6" s="5"/>
      <c r="L6" s="5"/>
      <c r="M6" s="5"/>
      <c r="N6" s="5"/>
      <c r="O6" s="5"/>
      <c r="P6" s="5"/>
      <c r="Q6" s="5"/>
      <c r="R6" s="5"/>
      <c r="S6" s="5"/>
      <c r="T6" s="6"/>
      <c r="U6" s="6"/>
    </row>
    <row r="7" spans="1:24" ht="15" x14ac:dyDescent="0.25">
      <c r="B7" s="6"/>
      <c r="C7" s="5"/>
      <c r="D7" s="5"/>
      <c r="E7" s="5"/>
      <c r="F7" s="5"/>
      <c r="G7" s="5"/>
      <c r="H7" s="5"/>
      <c r="I7" s="5"/>
      <c r="J7" s="5"/>
      <c r="K7" s="5"/>
      <c r="L7" s="5"/>
      <c r="M7" s="5"/>
      <c r="N7" s="5"/>
      <c r="O7" s="5"/>
      <c r="P7" s="5"/>
      <c r="Q7" s="5"/>
      <c r="R7" s="5"/>
      <c r="S7" s="5"/>
      <c r="T7" s="6"/>
      <c r="U7" s="6"/>
    </row>
    <row r="8" spans="1:24" x14ac:dyDescent="0.2">
      <c r="B8" s="6"/>
      <c r="C8" s="6"/>
      <c r="D8" s="6"/>
      <c r="E8" s="6"/>
      <c r="F8" s="6"/>
      <c r="G8" s="6"/>
      <c r="H8" s="6"/>
      <c r="I8" s="6"/>
      <c r="J8" s="6"/>
      <c r="K8" s="6"/>
      <c r="L8" s="6"/>
      <c r="M8" s="6"/>
      <c r="N8" s="6"/>
      <c r="O8" s="6"/>
      <c r="P8" s="6"/>
      <c r="Q8" s="6"/>
      <c r="R8" s="6"/>
      <c r="S8" s="6"/>
      <c r="T8" s="6"/>
      <c r="U8" s="6"/>
    </row>
    <row r="9" spans="1:24" x14ac:dyDescent="0.2">
      <c r="B9" s="6"/>
      <c r="C9" s="6"/>
      <c r="D9" s="6"/>
      <c r="E9" s="6"/>
      <c r="F9" s="6"/>
      <c r="G9" s="6"/>
      <c r="H9" s="6"/>
      <c r="I9" s="6"/>
      <c r="J9" s="6"/>
      <c r="K9" s="6"/>
      <c r="L9" s="6"/>
      <c r="M9" s="6"/>
      <c r="N9" s="6"/>
      <c r="O9" s="6"/>
      <c r="P9" s="6"/>
      <c r="Q9" s="6"/>
      <c r="R9" s="6"/>
      <c r="S9" s="6"/>
      <c r="T9" s="6"/>
      <c r="U9" s="6"/>
    </row>
    <row r="10" spans="1:24" x14ac:dyDescent="0.2">
      <c r="B10" s="6"/>
      <c r="C10" s="6"/>
      <c r="D10" s="6"/>
      <c r="E10" s="6"/>
      <c r="F10" s="6"/>
      <c r="G10" s="6"/>
      <c r="H10" s="6"/>
      <c r="I10" s="6"/>
      <c r="J10" s="6"/>
      <c r="K10" s="6"/>
      <c r="L10" s="6"/>
      <c r="M10" s="6"/>
      <c r="N10" s="6"/>
      <c r="O10" s="6"/>
      <c r="P10" s="6"/>
      <c r="Q10" s="6"/>
      <c r="R10" s="6"/>
      <c r="S10" s="6"/>
      <c r="T10" s="6"/>
      <c r="U10" s="6"/>
    </row>
    <row r="11" spans="1:24" x14ac:dyDescent="0.2">
      <c r="B11" s="6"/>
      <c r="C11" s="6"/>
      <c r="D11" s="6"/>
      <c r="E11" s="6"/>
      <c r="F11" s="6"/>
      <c r="G11" s="6"/>
      <c r="H11" s="6"/>
      <c r="I11" s="6"/>
      <c r="J11" s="6"/>
      <c r="K11" s="6"/>
      <c r="L11" s="6"/>
      <c r="M11" s="6"/>
      <c r="N11" s="6"/>
      <c r="O11" s="6"/>
      <c r="P11" s="6"/>
      <c r="Q11" s="6"/>
      <c r="R11" s="6"/>
      <c r="S11" s="6"/>
      <c r="T11" s="6"/>
      <c r="U11" s="6"/>
    </row>
    <row r="12" spans="1:24" x14ac:dyDescent="0.2">
      <c r="B12" s="6"/>
      <c r="C12" s="6"/>
      <c r="D12" s="6"/>
      <c r="E12" s="6"/>
      <c r="F12" s="6"/>
      <c r="G12" s="6"/>
      <c r="H12" s="6"/>
      <c r="I12" s="6"/>
      <c r="J12" s="6"/>
      <c r="K12" s="6"/>
      <c r="L12" s="6"/>
      <c r="M12" s="6"/>
      <c r="N12" s="6"/>
      <c r="O12" s="6"/>
      <c r="P12" s="6"/>
      <c r="Q12" s="6"/>
      <c r="R12" s="6"/>
      <c r="S12" s="6"/>
      <c r="T12" s="6"/>
      <c r="U12" s="6"/>
    </row>
    <row r="13" spans="1:24" x14ac:dyDescent="0.2">
      <c r="B13" s="6"/>
      <c r="C13" s="6"/>
      <c r="D13" s="6"/>
      <c r="E13" s="6"/>
      <c r="F13" s="6"/>
      <c r="G13" s="6"/>
      <c r="H13" s="6"/>
      <c r="I13" s="6"/>
      <c r="J13" s="6"/>
      <c r="K13" s="6"/>
      <c r="L13" s="6"/>
      <c r="M13" s="6"/>
      <c r="N13" s="6"/>
      <c r="O13" s="6"/>
      <c r="P13" s="6"/>
      <c r="Q13" s="6"/>
      <c r="R13" s="6"/>
      <c r="S13" s="6"/>
      <c r="T13" s="6"/>
      <c r="U13" s="6"/>
    </row>
    <row r="14" spans="1:24" x14ac:dyDescent="0.2">
      <c r="B14" s="6"/>
      <c r="C14" s="6"/>
      <c r="D14" s="6"/>
      <c r="E14" s="6"/>
      <c r="F14" s="6"/>
      <c r="G14" s="6"/>
      <c r="H14" s="6"/>
      <c r="I14" s="6"/>
      <c r="J14" s="6"/>
      <c r="K14" s="6"/>
      <c r="L14" s="6"/>
      <c r="M14" s="6"/>
      <c r="N14" s="6"/>
      <c r="O14" s="6"/>
      <c r="P14" s="6"/>
      <c r="Q14" s="6"/>
      <c r="R14" s="6"/>
      <c r="S14" s="6"/>
      <c r="T14" s="6"/>
      <c r="U14" s="6"/>
    </row>
    <row r="15" spans="1:24" x14ac:dyDescent="0.2">
      <c r="B15" s="6"/>
      <c r="C15" s="6"/>
      <c r="D15" s="6"/>
      <c r="E15" s="6"/>
      <c r="F15" s="6"/>
      <c r="G15" s="6"/>
      <c r="H15" s="6"/>
      <c r="I15" s="6"/>
      <c r="J15" s="6"/>
      <c r="K15" s="6"/>
      <c r="L15" s="6"/>
      <c r="M15" s="6"/>
      <c r="N15" s="6"/>
      <c r="O15" s="6"/>
      <c r="P15" s="6"/>
      <c r="Q15" s="6"/>
      <c r="R15" s="6"/>
      <c r="S15" s="6"/>
      <c r="T15" s="6"/>
      <c r="U15" s="6"/>
    </row>
    <row r="16" spans="1:24" x14ac:dyDescent="0.2">
      <c r="B16" s="6"/>
      <c r="C16" s="6"/>
      <c r="D16" s="6"/>
      <c r="E16" s="6"/>
      <c r="F16" s="6"/>
      <c r="G16" s="6"/>
      <c r="H16" s="6"/>
      <c r="I16" s="6"/>
      <c r="J16" s="6"/>
      <c r="K16" s="6"/>
      <c r="L16" s="6"/>
      <c r="M16" s="6"/>
      <c r="N16" s="6"/>
      <c r="O16" s="6"/>
      <c r="P16" s="6"/>
      <c r="Q16" s="6"/>
      <c r="R16" s="6"/>
      <c r="S16" s="6"/>
      <c r="T16" s="6"/>
      <c r="U16" s="6"/>
    </row>
    <row r="17" spans="2:21" x14ac:dyDescent="0.2">
      <c r="B17" s="6"/>
      <c r="C17" s="6"/>
      <c r="D17" s="6"/>
      <c r="E17" s="6"/>
      <c r="F17" s="6"/>
      <c r="G17" s="6"/>
      <c r="H17" s="6"/>
      <c r="I17" s="6"/>
      <c r="J17" s="6"/>
      <c r="K17" s="6"/>
      <c r="L17" s="6"/>
      <c r="M17" s="6"/>
      <c r="N17" s="6"/>
      <c r="O17" s="6"/>
      <c r="P17" s="6"/>
      <c r="Q17" s="6"/>
      <c r="R17" s="6"/>
      <c r="S17" s="6"/>
      <c r="T17" s="6"/>
      <c r="U17" s="6"/>
    </row>
    <row r="18" spans="2:21" ht="6.75" customHeight="1" x14ac:dyDescent="0.2">
      <c r="B18" s="6"/>
      <c r="C18" s="6"/>
      <c r="D18" s="6"/>
      <c r="E18" s="6"/>
      <c r="F18" s="6"/>
      <c r="G18" s="6"/>
      <c r="H18" s="6"/>
      <c r="I18" s="6"/>
      <c r="J18" s="6"/>
      <c r="K18" s="6"/>
      <c r="L18" s="6"/>
      <c r="M18" s="6"/>
      <c r="N18" s="6"/>
      <c r="O18" s="6"/>
      <c r="P18" s="6"/>
      <c r="Q18" s="6"/>
      <c r="R18" s="6"/>
      <c r="S18" s="6"/>
      <c r="T18" s="6"/>
      <c r="U18" s="6"/>
    </row>
    <row r="19" spans="2:21" x14ac:dyDescent="0.2">
      <c r="B19" s="6"/>
      <c r="C19" s="6"/>
      <c r="D19" s="6"/>
      <c r="E19" s="6"/>
      <c r="F19" s="6"/>
      <c r="G19" s="6"/>
      <c r="H19" s="6"/>
      <c r="I19" s="6"/>
      <c r="J19" s="6"/>
      <c r="K19" s="6"/>
      <c r="L19" s="6"/>
      <c r="M19" s="6"/>
      <c r="N19" s="6"/>
      <c r="O19" s="6"/>
      <c r="P19" s="6"/>
      <c r="Q19" s="6"/>
      <c r="R19" s="6"/>
      <c r="S19" s="6"/>
      <c r="T19" s="6"/>
      <c r="U19" s="6"/>
    </row>
    <row r="20" spans="2:21" x14ac:dyDescent="0.2">
      <c r="B20" s="6"/>
      <c r="C20" s="6"/>
      <c r="D20" s="6"/>
      <c r="E20" s="6"/>
      <c r="F20" s="6"/>
      <c r="G20" s="6"/>
      <c r="H20" s="6"/>
      <c r="I20" s="6"/>
      <c r="J20" s="6"/>
      <c r="K20" s="6"/>
      <c r="L20" s="6"/>
      <c r="M20" s="6"/>
      <c r="N20" s="6"/>
      <c r="O20" s="6"/>
      <c r="P20" s="6"/>
      <c r="Q20" s="6"/>
      <c r="R20" s="6"/>
      <c r="S20" s="6"/>
      <c r="T20" s="6"/>
      <c r="U20" s="6"/>
    </row>
    <row r="21" spans="2:21" x14ac:dyDescent="0.2">
      <c r="B21" s="6"/>
      <c r="C21" s="6"/>
      <c r="D21" s="6"/>
      <c r="E21" s="6"/>
      <c r="F21" s="6"/>
      <c r="G21" s="6"/>
      <c r="H21" s="6"/>
      <c r="I21" s="6"/>
      <c r="J21" s="6"/>
      <c r="K21" s="6"/>
      <c r="L21" s="6"/>
      <c r="M21" s="6"/>
      <c r="N21" s="6"/>
      <c r="O21" s="6"/>
      <c r="P21" s="6"/>
      <c r="Q21" s="6"/>
      <c r="R21" s="6"/>
      <c r="S21" s="6"/>
      <c r="T21" s="6"/>
      <c r="U21" s="6"/>
    </row>
    <row r="22" spans="2:21" x14ac:dyDescent="0.2">
      <c r="B22" s="6"/>
      <c r="C22" s="6"/>
      <c r="D22" s="6"/>
      <c r="E22" s="6"/>
      <c r="F22" s="6"/>
      <c r="G22" s="6"/>
      <c r="H22" s="6"/>
      <c r="I22" s="6"/>
      <c r="J22" s="6"/>
      <c r="K22" s="6"/>
      <c r="L22" s="6"/>
      <c r="M22" s="6"/>
      <c r="N22" s="6"/>
      <c r="O22" s="6"/>
      <c r="P22" s="6"/>
      <c r="Q22" s="6"/>
      <c r="R22" s="6"/>
      <c r="S22" s="6"/>
      <c r="T22" s="6"/>
      <c r="U22" s="6"/>
    </row>
    <row r="23" spans="2:21" x14ac:dyDescent="0.2">
      <c r="B23" s="6"/>
      <c r="C23" s="6"/>
      <c r="D23" s="6"/>
      <c r="E23" s="6"/>
      <c r="F23" s="6"/>
      <c r="G23" s="6"/>
      <c r="H23" s="6"/>
      <c r="I23" s="6"/>
      <c r="J23" s="6"/>
      <c r="K23" s="6"/>
      <c r="L23" s="6"/>
      <c r="M23" s="6"/>
      <c r="N23" s="6"/>
      <c r="O23" s="6"/>
      <c r="P23" s="6"/>
      <c r="Q23" s="6"/>
      <c r="R23" s="6"/>
      <c r="S23" s="6"/>
      <c r="T23" s="6"/>
      <c r="U23" s="6"/>
    </row>
    <row r="24" spans="2:21" x14ac:dyDescent="0.2">
      <c r="B24" s="6"/>
      <c r="U24" s="6"/>
    </row>
    <row r="25" spans="2:21" x14ac:dyDescent="0.2">
      <c r="B25" s="6"/>
      <c r="U25" s="6"/>
    </row>
    <row r="26" spans="2:21" ht="22.5" customHeight="1" x14ac:dyDescent="0.2">
      <c r="B26" s="6"/>
      <c r="C26" s="602" t="s">
        <v>856</v>
      </c>
      <c r="D26" s="602"/>
      <c r="E26" s="602"/>
      <c r="F26" s="602"/>
      <c r="G26" s="602"/>
      <c r="H26" s="602"/>
      <c r="I26" s="602"/>
      <c r="J26" s="602"/>
      <c r="K26" s="602"/>
      <c r="L26" s="602"/>
      <c r="M26" s="602"/>
      <c r="N26" s="602"/>
      <c r="O26" s="602"/>
      <c r="P26" s="602"/>
      <c r="Q26" s="602"/>
      <c r="R26" s="602"/>
      <c r="S26" s="602"/>
      <c r="U26" s="6"/>
    </row>
    <row r="27" spans="2:21" s="418" customFormat="1" ht="49.5" customHeight="1" x14ac:dyDescent="0.2">
      <c r="B27" s="419"/>
      <c r="C27" s="598" t="s">
        <v>871</v>
      </c>
      <c r="D27" s="598"/>
      <c r="E27" s="598"/>
      <c r="F27" s="598"/>
      <c r="G27" s="598"/>
      <c r="H27" s="598"/>
      <c r="I27" s="598"/>
      <c r="J27" s="598"/>
      <c r="K27" s="598"/>
      <c r="L27" s="598"/>
      <c r="M27" s="598"/>
      <c r="N27" s="598"/>
      <c r="O27" s="598"/>
      <c r="P27" s="598"/>
      <c r="Q27" s="598"/>
      <c r="R27" s="598"/>
      <c r="S27" s="598"/>
      <c r="T27" s="598"/>
      <c r="U27" s="419"/>
    </row>
    <row r="28" spans="2:21" ht="15" x14ac:dyDescent="0.25">
      <c r="B28" s="6"/>
      <c r="C28" s="170"/>
      <c r="D28" s="170" t="s">
        <v>845</v>
      </c>
      <c r="E28" s="170"/>
      <c r="F28" s="170"/>
      <c r="G28" s="170"/>
      <c r="H28" s="170"/>
      <c r="I28" s="170"/>
      <c r="J28" s="170"/>
      <c r="K28" s="170"/>
      <c r="L28" s="170"/>
      <c r="M28" s="170"/>
      <c r="N28" s="170"/>
      <c r="O28" s="170"/>
      <c r="P28" s="170"/>
      <c r="Q28" s="170"/>
      <c r="R28" s="170"/>
      <c r="S28" s="170"/>
      <c r="U28" s="6"/>
    </row>
    <row r="29" spans="2:21" ht="15" x14ac:dyDescent="0.25">
      <c r="B29" s="6"/>
      <c r="C29" s="170"/>
      <c r="D29" s="170" t="s">
        <v>872</v>
      </c>
      <c r="E29" s="170"/>
      <c r="F29" s="170"/>
      <c r="G29" s="170"/>
      <c r="H29" s="170"/>
      <c r="I29" s="170"/>
      <c r="J29" s="170"/>
      <c r="K29" s="170"/>
      <c r="L29" s="170"/>
      <c r="M29" s="170"/>
      <c r="N29" s="170"/>
      <c r="O29" s="170"/>
      <c r="P29" s="170"/>
      <c r="Q29" s="170"/>
      <c r="R29" s="170"/>
      <c r="S29" s="170"/>
      <c r="U29" s="6"/>
    </row>
    <row r="30" spans="2:21" ht="15" x14ac:dyDescent="0.25">
      <c r="B30" s="6"/>
      <c r="C30" s="170"/>
      <c r="D30" s="170" t="s">
        <v>846</v>
      </c>
      <c r="E30" s="170"/>
      <c r="F30" s="170"/>
      <c r="G30" s="170"/>
      <c r="H30" s="170"/>
      <c r="I30" s="170"/>
      <c r="J30" s="170"/>
      <c r="K30" s="170"/>
      <c r="L30" s="170"/>
      <c r="M30" s="170"/>
      <c r="N30" s="170"/>
      <c r="O30" s="170"/>
      <c r="P30" s="170"/>
      <c r="Q30" s="170"/>
      <c r="R30" s="170"/>
      <c r="S30" s="170"/>
      <c r="U30" s="6"/>
    </row>
    <row r="31" spans="2:21" ht="15" x14ac:dyDescent="0.25">
      <c r="B31" s="6"/>
      <c r="C31" s="170"/>
      <c r="D31" s="170" t="s">
        <v>847</v>
      </c>
      <c r="E31" s="170"/>
      <c r="F31" s="170"/>
      <c r="G31" s="170"/>
      <c r="H31" s="170"/>
      <c r="I31" s="170"/>
      <c r="J31" s="170"/>
      <c r="K31" s="170"/>
      <c r="L31" s="170"/>
      <c r="M31" s="170"/>
      <c r="N31" s="170"/>
      <c r="O31" s="170"/>
      <c r="P31" s="170"/>
      <c r="Q31" s="170"/>
      <c r="R31" s="170"/>
      <c r="S31" s="170"/>
      <c r="U31" s="6"/>
    </row>
    <row r="32" spans="2:21" ht="15" x14ac:dyDescent="0.25">
      <c r="B32" s="6"/>
      <c r="C32" s="170"/>
      <c r="D32" s="170" t="s">
        <v>848</v>
      </c>
      <c r="E32" s="170"/>
      <c r="F32" s="170"/>
      <c r="G32" s="170"/>
      <c r="H32" s="170"/>
      <c r="I32" s="170"/>
      <c r="J32" s="170"/>
      <c r="K32" s="170"/>
      <c r="L32" s="170"/>
      <c r="M32" s="170"/>
      <c r="N32" s="170"/>
      <c r="O32" s="170"/>
      <c r="P32" s="170"/>
      <c r="Q32" s="170"/>
      <c r="R32" s="170"/>
      <c r="S32" s="170"/>
      <c r="U32" s="6"/>
    </row>
    <row r="33" spans="2:21" ht="15" x14ac:dyDescent="0.25">
      <c r="B33" s="6"/>
      <c r="C33" s="170"/>
      <c r="D33" s="170" t="s">
        <v>849</v>
      </c>
      <c r="E33" s="170"/>
      <c r="F33" s="170"/>
      <c r="G33" s="170"/>
      <c r="H33" s="170"/>
      <c r="I33" s="170"/>
      <c r="J33" s="170"/>
      <c r="K33" s="170"/>
      <c r="L33" s="170"/>
      <c r="M33" s="170"/>
      <c r="N33" s="170"/>
      <c r="O33" s="170"/>
      <c r="P33" s="170"/>
      <c r="Q33" s="170"/>
      <c r="R33" s="170"/>
      <c r="S33" s="170"/>
      <c r="U33" s="6"/>
    </row>
    <row r="34" spans="2:21" ht="15" x14ac:dyDescent="0.25">
      <c r="B34" s="6"/>
      <c r="C34" s="170"/>
      <c r="D34" s="170" t="s">
        <v>850</v>
      </c>
      <c r="E34" s="170"/>
      <c r="F34" s="170"/>
      <c r="G34" s="170"/>
      <c r="H34" s="170"/>
      <c r="I34" s="170"/>
      <c r="J34" s="170"/>
      <c r="K34" s="170"/>
      <c r="L34" s="170"/>
      <c r="M34" s="170"/>
      <c r="N34" s="170"/>
      <c r="O34" s="170"/>
      <c r="P34" s="170"/>
      <c r="Q34" s="170"/>
      <c r="R34" s="170"/>
      <c r="S34" s="170"/>
      <c r="U34" s="6"/>
    </row>
    <row r="35" spans="2:21" ht="15" x14ac:dyDescent="0.25">
      <c r="B35" s="6"/>
      <c r="C35" s="170"/>
      <c r="D35" s="170" t="s">
        <v>851</v>
      </c>
      <c r="E35" s="170"/>
      <c r="F35" s="170"/>
      <c r="G35" s="170"/>
      <c r="H35" s="170"/>
      <c r="I35" s="170"/>
      <c r="J35" s="170"/>
      <c r="K35" s="170"/>
      <c r="L35" s="170"/>
      <c r="M35" s="170"/>
      <c r="N35" s="170"/>
      <c r="O35" s="170"/>
      <c r="P35" s="170"/>
      <c r="Q35" s="170"/>
      <c r="R35" s="170"/>
      <c r="S35" s="170"/>
      <c r="U35" s="6"/>
    </row>
    <row r="36" spans="2:21" ht="15.75" x14ac:dyDescent="0.2">
      <c r="B36" s="6"/>
      <c r="C36" s="205"/>
      <c r="D36" s="603" t="s">
        <v>852</v>
      </c>
      <c r="E36" s="603"/>
      <c r="F36" s="603"/>
      <c r="G36" s="603"/>
      <c r="H36" s="603"/>
      <c r="I36" s="603"/>
      <c r="J36" s="603"/>
      <c r="K36" s="603"/>
      <c r="L36" s="603"/>
      <c r="M36" s="603"/>
      <c r="N36" s="603"/>
      <c r="O36" s="603"/>
      <c r="P36" s="603"/>
      <c r="Q36" s="603"/>
      <c r="R36" s="603"/>
      <c r="S36" s="603"/>
      <c r="U36" s="6"/>
    </row>
    <row r="37" spans="2:21" ht="15.75" x14ac:dyDescent="0.2">
      <c r="B37" s="6"/>
      <c r="C37" s="205"/>
      <c r="D37" s="412" t="s">
        <v>853</v>
      </c>
      <c r="E37" s="412"/>
      <c r="F37" s="412"/>
      <c r="G37" s="412"/>
      <c r="H37" s="412"/>
      <c r="I37" s="412"/>
      <c r="J37" s="412"/>
      <c r="K37" s="412"/>
      <c r="L37" s="412"/>
      <c r="M37" s="412"/>
      <c r="N37" s="412"/>
      <c r="O37" s="412"/>
      <c r="P37" s="412"/>
      <c r="Q37" s="412"/>
      <c r="R37" s="412"/>
      <c r="S37" s="412"/>
      <c r="U37" s="6"/>
    </row>
    <row r="38" spans="2:21" ht="15.75" x14ac:dyDescent="0.2">
      <c r="B38" s="6"/>
      <c r="C38" s="205"/>
      <c r="D38" s="412" t="s">
        <v>854</v>
      </c>
      <c r="E38" s="412"/>
      <c r="F38" s="412"/>
      <c r="G38" s="412"/>
      <c r="H38" s="412"/>
      <c r="I38" s="412"/>
      <c r="J38" s="412"/>
      <c r="K38" s="412"/>
      <c r="L38" s="412"/>
      <c r="M38" s="412"/>
      <c r="N38" s="412"/>
      <c r="O38" s="412"/>
      <c r="P38" s="412"/>
      <c r="Q38" s="412"/>
      <c r="R38" s="412"/>
      <c r="S38" s="412"/>
      <c r="U38" s="6"/>
    </row>
    <row r="39" spans="2:21" s="414" customFormat="1" ht="15" customHeight="1" x14ac:dyDescent="0.25">
      <c r="B39" s="5"/>
      <c r="C39" s="237"/>
      <c r="D39" s="599" t="s">
        <v>855</v>
      </c>
      <c r="E39" s="599"/>
      <c r="F39" s="599"/>
      <c r="G39" s="599"/>
      <c r="H39" s="599"/>
      <c r="I39" s="599"/>
      <c r="J39" s="599"/>
      <c r="K39" s="599"/>
      <c r="L39" s="237"/>
      <c r="M39" s="606"/>
      <c r="N39" s="606"/>
      <c r="O39" s="606"/>
      <c r="P39" s="606"/>
      <c r="U39" s="5"/>
    </row>
    <row r="40" spans="2:21" s="548" customFormat="1" ht="15" customHeight="1" x14ac:dyDescent="0.25">
      <c r="B40" s="5"/>
      <c r="C40" s="237"/>
      <c r="D40" s="547"/>
      <c r="E40" s="547"/>
      <c r="F40" s="547"/>
      <c r="G40" s="547"/>
      <c r="H40" s="547"/>
      <c r="I40" s="547"/>
      <c r="J40" s="547"/>
      <c r="K40" s="547"/>
      <c r="L40" s="237"/>
      <c r="M40" s="545"/>
      <c r="N40" s="545"/>
      <c r="O40" s="545"/>
      <c r="P40" s="545"/>
      <c r="U40" s="5"/>
    </row>
    <row r="41" spans="2:21" ht="15" x14ac:dyDescent="0.25">
      <c r="B41" s="6"/>
      <c r="C41" s="551" t="s">
        <v>999</v>
      </c>
      <c r="D41" s="550"/>
      <c r="E41" s="550"/>
      <c r="F41" s="550"/>
      <c r="G41" s="550"/>
      <c r="H41" s="550"/>
      <c r="I41" s="550"/>
      <c r="K41" s="549" t="s">
        <v>1000</v>
      </c>
      <c r="L41" s="550"/>
      <c r="M41" s="550"/>
      <c r="N41" s="550"/>
      <c r="O41" s="550"/>
      <c r="P41" s="550"/>
      <c r="Q41" s="550"/>
      <c r="R41" s="550"/>
      <c r="S41" s="548"/>
      <c r="U41" s="6"/>
    </row>
    <row r="42" spans="2:21" ht="15" x14ac:dyDescent="0.25">
      <c r="B42" s="6"/>
      <c r="C42" s="546"/>
      <c r="D42" s="546"/>
      <c r="E42" s="546"/>
      <c r="F42" s="546"/>
      <c r="G42" s="546"/>
      <c r="H42" s="546"/>
      <c r="I42" s="546"/>
      <c r="J42" s="549"/>
      <c r="K42" s="546"/>
      <c r="L42" s="546"/>
      <c r="M42" s="546"/>
      <c r="N42" s="546"/>
      <c r="O42" s="546"/>
      <c r="P42" s="546"/>
      <c r="Q42" s="546"/>
      <c r="R42" s="546"/>
      <c r="S42" s="548"/>
      <c r="U42" s="6"/>
    </row>
    <row r="43" spans="2:21" ht="15" x14ac:dyDescent="0.25">
      <c r="B43" s="6"/>
      <c r="C43" s="238"/>
      <c r="D43" s="410"/>
      <c r="E43" s="410"/>
      <c r="F43" s="410"/>
      <c r="G43" s="238"/>
      <c r="H43" s="411"/>
      <c r="I43" s="411"/>
      <c r="J43" s="411"/>
      <c r="K43" s="411"/>
      <c r="L43" s="238"/>
      <c r="M43" s="411"/>
      <c r="N43" s="411"/>
      <c r="O43" s="411"/>
      <c r="P43" s="411"/>
      <c r="Q43" s="5"/>
      <c r="R43" s="5"/>
      <c r="S43" s="5"/>
      <c r="T43" s="6"/>
      <c r="U43" s="6"/>
    </row>
    <row r="44" spans="2:21" x14ac:dyDescent="0.2">
      <c r="B44" s="6"/>
      <c r="C44" s="238"/>
      <c r="D44" s="596"/>
      <c r="E44" s="596"/>
      <c r="F44" s="596"/>
      <c r="G44" s="238"/>
      <c r="H44" s="604"/>
      <c r="I44" s="604"/>
      <c r="J44" s="604"/>
      <c r="K44" s="604"/>
      <c r="L44" s="238"/>
      <c r="M44" s="604"/>
      <c r="N44" s="604"/>
      <c r="O44" s="604"/>
      <c r="P44" s="604"/>
      <c r="Q44" s="6"/>
      <c r="R44" s="6"/>
      <c r="S44" s="6"/>
      <c r="T44" s="6"/>
      <c r="U44" s="6"/>
    </row>
    <row r="45" spans="2:21" x14ac:dyDescent="0.2">
      <c r="B45" s="6"/>
      <c r="C45" s="238"/>
      <c r="D45" s="596"/>
      <c r="E45" s="596"/>
      <c r="F45" s="596"/>
      <c r="G45" s="238"/>
      <c r="H45" s="604"/>
      <c r="I45" s="604"/>
      <c r="J45" s="604"/>
      <c r="K45" s="604"/>
      <c r="L45" s="239"/>
      <c r="M45" s="605"/>
      <c r="N45" s="605"/>
      <c r="O45" s="605"/>
      <c r="P45" s="605"/>
      <c r="Q45" s="6"/>
      <c r="R45" s="6"/>
      <c r="S45" s="6"/>
      <c r="T45" s="6"/>
      <c r="U45" s="6"/>
    </row>
    <row r="46" spans="2:21" x14ac:dyDescent="0.2">
      <c r="B46" s="6"/>
      <c r="C46" s="237"/>
      <c r="D46" s="237"/>
      <c r="E46" s="237"/>
      <c r="F46" s="237"/>
      <c r="G46" s="237"/>
      <c r="H46" s="237"/>
      <c r="I46" s="237"/>
      <c r="J46" s="237"/>
      <c r="K46" s="237"/>
      <c r="L46" s="237"/>
      <c r="M46" s="237"/>
      <c r="N46" s="237"/>
      <c r="O46" s="237"/>
      <c r="P46" s="237"/>
      <c r="Q46" s="237"/>
      <c r="R46" s="237"/>
      <c r="U46" s="6"/>
    </row>
    <row r="47" spans="2:21" ht="15" x14ac:dyDescent="0.2">
      <c r="B47" s="6"/>
      <c r="C47" s="597" t="s">
        <v>646</v>
      </c>
      <c r="D47" s="597"/>
      <c r="E47" s="597"/>
      <c r="F47" s="597"/>
      <c r="G47" s="597"/>
      <c r="H47" s="597"/>
      <c r="I47" s="597"/>
      <c r="J47" s="597"/>
      <c r="K47" s="597"/>
      <c r="L47" s="597"/>
      <c r="M47" s="597"/>
      <c r="N47" s="597"/>
      <c r="O47" s="597"/>
      <c r="P47" s="597"/>
      <c r="Q47" s="597"/>
      <c r="R47" s="237"/>
      <c r="U47" s="6"/>
    </row>
    <row r="48" spans="2:21" ht="13.5" customHeight="1" x14ac:dyDescent="0.2">
      <c r="B48" s="6"/>
      <c r="C48" s="597" t="s">
        <v>647</v>
      </c>
      <c r="D48" s="597"/>
      <c r="E48" s="597"/>
      <c r="F48" s="597"/>
      <c r="G48" s="597"/>
      <c r="H48" s="597"/>
      <c r="I48" s="597"/>
      <c r="J48" s="597"/>
      <c r="K48" s="597"/>
      <c r="L48" s="597"/>
      <c r="M48" s="597"/>
      <c r="N48" s="597"/>
      <c r="O48" s="597"/>
      <c r="P48" s="597"/>
      <c r="Q48" s="597"/>
      <c r="R48" s="237"/>
      <c r="U48" s="6"/>
    </row>
    <row r="49" spans="2:21" ht="15" customHeight="1" x14ac:dyDescent="0.2">
      <c r="B49" s="6"/>
      <c r="C49" s="597" t="s">
        <v>648</v>
      </c>
      <c r="D49" s="597"/>
      <c r="E49" s="597"/>
      <c r="F49" s="597"/>
      <c r="G49" s="597"/>
      <c r="H49" s="597"/>
      <c r="I49" s="597"/>
      <c r="J49" s="597"/>
      <c r="K49" s="597"/>
      <c r="L49" s="597"/>
      <c r="M49" s="597"/>
      <c r="N49" s="597"/>
      <c r="O49" s="597"/>
      <c r="P49" s="597"/>
      <c r="Q49" s="597"/>
      <c r="R49" s="237"/>
      <c r="U49" s="6"/>
    </row>
    <row r="50" spans="2:21" ht="15.75" customHeight="1" x14ac:dyDescent="0.2">
      <c r="B50" s="6"/>
      <c r="C50" s="600" t="s">
        <v>857</v>
      </c>
      <c r="D50" s="600"/>
      <c r="E50" s="600"/>
      <c r="F50" s="600"/>
      <c r="G50" s="600"/>
      <c r="H50" s="600"/>
      <c r="I50" s="600"/>
      <c r="J50" s="600"/>
      <c r="K50" s="600"/>
      <c r="L50" s="600"/>
      <c r="M50" s="600"/>
      <c r="N50" s="600"/>
      <c r="O50" s="600"/>
      <c r="P50" s="600"/>
      <c r="Q50" s="600"/>
      <c r="R50" s="600"/>
      <c r="S50" s="600"/>
      <c r="U50" s="6"/>
    </row>
    <row r="51" spans="2:21" s="416" customFormat="1" ht="15.75" customHeight="1" x14ac:dyDescent="0.2">
      <c r="B51" s="417"/>
      <c r="C51" s="420"/>
      <c r="D51" s="601" t="s">
        <v>858</v>
      </c>
      <c r="E51" s="601"/>
      <c r="F51" s="601"/>
      <c r="G51" s="601"/>
      <c r="H51" s="601"/>
      <c r="I51" s="601"/>
      <c r="J51" s="601"/>
      <c r="K51" s="601"/>
      <c r="L51" s="601"/>
      <c r="M51" s="601"/>
      <c r="N51" s="601"/>
      <c r="O51" s="601"/>
      <c r="P51" s="601"/>
      <c r="Q51" s="601"/>
      <c r="R51" s="601"/>
      <c r="S51" s="420"/>
      <c r="U51" s="417"/>
    </row>
    <row r="52" spans="2:21" ht="15.75" customHeight="1" x14ac:dyDescent="0.2">
      <c r="B52" s="6"/>
      <c r="C52" s="597" t="s">
        <v>649</v>
      </c>
      <c r="D52" s="597"/>
      <c r="E52" s="597"/>
      <c r="F52" s="597"/>
      <c r="G52" s="597"/>
      <c r="H52" s="597"/>
      <c r="I52" s="597"/>
      <c r="J52" s="597"/>
      <c r="K52" s="597"/>
      <c r="L52" s="597"/>
      <c r="M52" s="597"/>
      <c r="N52" s="597"/>
      <c r="O52" s="597"/>
      <c r="P52" s="597"/>
      <c r="Q52" s="597"/>
      <c r="R52" s="237"/>
      <c r="U52" s="6"/>
    </row>
    <row r="53" spans="2:21" ht="15" x14ac:dyDescent="0.2">
      <c r="B53" s="6"/>
      <c r="C53" s="597" t="s">
        <v>650</v>
      </c>
      <c r="D53" s="597"/>
      <c r="E53" s="597"/>
      <c r="F53" s="597"/>
      <c r="G53" s="597"/>
      <c r="H53" s="597"/>
      <c r="I53" s="597"/>
      <c r="J53" s="597"/>
      <c r="K53" s="597"/>
      <c r="L53" s="597"/>
      <c r="M53" s="597"/>
      <c r="N53" s="597"/>
      <c r="O53" s="597"/>
      <c r="P53" s="597"/>
      <c r="Q53" s="597"/>
      <c r="R53" s="237"/>
      <c r="U53" s="6"/>
    </row>
    <row r="54" spans="2:21" ht="15" x14ac:dyDescent="0.2">
      <c r="B54" s="6"/>
      <c r="C54" s="240"/>
      <c r="D54" s="240"/>
      <c r="E54" s="240"/>
      <c r="F54" s="240"/>
      <c r="G54" s="240"/>
      <c r="H54" s="240"/>
      <c r="I54" s="240"/>
      <c r="J54" s="240"/>
      <c r="K54" s="240"/>
      <c r="L54" s="241"/>
      <c r="M54" s="241"/>
      <c r="N54" s="241"/>
      <c r="O54" s="241"/>
      <c r="P54" s="241"/>
      <c r="Q54" s="241"/>
      <c r="R54" s="237"/>
      <c r="U54" s="6"/>
    </row>
    <row r="55" spans="2:21" ht="15" x14ac:dyDescent="0.2">
      <c r="B55" s="6"/>
      <c r="C55" s="592" t="s">
        <v>651</v>
      </c>
      <c r="D55" s="593"/>
      <c r="E55" s="593"/>
      <c r="F55" s="593"/>
      <c r="G55" s="593"/>
      <c r="H55" s="593"/>
      <c r="I55" s="593"/>
      <c r="J55" s="593"/>
      <c r="K55" s="593"/>
      <c r="L55" s="593"/>
      <c r="M55" s="593"/>
      <c r="N55" s="593"/>
      <c r="O55" s="593"/>
      <c r="P55" s="593"/>
      <c r="Q55" s="593"/>
      <c r="R55" s="237"/>
      <c r="U55" s="6"/>
    </row>
    <row r="56" spans="2:21" ht="51" customHeight="1" x14ac:dyDescent="0.2">
      <c r="B56" s="6"/>
      <c r="C56" s="594" t="s">
        <v>652</v>
      </c>
      <c r="D56" s="594"/>
      <c r="E56" s="594"/>
      <c r="F56" s="594"/>
      <c r="G56" s="594"/>
      <c r="H56" s="594"/>
      <c r="I56" s="594"/>
      <c r="J56" s="594"/>
      <c r="K56" s="594"/>
      <c r="L56" s="595"/>
      <c r="M56" s="595"/>
      <c r="N56" s="595"/>
      <c r="O56" s="595"/>
      <c r="P56" s="595"/>
      <c r="Q56" s="595"/>
      <c r="R56" s="237"/>
      <c r="U56" s="6"/>
    </row>
    <row r="57" spans="2:21" ht="15" x14ac:dyDescent="0.2">
      <c r="B57" s="6"/>
      <c r="C57" s="594" t="s">
        <v>653</v>
      </c>
      <c r="D57" s="594"/>
      <c r="E57" s="594"/>
      <c r="F57" s="594"/>
      <c r="G57" s="594"/>
      <c r="H57" s="594"/>
      <c r="I57" s="594"/>
      <c r="J57" s="594"/>
      <c r="K57" s="594"/>
      <c r="L57" s="595"/>
      <c r="M57" s="595"/>
      <c r="N57" s="595"/>
      <c r="O57" s="595"/>
      <c r="P57" s="595"/>
      <c r="Q57" s="595"/>
      <c r="R57" s="237"/>
      <c r="U57" s="6"/>
    </row>
    <row r="58" spans="2:21" x14ac:dyDescent="0.2">
      <c r="B58" s="6"/>
      <c r="C58" s="237"/>
      <c r="D58" s="237"/>
      <c r="E58" s="237"/>
      <c r="F58" s="237"/>
      <c r="G58" s="237"/>
      <c r="H58" s="237"/>
      <c r="I58" s="237"/>
      <c r="J58" s="237"/>
      <c r="K58" s="237"/>
      <c r="L58" s="237"/>
      <c r="M58" s="237"/>
      <c r="N58" s="237"/>
      <c r="O58" s="237"/>
      <c r="P58" s="237"/>
      <c r="Q58" s="237"/>
      <c r="R58" s="237"/>
      <c r="U58" s="6"/>
    </row>
    <row r="59" spans="2:21" x14ac:dyDescent="0.2">
      <c r="B59" s="6"/>
      <c r="C59" s="238"/>
      <c r="D59" s="238"/>
      <c r="E59" s="238"/>
      <c r="F59" s="238"/>
      <c r="G59" s="238"/>
      <c r="H59" s="238"/>
      <c r="I59" s="238"/>
      <c r="J59" s="238"/>
      <c r="K59" s="238"/>
      <c r="L59" s="238"/>
      <c r="M59" s="238"/>
      <c r="N59" s="238"/>
      <c r="O59" s="238"/>
      <c r="P59" s="238"/>
      <c r="Q59" s="238"/>
      <c r="R59" s="238"/>
      <c r="S59" s="6"/>
      <c r="T59" s="6"/>
      <c r="U59" s="6"/>
    </row>
    <row r="60" spans="2:21" x14ac:dyDescent="0.2">
      <c r="B60" s="6"/>
      <c r="C60" s="238"/>
      <c r="D60" s="238"/>
      <c r="E60" s="238"/>
      <c r="F60" s="238"/>
      <c r="G60" s="238"/>
      <c r="H60" s="238"/>
      <c r="I60" s="238"/>
      <c r="J60" s="238"/>
      <c r="K60" s="238"/>
      <c r="L60" s="238"/>
      <c r="M60" s="238"/>
      <c r="N60" s="238"/>
      <c r="O60" s="238"/>
      <c r="P60" s="238"/>
      <c r="Q60" s="238"/>
      <c r="R60" s="238"/>
      <c r="S60" s="6"/>
      <c r="T60" s="6"/>
      <c r="U60" s="6"/>
    </row>
    <row r="61" spans="2:21" x14ac:dyDescent="0.2">
      <c r="C61" s="237"/>
      <c r="D61" s="237"/>
      <c r="E61" s="237"/>
      <c r="F61" s="237"/>
      <c r="G61" s="237"/>
      <c r="H61" s="237"/>
      <c r="I61" s="237"/>
      <c r="J61" s="237"/>
      <c r="K61" s="237"/>
      <c r="L61" s="237"/>
      <c r="M61" s="237"/>
      <c r="N61" s="237"/>
      <c r="O61" s="237"/>
      <c r="P61" s="237"/>
      <c r="Q61" s="237"/>
      <c r="R61" s="237"/>
    </row>
    <row r="62" spans="2:21" x14ac:dyDescent="0.2">
      <c r="C62" s="237"/>
      <c r="D62" s="237"/>
      <c r="E62" s="237"/>
      <c r="F62" s="237"/>
      <c r="G62" s="237"/>
      <c r="H62" s="237"/>
      <c r="I62" s="237"/>
      <c r="J62" s="237"/>
      <c r="K62" s="237"/>
      <c r="L62" s="237"/>
      <c r="M62" s="237"/>
      <c r="N62" s="237"/>
      <c r="O62" s="237"/>
      <c r="P62" s="237"/>
      <c r="Q62" s="237"/>
      <c r="R62" s="237"/>
    </row>
    <row r="63" spans="2:21" x14ac:dyDescent="0.2">
      <c r="C63" s="237"/>
      <c r="D63" s="237"/>
      <c r="E63" s="237"/>
      <c r="F63" s="237"/>
      <c r="G63" s="237"/>
      <c r="H63" s="237"/>
      <c r="I63" s="237"/>
      <c r="J63" s="237"/>
      <c r="K63" s="237"/>
      <c r="L63" s="237"/>
      <c r="M63" s="237"/>
      <c r="N63" s="237"/>
      <c r="O63" s="237"/>
      <c r="P63" s="237"/>
      <c r="Q63" s="237"/>
      <c r="R63" s="237"/>
    </row>
    <row r="64" spans="2:21" x14ac:dyDescent="0.2">
      <c r="C64" s="237"/>
      <c r="D64" s="237"/>
      <c r="E64" s="237"/>
      <c r="F64" s="237"/>
      <c r="G64" s="237"/>
      <c r="H64" s="237"/>
      <c r="I64" s="237"/>
      <c r="J64" s="237"/>
      <c r="K64" s="237"/>
      <c r="L64" s="237"/>
      <c r="M64" s="237"/>
      <c r="N64" s="237"/>
      <c r="O64" s="237"/>
      <c r="P64" s="237"/>
      <c r="Q64" s="237"/>
      <c r="R64" s="237"/>
    </row>
    <row r="65" spans="3:18" x14ac:dyDescent="0.2">
      <c r="C65" s="237"/>
      <c r="D65" s="237"/>
      <c r="E65" s="237"/>
      <c r="F65" s="237"/>
      <c r="G65" s="237"/>
      <c r="H65" s="237"/>
      <c r="I65" s="237"/>
      <c r="J65" s="237"/>
      <c r="K65" s="237"/>
      <c r="L65" s="237"/>
      <c r="M65" s="237"/>
      <c r="N65" s="237"/>
      <c r="O65" s="237"/>
      <c r="P65" s="237"/>
      <c r="Q65" s="237"/>
      <c r="R65" s="237"/>
    </row>
    <row r="66" spans="3:18" x14ac:dyDescent="0.2">
      <c r="C66" s="237"/>
      <c r="D66" s="237"/>
      <c r="E66" s="237"/>
      <c r="F66" s="237"/>
      <c r="G66" s="237"/>
      <c r="H66" s="237"/>
      <c r="I66" s="237"/>
      <c r="J66" s="237"/>
      <c r="K66" s="237"/>
      <c r="L66" s="237"/>
      <c r="M66" s="237"/>
      <c r="N66" s="237"/>
      <c r="O66" s="237"/>
      <c r="P66" s="237"/>
      <c r="Q66" s="237"/>
      <c r="R66" s="237"/>
    </row>
    <row r="67" spans="3:18" x14ac:dyDescent="0.2">
      <c r="C67" s="237"/>
      <c r="D67" s="237"/>
      <c r="E67" s="237"/>
      <c r="F67" s="237"/>
      <c r="G67" s="237"/>
      <c r="H67" s="237"/>
      <c r="I67" s="237"/>
      <c r="J67" s="237"/>
      <c r="K67" s="237"/>
      <c r="L67" s="237"/>
      <c r="M67" s="237"/>
      <c r="N67" s="237"/>
      <c r="O67" s="237"/>
      <c r="P67" s="237"/>
      <c r="Q67" s="237"/>
      <c r="R67" s="237"/>
    </row>
    <row r="68" spans="3:18" x14ac:dyDescent="0.2">
      <c r="C68" s="237"/>
      <c r="D68" s="237"/>
      <c r="E68" s="237"/>
      <c r="F68" s="237"/>
      <c r="G68" s="237"/>
      <c r="H68" s="237"/>
      <c r="I68" s="237"/>
      <c r="J68" s="237"/>
      <c r="K68" s="237"/>
      <c r="L68" s="237"/>
      <c r="M68" s="237"/>
      <c r="N68" s="237"/>
      <c r="O68" s="237"/>
      <c r="P68" s="237"/>
      <c r="Q68" s="237"/>
      <c r="R68" s="237"/>
    </row>
    <row r="69" spans="3:18" x14ac:dyDescent="0.2">
      <c r="C69" s="237"/>
      <c r="D69" s="237"/>
      <c r="E69" s="237"/>
      <c r="F69" s="237"/>
      <c r="G69" s="237"/>
      <c r="H69" s="237"/>
      <c r="I69" s="237"/>
      <c r="J69" s="237"/>
      <c r="K69" s="237"/>
      <c r="L69" s="237"/>
      <c r="M69" s="237"/>
      <c r="N69" s="237"/>
      <c r="O69" s="237"/>
      <c r="P69" s="237"/>
      <c r="Q69" s="237"/>
      <c r="R69" s="237"/>
    </row>
    <row r="70" spans="3:18" x14ac:dyDescent="0.2">
      <c r="C70" s="237"/>
      <c r="D70" s="237"/>
      <c r="E70" s="237"/>
      <c r="F70" s="237"/>
      <c r="G70" s="237"/>
      <c r="H70" s="237"/>
      <c r="I70" s="237"/>
      <c r="J70" s="237"/>
      <c r="K70" s="237"/>
      <c r="L70" s="237"/>
      <c r="M70" s="237"/>
      <c r="N70" s="237"/>
      <c r="O70" s="237"/>
      <c r="P70" s="237"/>
      <c r="Q70" s="237"/>
      <c r="R70" s="237"/>
    </row>
    <row r="71" spans="3:18" x14ac:dyDescent="0.2">
      <c r="C71" s="237"/>
      <c r="D71" s="237"/>
      <c r="E71" s="237"/>
      <c r="F71" s="237"/>
      <c r="G71" s="237"/>
      <c r="H71" s="237"/>
      <c r="I71" s="237"/>
      <c r="J71" s="237"/>
      <c r="K71" s="237"/>
      <c r="L71" s="237"/>
      <c r="M71" s="237"/>
      <c r="N71" s="237"/>
      <c r="O71" s="237"/>
      <c r="P71" s="237"/>
      <c r="Q71" s="237"/>
      <c r="R71" s="237"/>
    </row>
    <row r="72" spans="3:18" x14ac:dyDescent="0.2">
      <c r="C72" s="237"/>
      <c r="D72" s="237"/>
      <c r="E72" s="237"/>
      <c r="F72" s="237"/>
      <c r="G72" s="237"/>
      <c r="H72" s="237"/>
      <c r="I72" s="237"/>
      <c r="J72" s="237"/>
      <c r="K72" s="237"/>
      <c r="L72" s="237"/>
      <c r="M72" s="237"/>
      <c r="N72" s="237"/>
      <c r="O72" s="237"/>
      <c r="P72" s="237"/>
      <c r="Q72" s="237"/>
      <c r="R72" s="237"/>
    </row>
    <row r="73" spans="3:18" x14ac:dyDescent="0.2">
      <c r="C73" s="237"/>
      <c r="D73" s="237"/>
      <c r="E73" s="237"/>
      <c r="F73" s="237"/>
      <c r="G73" s="237"/>
      <c r="H73" s="237"/>
      <c r="I73" s="237"/>
      <c r="J73" s="237"/>
      <c r="K73" s="237"/>
      <c r="L73" s="237"/>
      <c r="M73" s="237"/>
      <c r="N73" s="237"/>
      <c r="O73" s="237"/>
      <c r="P73" s="237"/>
      <c r="Q73" s="237"/>
      <c r="R73" s="237"/>
    </row>
    <row r="74" spans="3:18" x14ac:dyDescent="0.2">
      <c r="C74" s="237"/>
      <c r="D74" s="237"/>
      <c r="E74" s="237"/>
      <c r="F74" s="237"/>
      <c r="G74" s="237"/>
      <c r="H74" s="237"/>
      <c r="I74" s="237"/>
      <c r="J74" s="237"/>
      <c r="K74" s="237"/>
      <c r="L74" s="237"/>
      <c r="M74" s="237"/>
      <c r="N74" s="237"/>
      <c r="O74" s="237"/>
      <c r="P74" s="237"/>
      <c r="Q74" s="237"/>
      <c r="R74" s="237"/>
    </row>
    <row r="75" spans="3:18" x14ac:dyDescent="0.2">
      <c r="C75" s="237"/>
      <c r="D75" s="237"/>
      <c r="E75" s="237"/>
      <c r="F75" s="237"/>
      <c r="G75" s="237"/>
      <c r="H75" s="237"/>
      <c r="I75" s="237"/>
      <c r="J75" s="237"/>
      <c r="K75" s="237"/>
      <c r="L75" s="237"/>
      <c r="M75" s="237"/>
      <c r="N75" s="237"/>
      <c r="O75" s="237"/>
      <c r="P75" s="237"/>
      <c r="Q75" s="237"/>
      <c r="R75" s="237"/>
    </row>
    <row r="76" spans="3:18" x14ac:dyDescent="0.2">
      <c r="C76" s="237"/>
      <c r="D76" s="237"/>
      <c r="E76" s="237"/>
      <c r="F76" s="237"/>
      <c r="G76" s="237"/>
      <c r="H76" s="237"/>
      <c r="I76" s="237"/>
      <c r="J76" s="237"/>
      <c r="K76" s="237"/>
      <c r="L76" s="237"/>
      <c r="M76" s="237"/>
      <c r="N76" s="237"/>
      <c r="O76" s="237"/>
      <c r="P76" s="237"/>
      <c r="Q76" s="237"/>
      <c r="R76" s="237"/>
    </row>
    <row r="77" spans="3:18" x14ac:dyDescent="0.2">
      <c r="C77" s="237"/>
      <c r="D77" s="237"/>
      <c r="E77" s="237"/>
      <c r="F77" s="237"/>
      <c r="G77" s="237"/>
      <c r="H77" s="237"/>
      <c r="I77" s="237"/>
      <c r="J77" s="237"/>
      <c r="K77" s="237"/>
      <c r="L77" s="237"/>
      <c r="M77" s="237"/>
      <c r="N77" s="237"/>
      <c r="O77" s="237"/>
      <c r="P77" s="237"/>
      <c r="Q77" s="237"/>
      <c r="R77" s="237"/>
    </row>
    <row r="78" spans="3:18" x14ac:dyDescent="0.2">
      <c r="C78" s="237"/>
      <c r="D78" s="237"/>
      <c r="E78" s="237"/>
      <c r="F78" s="237"/>
      <c r="G78" s="237"/>
      <c r="H78" s="237"/>
      <c r="I78" s="237"/>
      <c r="J78" s="237"/>
      <c r="K78" s="237"/>
      <c r="L78" s="237"/>
      <c r="M78" s="237"/>
      <c r="N78" s="237"/>
      <c r="O78" s="237"/>
      <c r="P78" s="237"/>
      <c r="Q78" s="237"/>
      <c r="R78" s="237"/>
    </row>
    <row r="79" spans="3:18" x14ac:dyDescent="0.2">
      <c r="C79" s="237"/>
      <c r="D79" s="237"/>
      <c r="E79" s="237"/>
      <c r="F79" s="237"/>
      <c r="G79" s="237"/>
      <c r="H79" s="237"/>
      <c r="I79" s="237"/>
      <c r="J79" s="237"/>
      <c r="K79" s="237"/>
      <c r="L79" s="237"/>
      <c r="M79" s="237"/>
      <c r="N79" s="237"/>
      <c r="O79" s="237"/>
      <c r="P79" s="237"/>
      <c r="Q79" s="237"/>
      <c r="R79" s="237"/>
    </row>
    <row r="80" spans="3:18" x14ac:dyDescent="0.2">
      <c r="C80" s="237"/>
      <c r="D80" s="237"/>
      <c r="E80" s="237"/>
      <c r="F80" s="237"/>
      <c r="G80" s="237"/>
      <c r="H80" s="237"/>
      <c r="I80" s="237"/>
      <c r="J80" s="237"/>
      <c r="K80" s="237"/>
      <c r="L80" s="237"/>
      <c r="M80" s="237"/>
      <c r="N80" s="237"/>
      <c r="O80" s="237"/>
      <c r="P80" s="237"/>
      <c r="Q80" s="237"/>
      <c r="R80" s="237"/>
    </row>
    <row r="81" spans="3:18" x14ac:dyDescent="0.2">
      <c r="C81" s="237"/>
      <c r="D81" s="237"/>
      <c r="E81" s="237"/>
      <c r="F81" s="237"/>
      <c r="G81" s="237"/>
      <c r="H81" s="237"/>
      <c r="I81" s="237"/>
      <c r="J81" s="237"/>
      <c r="K81" s="237"/>
      <c r="L81" s="237"/>
      <c r="M81" s="237"/>
      <c r="N81" s="237"/>
      <c r="O81" s="237"/>
      <c r="P81" s="237"/>
      <c r="Q81" s="237"/>
      <c r="R81" s="237"/>
    </row>
    <row r="82" spans="3:18" x14ac:dyDescent="0.2">
      <c r="C82" s="237"/>
      <c r="D82" s="237"/>
      <c r="E82" s="237"/>
      <c r="F82" s="237"/>
      <c r="G82" s="237"/>
      <c r="H82" s="237"/>
      <c r="I82" s="237"/>
      <c r="J82" s="237"/>
      <c r="K82" s="237"/>
      <c r="L82" s="237"/>
      <c r="M82" s="237"/>
      <c r="N82" s="237"/>
      <c r="O82" s="237"/>
      <c r="P82" s="237"/>
      <c r="Q82" s="237"/>
      <c r="R82" s="237"/>
    </row>
    <row r="83" spans="3:18" x14ac:dyDescent="0.2">
      <c r="C83" s="237"/>
      <c r="D83" s="237"/>
      <c r="E83" s="237"/>
      <c r="F83" s="237"/>
      <c r="G83" s="237"/>
      <c r="H83" s="237"/>
      <c r="I83" s="237"/>
      <c r="J83" s="237"/>
      <c r="K83" s="237"/>
      <c r="L83" s="237"/>
      <c r="M83" s="237"/>
      <c r="N83" s="237"/>
      <c r="O83" s="237"/>
      <c r="P83" s="237"/>
      <c r="Q83" s="237"/>
      <c r="R83" s="237"/>
    </row>
    <row r="84" spans="3:18" x14ac:dyDescent="0.2">
      <c r="C84" s="237"/>
      <c r="D84" s="237"/>
      <c r="E84" s="237"/>
      <c r="F84" s="237"/>
      <c r="G84" s="237"/>
      <c r="H84" s="237"/>
      <c r="I84" s="237"/>
      <c r="J84" s="237"/>
      <c r="K84" s="237"/>
      <c r="L84" s="237"/>
      <c r="M84" s="237"/>
      <c r="N84" s="237"/>
      <c r="O84" s="237"/>
      <c r="P84" s="237"/>
      <c r="Q84" s="237"/>
      <c r="R84" s="237"/>
    </row>
    <row r="85" spans="3:18" x14ac:dyDescent="0.2">
      <c r="C85" s="237"/>
      <c r="D85" s="237"/>
      <c r="E85" s="237"/>
      <c r="F85" s="237"/>
      <c r="G85" s="237"/>
      <c r="H85" s="237"/>
      <c r="I85" s="237"/>
      <c r="J85" s="237"/>
      <c r="K85" s="237"/>
      <c r="L85" s="237"/>
      <c r="M85" s="237"/>
      <c r="N85" s="237"/>
      <c r="O85" s="237"/>
      <c r="P85" s="237"/>
      <c r="Q85" s="237"/>
      <c r="R85" s="237"/>
    </row>
    <row r="86" spans="3:18" x14ac:dyDescent="0.2">
      <c r="C86" s="237"/>
      <c r="D86" s="237"/>
      <c r="E86" s="237"/>
      <c r="F86" s="237"/>
      <c r="G86" s="237"/>
      <c r="H86" s="237"/>
      <c r="I86" s="237"/>
      <c r="J86" s="237"/>
      <c r="K86" s="237"/>
      <c r="L86" s="237"/>
      <c r="M86" s="237"/>
      <c r="N86" s="237"/>
      <c r="O86" s="237"/>
      <c r="P86" s="237"/>
      <c r="Q86" s="237"/>
      <c r="R86" s="237"/>
    </row>
    <row r="87" spans="3:18" x14ac:dyDescent="0.2">
      <c r="C87" s="237"/>
      <c r="D87" s="237"/>
      <c r="E87" s="237"/>
      <c r="F87" s="237"/>
      <c r="G87" s="237"/>
      <c r="H87" s="237"/>
      <c r="I87" s="237"/>
      <c r="J87" s="237"/>
      <c r="K87" s="237"/>
      <c r="L87" s="237"/>
      <c r="M87" s="237"/>
      <c r="N87" s="237"/>
      <c r="O87" s="237"/>
      <c r="P87" s="237"/>
      <c r="Q87" s="237"/>
      <c r="R87" s="237"/>
    </row>
    <row r="88" spans="3:18" x14ac:dyDescent="0.2">
      <c r="C88" s="237"/>
      <c r="D88" s="237"/>
      <c r="E88" s="237"/>
      <c r="F88" s="237"/>
      <c r="G88" s="237"/>
      <c r="H88" s="237"/>
      <c r="I88" s="237"/>
      <c r="J88" s="237"/>
      <c r="K88" s="237"/>
      <c r="L88" s="237"/>
      <c r="M88" s="237"/>
      <c r="N88" s="237"/>
      <c r="O88" s="237"/>
      <c r="P88" s="237"/>
      <c r="Q88" s="237"/>
      <c r="R88" s="237"/>
    </row>
    <row r="89" spans="3:18" x14ac:dyDescent="0.2">
      <c r="C89" s="237"/>
      <c r="D89" s="237"/>
      <c r="E89" s="237"/>
      <c r="F89" s="237"/>
      <c r="G89" s="237"/>
      <c r="H89" s="237"/>
      <c r="I89" s="237"/>
      <c r="J89" s="237"/>
      <c r="K89" s="237"/>
      <c r="L89" s="237"/>
      <c r="M89" s="237"/>
      <c r="N89" s="237"/>
      <c r="O89" s="237"/>
      <c r="P89" s="237"/>
      <c r="Q89" s="237"/>
      <c r="R89" s="237"/>
    </row>
    <row r="90" spans="3:18" x14ac:dyDescent="0.2">
      <c r="C90" s="237"/>
      <c r="D90" s="237"/>
      <c r="E90" s="237"/>
      <c r="F90" s="237"/>
      <c r="G90" s="237"/>
      <c r="H90" s="237"/>
      <c r="I90" s="237"/>
      <c r="J90" s="237"/>
      <c r="K90" s="237"/>
      <c r="L90" s="237"/>
      <c r="M90" s="237"/>
      <c r="N90" s="237"/>
      <c r="O90" s="237"/>
      <c r="P90" s="237"/>
      <c r="Q90" s="237"/>
      <c r="R90" s="237"/>
    </row>
    <row r="91" spans="3:18" x14ac:dyDescent="0.2">
      <c r="C91" s="237"/>
      <c r="D91" s="237"/>
      <c r="E91" s="237"/>
      <c r="F91" s="237"/>
      <c r="G91" s="237"/>
      <c r="H91" s="237"/>
      <c r="I91" s="237"/>
      <c r="J91" s="237"/>
      <c r="K91" s="237"/>
      <c r="L91" s="237"/>
      <c r="M91" s="237"/>
      <c r="N91" s="237"/>
      <c r="O91" s="237"/>
      <c r="P91" s="237"/>
      <c r="Q91" s="237"/>
      <c r="R91" s="237"/>
    </row>
    <row r="92" spans="3:18" x14ac:dyDescent="0.2">
      <c r="C92" s="237"/>
      <c r="D92" s="237"/>
      <c r="E92" s="237"/>
      <c r="F92" s="237"/>
      <c r="G92" s="237"/>
      <c r="H92" s="237"/>
      <c r="I92" s="237"/>
      <c r="J92" s="237"/>
      <c r="K92" s="237"/>
      <c r="L92" s="237"/>
      <c r="M92" s="237"/>
      <c r="N92" s="237"/>
      <c r="O92" s="237"/>
      <c r="P92" s="237"/>
      <c r="Q92" s="237"/>
      <c r="R92" s="237"/>
    </row>
    <row r="93" spans="3:18" x14ac:dyDescent="0.2">
      <c r="C93" s="237"/>
      <c r="D93" s="237"/>
      <c r="E93" s="237"/>
      <c r="F93" s="237"/>
      <c r="G93" s="237"/>
      <c r="H93" s="237"/>
      <c r="I93" s="237"/>
      <c r="J93" s="237"/>
      <c r="K93" s="237"/>
      <c r="L93" s="237"/>
      <c r="M93" s="237"/>
      <c r="N93" s="237"/>
      <c r="O93" s="237"/>
      <c r="P93" s="237"/>
      <c r="Q93" s="237"/>
      <c r="R93" s="237"/>
    </row>
    <row r="94" spans="3:18" x14ac:dyDescent="0.2">
      <c r="C94" s="237"/>
      <c r="D94" s="237"/>
      <c r="E94" s="237"/>
      <c r="F94" s="237"/>
      <c r="G94" s="237"/>
      <c r="H94" s="237"/>
      <c r="I94" s="237"/>
      <c r="J94" s="237"/>
      <c r="K94" s="237"/>
      <c r="L94" s="237"/>
      <c r="M94" s="237"/>
      <c r="N94" s="237"/>
      <c r="O94" s="237"/>
      <c r="P94" s="237"/>
      <c r="Q94" s="237"/>
      <c r="R94" s="237"/>
    </row>
    <row r="95" spans="3:18" x14ac:dyDescent="0.2">
      <c r="C95" s="237"/>
      <c r="D95" s="237"/>
      <c r="E95" s="237"/>
      <c r="F95" s="237"/>
      <c r="G95" s="237"/>
      <c r="H95" s="237"/>
      <c r="I95" s="237"/>
      <c r="J95" s="237"/>
      <c r="K95" s="237"/>
      <c r="L95" s="237"/>
      <c r="M95" s="237"/>
      <c r="N95" s="237"/>
      <c r="O95" s="237"/>
      <c r="P95" s="237"/>
      <c r="Q95" s="237"/>
      <c r="R95" s="237"/>
    </row>
  </sheetData>
  <sheetProtection sheet="1" objects="1" scenarios="1"/>
  <mergeCells count="22">
    <mergeCell ref="C57:Q57"/>
    <mergeCell ref="C26:S26"/>
    <mergeCell ref="D36:S36"/>
    <mergeCell ref="C47:Q47"/>
    <mergeCell ref="C48:Q48"/>
    <mergeCell ref="C49:Q49"/>
    <mergeCell ref="C52:Q52"/>
    <mergeCell ref="H44:K44"/>
    <mergeCell ref="M44:P44"/>
    <mergeCell ref="D45:F45"/>
    <mergeCell ref="H45:K45"/>
    <mergeCell ref="M45:P45"/>
    <mergeCell ref="M39:P39"/>
    <mergeCell ref="A2:N2"/>
    <mergeCell ref="C55:Q55"/>
    <mergeCell ref="C56:Q56"/>
    <mergeCell ref="D44:F44"/>
    <mergeCell ref="C53:Q53"/>
    <mergeCell ref="C27:T27"/>
    <mergeCell ref="D39:K39"/>
    <mergeCell ref="C50:S50"/>
    <mergeCell ref="D51:R51"/>
  </mergeCells>
  <hyperlinks>
    <hyperlink ref="K41" r:id="rId1"/>
  </hyperlinks>
  <printOptions horizontalCentered="1"/>
  <pageMargins left="0.23622047244094491" right="0.23622047244094491" top="0.74803149606299213" bottom="0.74803149606299213" header="0.31496062992125984" footer="0.31496062992125984"/>
  <pageSetup paperSize="9" scale="69" orientation="portrait"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7" tint="0.39997558519241921"/>
  </sheetPr>
  <dimension ref="A1:R119"/>
  <sheetViews>
    <sheetView zoomScaleNormal="100" zoomScaleSheetLayoutView="80" zoomScalePageLayoutView="80" workbookViewId="0"/>
  </sheetViews>
  <sheetFormatPr defaultRowHeight="14.25" x14ac:dyDescent="0.2"/>
  <cols>
    <col min="1" max="1" width="1" style="1" customWidth="1"/>
    <col min="2" max="2" width="1.19921875" style="1" customWidth="1"/>
    <col min="3" max="3" width="5.59765625" style="1" customWidth="1"/>
    <col min="4" max="9" width="11.3984375" style="1" customWidth="1"/>
    <col min="10" max="10" width="10" style="1" customWidth="1"/>
    <col min="11" max="11" width="11.69921875" style="1" customWidth="1"/>
    <col min="12" max="12" width="10.296875" style="1" customWidth="1"/>
    <col min="13" max="13" width="3.69921875" style="1" customWidth="1"/>
    <col min="14" max="14" width="1.3984375" style="1" customWidth="1"/>
    <col min="15" max="15" width="1.19921875" style="1" customWidth="1"/>
    <col min="16" max="16" width="1.09765625" style="1" customWidth="1"/>
    <col min="17" max="17" width="8.796875" style="1"/>
    <col min="18" max="18" width="19" style="1" bestFit="1" customWidth="1"/>
    <col min="19" max="16384" width="8.796875" style="1"/>
  </cols>
  <sheetData>
    <row r="1" spans="1:18" ht="15" x14ac:dyDescent="0.25">
      <c r="R1" s="23">
        <f ca="1">NOW()</f>
        <v>42356.527743287035</v>
      </c>
    </row>
    <row r="2" spans="1:18" ht="17.25" customHeight="1" x14ac:dyDescent="0.2">
      <c r="A2" s="590"/>
      <c r="B2" s="591"/>
      <c r="C2" s="591"/>
      <c r="D2" s="591"/>
      <c r="E2" s="591"/>
      <c r="F2" s="591"/>
      <c r="G2" s="591"/>
      <c r="H2" s="591"/>
      <c r="I2" s="591"/>
      <c r="J2" s="591"/>
      <c r="K2" s="591"/>
      <c r="L2" s="591"/>
    </row>
    <row r="3" spans="1:18" ht="15" x14ac:dyDescent="0.25">
      <c r="A3" s="2"/>
      <c r="B3" s="2"/>
      <c r="C3" s="2"/>
      <c r="D3" s="2"/>
      <c r="E3" s="2"/>
      <c r="F3" s="2"/>
      <c r="G3" s="2"/>
      <c r="H3" s="2"/>
      <c r="I3" s="2"/>
      <c r="J3" s="2"/>
      <c r="K3" s="2"/>
      <c r="L3" s="2"/>
    </row>
    <row r="4" spans="1:18" ht="15" x14ac:dyDescent="0.25">
      <c r="A4" s="2"/>
      <c r="B4" s="2"/>
      <c r="C4" s="2"/>
      <c r="D4" s="2"/>
      <c r="E4" s="2"/>
      <c r="F4" s="2"/>
      <c r="G4" s="2"/>
      <c r="H4" s="2"/>
      <c r="I4" s="2"/>
      <c r="J4" s="2"/>
      <c r="K4" s="2"/>
      <c r="L4" s="2"/>
    </row>
    <row r="5" spans="1:18" s="69" customFormat="1" ht="15" x14ac:dyDescent="0.25">
      <c r="A5" s="234"/>
      <c r="B5" s="5"/>
      <c r="C5" s="5"/>
      <c r="D5" s="5"/>
      <c r="E5" s="5"/>
      <c r="F5" s="5"/>
      <c r="G5" s="5"/>
      <c r="H5" s="5"/>
      <c r="I5" s="5"/>
      <c r="J5" s="5"/>
      <c r="K5" s="5"/>
      <c r="L5" s="5"/>
      <c r="M5" s="6"/>
      <c r="N5" s="6"/>
      <c r="O5" s="6"/>
    </row>
    <row r="6" spans="1:18" s="69" customFormat="1" ht="15" x14ac:dyDescent="0.25">
      <c r="A6" s="334"/>
      <c r="B6" s="5"/>
      <c r="C6" s="5"/>
      <c r="D6" s="5"/>
      <c r="E6" s="5"/>
      <c r="F6" s="5"/>
      <c r="G6" s="5"/>
      <c r="H6" s="5"/>
      <c r="I6" s="5"/>
      <c r="J6" s="5"/>
      <c r="K6" s="5"/>
      <c r="L6" s="5"/>
      <c r="M6" s="6"/>
      <c r="N6" s="6"/>
      <c r="O6" s="6"/>
    </row>
    <row r="7" spans="1:18" s="69" customFormat="1" ht="15" x14ac:dyDescent="0.25">
      <c r="A7" s="334"/>
      <c r="B7" s="5"/>
      <c r="C7" s="5"/>
      <c r="D7" s="5"/>
      <c r="E7" s="5"/>
      <c r="F7" s="5"/>
      <c r="G7" s="5"/>
      <c r="H7" s="5"/>
      <c r="I7" s="5"/>
      <c r="J7" s="5"/>
      <c r="K7" s="5"/>
      <c r="L7" s="5"/>
      <c r="M7" s="6"/>
      <c r="N7" s="6"/>
      <c r="O7" s="6"/>
    </row>
    <row r="8" spans="1:18" s="69" customFormat="1" ht="15" x14ac:dyDescent="0.25">
      <c r="A8" s="334"/>
      <c r="B8" s="5"/>
      <c r="C8" s="5"/>
      <c r="D8" s="5"/>
      <c r="E8" s="5"/>
      <c r="F8" s="5"/>
      <c r="G8" s="5"/>
      <c r="H8" s="5"/>
      <c r="I8" s="5"/>
      <c r="J8" s="5"/>
      <c r="K8" s="5"/>
      <c r="L8" s="5"/>
      <c r="M8" s="6"/>
      <c r="N8" s="6"/>
      <c r="O8" s="6"/>
    </row>
    <row r="9" spans="1:18" s="69" customFormat="1" ht="15" x14ac:dyDescent="0.25">
      <c r="A9" s="234"/>
      <c r="B9" s="5"/>
      <c r="C9" s="5"/>
      <c r="D9" s="5"/>
      <c r="E9" s="5"/>
      <c r="F9" s="5"/>
      <c r="G9" s="5"/>
      <c r="H9" s="5"/>
      <c r="I9" s="5"/>
      <c r="J9" s="5"/>
      <c r="K9" s="5"/>
      <c r="L9" s="5"/>
      <c r="M9" s="6"/>
      <c r="N9" s="6"/>
      <c r="O9" s="6"/>
    </row>
    <row r="10" spans="1:18" ht="15" x14ac:dyDescent="0.25">
      <c r="A10" s="2"/>
      <c r="B10" s="5"/>
      <c r="C10" s="5"/>
      <c r="D10" s="5"/>
      <c r="E10" s="5"/>
      <c r="F10" s="5"/>
      <c r="G10" s="5"/>
      <c r="H10" s="5"/>
      <c r="I10" s="5"/>
      <c r="J10" s="5"/>
      <c r="K10" s="5"/>
      <c r="L10" s="5"/>
      <c r="M10" s="6"/>
      <c r="N10" s="6"/>
      <c r="O10" s="6"/>
    </row>
    <row r="11" spans="1:18" ht="15" x14ac:dyDescent="0.25">
      <c r="A11" s="2"/>
      <c r="B11" s="5"/>
      <c r="C11" s="5"/>
      <c r="D11" s="5"/>
      <c r="E11" s="5"/>
      <c r="F11" s="5"/>
      <c r="G11" s="5"/>
      <c r="H11" s="5"/>
      <c r="I11" s="5"/>
      <c r="J11" s="5"/>
      <c r="K11" s="5"/>
      <c r="L11" s="5"/>
      <c r="M11" s="6"/>
      <c r="N11" s="6"/>
      <c r="O11" s="6"/>
    </row>
    <row r="12" spans="1:18" ht="15" x14ac:dyDescent="0.25">
      <c r="A12" s="2"/>
      <c r="B12" s="5"/>
      <c r="C12" s="5"/>
      <c r="D12" s="5"/>
      <c r="E12" s="5"/>
      <c r="F12" s="5"/>
      <c r="G12" s="5"/>
      <c r="H12" s="5"/>
      <c r="I12" s="5"/>
      <c r="J12" s="5"/>
      <c r="K12" s="5"/>
      <c r="L12" s="5"/>
      <c r="M12" s="6"/>
      <c r="N12" s="6"/>
      <c r="O12" s="6"/>
    </row>
    <row r="13" spans="1:18" ht="15" x14ac:dyDescent="0.25">
      <c r="A13" s="2"/>
      <c r="B13" s="5"/>
      <c r="C13" s="5"/>
      <c r="D13" s="5"/>
      <c r="E13" s="5"/>
      <c r="F13" s="5"/>
      <c r="G13" s="5"/>
      <c r="H13" s="5"/>
      <c r="I13" s="5"/>
      <c r="J13" s="5"/>
      <c r="K13" s="5"/>
      <c r="L13" s="5"/>
      <c r="M13" s="6"/>
      <c r="N13" s="6"/>
      <c r="O13" s="6"/>
    </row>
    <row r="14" spans="1:18" ht="15" x14ac:dyDescent="0.25">
      <c r="A14" s="2"/>
      <c r="B14" s="5"/>
      <c r="C14" s="5"/>
      <c r="D14" s="5"/>
      <c r="E14" s="5"/>
      <c r="F14" s="5"/>
      <c r="G14" s="5"/>
      <c r="H14" s="5"/>
      <c r="I14" s="5"/>
      <c r="J14" s="5"/>
      <c r="K14" s="5"/>
      <c r="L14" s="5"/>
      <c r="M14" s="6"/>
      <c r="N14" s="6"/>
      <c r="O14" s="6"/>
    </row>
    <row r="15" spans="1:18" ht="15" x14ac:dyDescent="0.25">
      <c r="A15" s="2"/>
      <c r="B15" s="5"/>
      <c r="C15" s="5"/>
      <c r="D15" s="5"/>
      <c r="E15" s="5"/>
      <c r="F15" s="5"/>
      <c r="G15" s="5"/>
      <c r="H15" s="5"/>
      <c r="I15" s="5"/>
      <c r="J15" s="5"/>
      <c r="K15" s="5"/>
      <c r="L15" s="5"/>
      <c r="M15" s="6"/>
      <c r="N15" s="6"/>
      <c r="O15" s="6"/>
    </row>
    <row r="16" spans="1:18" ht="15" x14ac:dyDescent="0.25">
      <c r="A16" s="2"/>
      <c r="B16" s="5"/>
      <c r="C16" s="2"/>
      <c r="D16" s="2"/>
      <c r="E16" s="2"/>
      <c r="F16" s="2"/>
      <c r="G16" s="2"/>
      <c r="H16" s="2"/>
      <c r="I16" s="2"/>
      <c r="J16" s="2"/>
      <c r="K16" s="2"/>
      <c r="L16" s="2"/>
      <c r="O16" s="6"/>
    </row>
    <row r="17" spans="1:15" ht="15" x14ac:dyDescent="0.25">
      <c r="A17" s="2"/>
      <c r="B17" s="5"/>
      <c r="C17" s="2"/>
      <c r="D17" s="661" t="str">
        <f>INDEX(Locations, selection)</f>
        <v>Kingston Buci</v>
      </c>
      <c r="E17" s="662"/>
      <c r="F17" s="662"/>
      <c r="G17" s="663"/>
      <c r="H17" s="664" t="str">
        <f>INDEX(Locations, selection2)</f>
        <v>Stepping Stones</v>
      </c>
      <c r="I17" s="665"/>
      <c r="J17" s="665"/>
      <c r="K17" s="666"/>
      <c r="O17" s="6"/>
    </row>
    <row r="18" spans="1:15" ht="15" x14ac:dyDescent="0.25">
      <c r="A18" s="2"/>
      <c r="B18" s="5"/>
      <c r="C18" s="2"/>
      <c r="D18" s="30" t="s">
        <v>266</v>
      </c>
      <c r="E18" s="33" t="s">
        <v>280</v>
      </c>
      <c r="F18" s="31" t="s">
        <v>279</v>
      </c>
      <c r="G18" s="34" t="s">
        <v>139</v>
      </c>
      <c r="H18" s="32" t="s">
        <v>266</v>
      </c>
      <c r="I18" s="35" t="s">
        <v>280</v>
      </c>
      <c r="J18" s="35" t="s">
        <v>279</v>
      </c>
      <c r="K18" s="36" t="s">
        <v>139</v>
      </c>
      <c r="O18" s="6"/>
    </row>
    <row r="19" spans="1:15" ht="26.25" customHeight="1" x14ac:dyDescent="0.25">
      <c r="A19" s="2"/>
      <c r="B19" s="5"/>
      <c r="C19" s="2"/>
      <c r="D19" s="649" t="str">
        <f>IF(VLOOKUP($D$17,Geographies, 8,FALSE)="","",VLOOKUP($D$17,Geographies,8,FALSE))</f>
        <v>Adur East</v>
      </c>
      <c r="E19" s="652" t="str">
        <f>IF(VLOOKUP($D$17,Geographies,13,FALSE)="","",VLOOKUP($D$17,Geographies,13,FALSE))</f>
        <v>Buckingham, St Mary's, St Nicholas, Southlands</v>
      </c>
      <c r="F19" s="655" t="str">
        <f>IF(VLOOKUP($D$17,Geographies,9,FALSE)="","",VLOOKUP($D$17,Geographies,9,FALSE))</f>
        <v>Adur</v>
      </c>
      <c r="G19" s="658" t="str">
        <f>IF(VLOOKUP($D$17,Geographies,10,FALSE)="", "", VLOOKUP($D$17,Geographies,10,FALSE))</f>
        <v>NHS Coastal West Sussex CCG</v>
      </c>
      <c r="H19" s="658" t="str">
        <f>IF(VLOOKUP($H$17,Geographies,8,FALSE)="","",VLOOKUP($H$17,Geographies,8,FALSE))</f>
        <v>Adur East</v>
      </c>
      <c r="I19" s="652" t="str">
        <f>IF(VLOOKUP($H$17,Geographies,13,FALSE)="","",VLOOKUP($H$17, Geographies,13,FALSE))</f>
        <v>Eastbrook, Hillside, Southwick Green</v>
      </c>
      <c r="J19" s="658" t="str">
        <f xml:space="preserve"> IF(VLOOKUP($H$17,Geographies,9,FALSE)="","",VLOOKUP($H$17,Geographies,9,FALSE))</f>
        <v>Adur</v>
      </c>
      <c r="K19" s="658" t="str">
        <f>IF(VLOOKUP($H$17,Geographies,10,FALSE)="", "", VLOOKUP($H$17,Geographies,10,FALSE))</f>
        <v>NHS Coastal West Sussex CCG</v>
      </c>
      <c r="O19" s="6"/>
    </row>
    <row r="20" spans="1:15" ht="26.25" customHeight="1" x14ac:dyDescent="0.25">
      <c r="A20" s="2"/>
      <c r="B20" s="5"/>
      <c r="C20" s="2"/>
      <c r="D20" s="650"/>
      <c r="E20" s="653"/>
      <c r="F20" s="656"/>
      <c r="G20" s="659"/>
      <c r="H20" s="659"/>
      <c r="I20" s="653"/>
      <c r="J20" s="659"/>
      <c r="K20" s="659"/>
      <c r="O20" s="6"/>
    </row>
    <row r="21" spans="1:15" ht="26.25" customHeight="1" x14ac:dyDescent="0.25">
      <c r="A21" s="2"/>
      <c r="B21" s="5"/>
      <c r="C21" s="2"/>
      <c r="D21" s="650"/>
      <c r="E21" s="653"/>
      <c r="F21" s="656"/>
      <c r="G21" s="659"/>
      <c r="H21" s="659"/>
      <c r="I21" s="653"/>
      <c r="J21" s="659"/>
      <c r="K21" s="659"/>
      <c r="O21" s="6"/>
    </row>
    <row r="22" spans="1:15" ht="26.25" customHeight="1" x14ac:dyDescent="0.25">
      <c r="A22" s="2"/>
      <c r="B22" s="5"/>
      <c r="C22" s="2"/>
      <c r="D22" s="651"/>
      <c r="E22" s="654"/>
      <c r="F22" s="657"/>
      <c r="G22" s="660"/>
      <c r="H22" s="660"/>
      <c r="I22" s="654"/>
      <c r="J22" s="660"/>
      <c r="K22" s="660"/>
      <c r="O22" s="6"/>
    </row>
    <row r="23" spans="1:15" ht="15" x14ac:dyDescent="0.25">
      <c r="A23" s="2"/>
      <c r="B23" s="5"/>
      <c r="C23" s="2"/>
      <c r="D23" s="2"/>
      <c r="E23" s="2"/>
      <c r="F23" s="2"/>
      <c r="G23" s="2"/>
      <c r="H23" s="2"/>
      <c r="I23" s="2"/>
      <c r="J23" s="2"/>
      <c r="K23" s="2"/>
      <c r="L23" s="2"/>
      <c r="O23" s="6"/>
    </row>
    <row r="24" spans="1:15" ht="15" customHeight="1" x14ac:dyDescent="0.25">
      <c r="A24" s="2"/>
      <c r="B24" s="5"/>
      <c r="C24" s="2"/>
      <c r="D24" s="374" t="s">
        <v>290</v>
      </c>
      <c r="E24" s="106"/>
      <c r="F24" s="667" t="str">
        <f>IF(VLOOKUP($D$17, Geographies,11, FALSE) = "", "", VLOOKUP($D$17, Geographies, 11, FALSE))</f>
        <v>Shoreham</v>
      </c>
      <c r="G24" s="667"/>
      <c r="H24" s="374" t="s">
        <v>290</v>
      </c>
      <c r="I24" s="106"/>
      <c r="J24" s="667" t="str">
        <f>IF(VLOOKUP($H$17, Geographies,11, FALSE) = "", "", VLOOKUP($H$17, Geographies, 11, FALSE))</f>
        <v>Shoreham</v>
      </c>
      <c r="K24" s="667"/>
      <c r="L24" s="667"/>
      <c r="O24" s="6"/>
    </row>
    <row r="25" spans="1:15" ht="15" x14ac:dyDescent="0.25">
      <c r="A25" s="2"/>
      <c r="B25" s="5"/>
      <c r="C25" s="2"/>
      <c r="D25" s="28" t="s">
        <v>289</v>
      </c>
      <c r="E25" s="2"/>
      <c r="F25" s="2" t="str">
        <f>IF(VLOOKUP($D$17, Geographies,12, FALSE) = "", "", VLOOKUP($D$17, Geographies, 12, FALSE))</f>
        <v>B</v>
      </c>
      <c r="G25" s="2"/>
      <c r="H25" s="28" t="s">
        <v>289</v>
      </c>
      <c r="I25" s="2"/>
      <c r="J25" s="2" t="str">
        <f>IF(VLOOKUP($H$17, Geographies,12, FALSE) = "", "", VLOOKUP($H$17, Geographies, 12, FALSE))</f>
        <v>B</v>
      </c>
      <c r="K25" s="2"/>
      <c r="L25" s="2"/>
      <c r="O25" s="6"/>
    </row>
    <row r="26" spans="1:15" ht="15" x14ac:dyDescent="0.25">
      <c r="A26" s="2"/>
      <c r="B26" s="5"/>
      <c r="C26" s="2"/>
      <c r="D26" s="28" t="s">
        <v>291</v>
      </c>
      <c r="E26" s="2"/>
      <c r="F26" s="2" t="str">
        <f>IF(VLOOKUP($D$17, Geographies,14, FALSE) = "", "", VLOOKUP($D$17, Geographies, 14, FALSE))</f>
        <v>East Worthing and Shoreham</v>
      </c>
      <c r="G26" s="2"/>
      <c r="H26" s="28" t="s">
        <v>291</v>
      </c>
      <c r="I26" s="2"/>
      <c r="J26" s="2" t="str">
        <f>IF(VLOOKUP($H$17, Geographies,14, FALSE) = "", "", VLOOKUP($H$17, Geographies, 14, FALSE))</f>
        <v>East Worthing and Shoreham</v>
      </c>
      <c r="K26" s="2"/>
      <c r="L26" s="2"/>
      <c r="O26" s="6"/>
    </row>
    <row r="27" spans="1:15" ht="15" x14ac:dyDescent="0.25">
      <c r="A27" s="2"/>
      <c r="B27" s="5"/>
      <c r="C27" s="2"/>
      <c r="D27" s="2"/>
      <c r="E27" s="2"/>
      <c r="F27" s="2"/>
      <c r="G27" s="2"/>
      <c r="H27" s="2"/>
      <c r="I27" s="2"/>
      <c r="J27" s="2"/>
      <c r="K27" s="2"/>
      <c r="L27" s="2"/>
      <c r="O27" s="6"/>
    </row>
    <row r="28" spans="1:15" ht="15" x14ac:dyDescent="0.25">
      <c r="A28" s="2"/>
      <c r="B28" s="5"/>
      <c r="C28" s="5"/>
      <c r="D28" s="5"/>
      <c r="E28" s="5"/>
      <c r="F28" s="5"/>
      <c r="G28" s="5"/>
      <c r="H28" s="5"/>
      <c r="I28" s="5"/>
      <c r="J28" s="5"/>
      <c r="K28" s="5"/>
      <c r="L28" s="5"/>
      <c r="M28" s="6"/>
      <c r="N28" s="6"/>
      <c r="O28" s="6"/>
    </row>
    <row r="29" spans="1:15" ht="15" x14ac:dyDescent="0.25">
      <c r="A29" s="2"/>
      <c r="B29" s="5"/>
      <c r="C29" s="5"/>
      <c r="D29" s="5"/>
      <c r="E29" s="5"/>
      <c r="F29" s="5"/>
      <c r="G29" s="5"/>
      <c r="H29" s="5"/>
      <c r="I29" s="5"/>
      <c r="J29" s="5"/>
      <c r="K29" s="5"/>
      <c r="L29" s="5"/>
      <c r="M29" s="6"/>
      <c r="N29" s="6"/>
      <c r="O29" s="6"/>
    </row>
    <row r="30" spans="1:15" ht="15" x14ac:dyDescent="0.25">
      <c r="A30" s="2"/>
      <c r="B30" s="5"/>
      <c r="C30" s="5"/>
      <c r="D30" s="5"/>
      <c r="E30" s="5"/>
      <c r="F30" s="5"/>
      <c r="G30" s="5"/>
      <c r="H30" s="5"/>
      <c r="I30" s="5"/>
      <c r="J30" s="5"/>
      <c r="K30" s="5"/>
      <c r="L30" s="5"/>
      <c r="M30" s="6"/>
      <c r="N30" s="6"/>
      <c r="O30" s="6"/>
    </row>
    <row r="31" spans="1:15" ht="15" x14ac:dyDescent="0.25">
      <c r="A31" s="2"/>
      <c r="B31" s="5"/>
      <c r="C31" s="5"/>
      <c r="D31" s="5"/>
      <c r="E31" s="5"/>
      <c r="F31" s="5"/>
      <c r="G31" s="5"/>
      <c r="H31" s="5"/>
      <c r="I31" s="5"/>
      <c r="J31" s="5"/>
      <c r="K31" s="5"/>
      <c r="L31" s="5"/>
      <c r="M31" s="6"/>
      <c r="N31" s="6"/>
      <c r="O31" s="6"/>
    </row>
    <row r="32" spans="1:15" ht="15" x14ac:dyDescent="0.25">
      <c r="A32" s="2"/>
      <c r="B32" s="5"/>
      <c r="C32" s="5"/>
      <c r="D32" s="5"/>
      <c r="E32" s="5"/>
      <c r="F32" s="5"/>
      <c r="G32" s="5"/>
      <c r="H32" s="5"/>
      <c r="I32" s="5"/>
      <c r="J32" s="5"/>
      <c r="K32" s="5"/>
      <c r="L32" s="5"/>
      <c r="M32" s="6"/>
      <c r="N32" s="6"/>
      <c r="O32" s="6"/>
    </row>
    <row r="33" spans="1:15" ht="15" x14ac:dyDescent="0.25">
      <c r="A33" s="2"/>
      <c r="B33" s="5"/>
      <c r="C33" s="2"/>
      <c r="D33" s="2"/>
      <c r="E33" s="648"/>
      <c r="F33" s="648"/>
      <c r="G33" s="648"/>
      <c r="H33" s="648"/>
      <c r="I33" s="2"/>
      <c r="J33" s="2"/>
      <c r="K33" s="2"/>
      <c r="L33" s="2"/>
      <c r="O33" s="6"/>
    </row>
    <row r="34" spans="1:15" ht="29.25" customHeight="1" x14ac:dyDescent="0.25">
      <c r="A34" s="2"/>
      <c r="B34" s="5"/>
      <c r="C34" s="2"/>
      <c r="D34" s="646" t="s">
        <v>1038</v>
      </c>
      <c r="E34" s="647"/>
      <c r="F34" s="56" t="str">
        <f>INDEX(Locations, selection)</f>
        <v>Kingston Buci</v>
      </c>
      <c r="G34" s="57" t="str">
        <f>INDEX(Locations, selection2)</f>
        <v>Stepping Stones</v>
      </c>
      <c r="H34" s="86" t="s">
        <v>292</v>
      </c>
      <c r="I34" s="59" t="s">
        <v>293</v>
      </c>
      <c r="J34" s="58" t="s">
        <v>294</v>
      </c>
      <c r="K34" s="12"/>
      <c r="L34" s="2"/>
      <c r="O34" s="6"/>
    </row>
    <row r="35" spans="1:15" ht="15" x14ac:dyDescent="0.25">
      <c r="A35" s="2"/>
      <c r="B35" s="5"/>
      <c r="C35" s="2"/>
      <c r="D35" s="644" t="s">
        <v>12</v>
      </c>
      <c r="E35" s="645"/>
      <c r="F35" s="45">
        <f>IF(HLOOKUP(D35, Population,selection+1, FALSE)="", "",HLOOKUP(D35, Population, selection+1,FALSE))</f>
        <v>15368</v>
      </c>
      <c r="G35" s="45">
        <f>IF(HLOOKUP(D35, Population,selection2+1, FALSE) = "", "",HLOOKUP(D35, Population,selection2+1,FALSE))</f>
        <v>13516</v>
      </c>
      <c r="H35" s="46">
        <f>Data!AC76</f>
        <v>828400</v>
      </c>
      <c r="I35" s="47">
        <f>Data!AC77</f>
        <v>8873800</v>
      </c>
      <c r="J35" s="46">
        <f>Data!AC78</f>
        <v>54316600</v>
      </c>
      <c r="K35" s="12"/>
      <c r="L35" s="2"/>
      <c r="O35" s="6"/>
    </row>
    <row r="36" spans="1:15" ht="15" x14ac:dyDescent="0.25">
      <c r="A36" s="2"/>
      <c r="B36" s="5"/>
      <c r="C36" s="2"/>
      <c r="D36" s="644" t="s">
        <v>22</v>
      </c>
      <c r="E36" s="645"/>
      <c r="F36" s="45">
        <f>IF(HLOOKUP(D36,UnderFive,selection+1,FALSE)="","",HLOOKUP(D36,UnderFive,selection+1,FALSE))</f>
        <v>1022</v>
      </c>
      <c r="G36" s="45">
        <f>IF(HLOOKUP(D36,UnderFive,selection2+1,FALSE)="","",HLOOKUP(D36,UnderFive,selection2+1,FALSE))</f>
        <v>858</v>
      </c>
      <c r="H36" s="46">
        <f>Data!AM76</f>
        <v>47980</v>
      </c>
      <c r="I36" s="47">
        <f>Data!AM77</f>
        <v>548300</v>
      </c>
      <c r="J36" s="46">
        <f>Data!AM78</f>
        <v>3431000</v>
      </c>
      <c r="K36" s="37"/>
      <c r="L36" s="2"/>
      <c r="O36" s="6"/>
    </row>
    <row r="37" spans="1:15" ht="15" x14ac:dyDescent="0.25">
      <c r="A37" s="2"/>
      <c r="B37" s="5"/>
      <c r="C37" s="2"/>
      <c r="D37" s="2"/>
      <c r="E37" s="2"/>
      <c r="F37" s="2"/>
      <c r="G37" s="2"/>
      <c r="H37" s="2"/>
      <c r="I37" s="2"/>
      <c r="J37" s="2"/>
      <c r="K37" s="2"/>
      <c r="L37" s="2"/>
      <c r="O37" s="6"/>
    </row>
    <row r="38" spans="1:15" ht="15" x14ac:dyDescent="0.25">
      <c r="B38" s="6"/>
      <c r="C38" s="2"/>
      <c r="D38" s="2"/>
      <c r="E38" s="2"/>
      <c r="F38" s="2"/>
      <c r="G38" s="2"/>
      <c r="H38" s="2"/>
      <c r="I38" s="2"/>
      <c r="J38" s="2"/>
      <c r="K38" s="2"/>
      <c r="L38" s="2"/>
      <c r="M38" s="2"/>
      <c r="N38" s="2"/>
      <c r="O38" s="6"/>
    </row>
    <row r="39" spans="1:15" ht="15" customHeight="1" x14ac:dyDescent="0.25">
      <c r="B39" s="6"/>
      <c r="C39" s="28"/>
      <c r="H39" s="2"/>
      <c r="I39" s="2"/>
      <c r="J39" s="2"/>
      <c r="K39" s="2"/>
      <c r="L39" s="2"/>
      <c r="M39" s="2"/>
      <c r="N39" s="2"/>
      <c r="O39" s="6"/>
    </row>
    <row r="40" spans="1:15" ht="36" customHeight="1" x14ac:dyDescent="0.25">
      <c r="B40" s="6"/>
      <c r="C40" s="2"/>
      <c r="D40" s="640" t="s">
        <v>305</v>
      </c>
      <c r="E40" s="641"/>
      <c r="F40" s="620" t="str">
        <f>INDEX(Locations, selection)</f>
        <v>Kingston Buci</v>
      </c>
      <c r="G40" s="609" t="str">
        <f>INDEX(Locations, selection2)</f>
        <v>Stepping Stones</v>
      </c>
      <c r="H40" s="2"/>
      <c r="I40" s="2"/>
      <c r="J40" s="2"/>
      <c r="K40" s="2"/>
      <c r="L40" s="2"/>
      <c r="M40" s="2"/>
      <c r="N40" s="2"/>
      <c r="O40" s="6"/>
    </row>
    <row r="41" spans="1:15" ht="15" x14ac:dyDescent="0.25">
      <c r="B41" s="6"/>
      <c r="C41" s="2"/>
      <c r="D41" s="642"/>
      <c r="E41" s="643"/>
      <c r="F41" s="621"/>
      <c r="G41" s="610"/>
      <c r="H41" s="2"/>
      <c r="I41" s="2"/>
      <c r="J41" s="2"/>
      <c r="K41" s="2"/>
      <c r="L41" s="2"/>
      <c r="M41" s="2"/>
      <c r="N41" s="2"/>
      <c r="O41" s="6"/>
    </row>
    <row r="42" spans="1:15" ht="15" x14ac:dyDescent="0.25">
      <c r="B42" s="6"/>
      <c r="C42" s="2"/>
      <c r="D42" s="48" t="s">
        <v>295</v>
      </c>
      <c r="E42" s="49"/>
      <c r="F42" s="45">
        <f t="shared" ref="F42:F50" si="0">IF(HLOOKUP(D42, UnderFive,selection+1, FALSE)="", "",HLOOKUP(D42, UnderFive, selection+1,FALSE))</f>
        <v>775</v>
      </c>
      <c r="G42" s="45">
        <f t="shared" ref="G42:G50" si="1">IF(HLOOKUP(D42, UnderFive,selection2+1, FALSE)="", "",HLOOKUP(D42, UnderFive, selection2+1,FALSE))</f>
        <v>680</v>
      </c>
      <c r="H42" s="2"/>
      <c r="I42" s="2"/>
      <c r="J42" s="2"/>
      <c r="K42" s="2"/>
      <c r="L42" s="2"/>
      <c r="M42" s="2"/>
      <c r="N42" s="2"/>
      <c r="O42" s="6"/>
    </row>
    <row r="43" spans="1:15" ht="15" x14ac:dyDescent="0.25">
      <c r="B43" s="6"/>
      <c r="C43" s="2"/>
      <c r="D43" s="48" t="s">
        <v>296</v>
      </c>
      <c r="E43" s="49"/>
      <c r="F43" s="45">
        <f t="shared" si="0"/>
        <v>805</v>
      </c>
      <c r="G43" s="45">
        <f t="shared" si="1"/>
        <v>705</v>
      </c>
      <c r="H43" s="2"/>
      <c r="I43" s="2"/>
      <c r="J43" s="2"/>
      <c r="K43" s="2"/>
      <c r="L43" s="2"/>
      <c r="M43" s="2"/>
      <c r="N43" s="2"/>
      <c r="O43" s="6"/>
    </row>
    <row r="44" spans="1:15" ht="15" x14ac:dyDescent="0.25">
      <c r="B44" s="6"/>
      <c r="C44" s="2"/>
      <c r="D44" s="48" t="s">
        <v>297</v>
      </c>
      <c r="E44" s="49"/>
      <c r="F44" s="45">
        <f t="shared" si="0"/>
        <v>800</v>
      </c>
      <c r="G44" s="45">
        <f t="shared" si="1"/>
        <v>710</v>
      </c>
      <c r="H44" s="2"/>
      <c r="I44" s="2"/>
      <c r="J44" s="2"/>
      <c r="K44" s="2"/>
      <c r="L44" s="2"/>
      <c r="M44" s="2"/>
      <c r="N44" s="2"/>
      <c r="O44" s="6"/>
    </row>
    <row r="45" spans="1:15" ht="15" x14ac:dyDescent="0.25">
      <c r="B45" s="6"/>
      <c r="C45" s="2"/>
      <c r="D45" s="48" t="s">
        <v>298</v>
      </c>
      <c r="E45" s="49"/>
      <c r="F45" s="45">
        <f t="shared" si="0"/>
        <v>830</v>
      </c>
      <c r="G45" s="45">
        <f t="shared" si="1"/>
        <v>735</v>
      </c>
      <c r="H45" s="2"/>
      <c r="I45" s="2"/>
      <c r="J45" s="2"/>
      <c r="K45" s="2"/>
      <c r="L45" s="2"/>
      <c r="M45" s="2"/>
      <c r="N45" s="2"/>
      <c r="O45" s="6"/>
    </row>
    <row r="46" spans="1:15" ht="15" x14ac:dyDescent="0.25">
      <c r="B46" s="6"/>
      <c r="C46" s="2"/>
      <c r="D46" s="48" t="s">
        <v>299</v>
      </c>
      <c r="E46" s="49"/>
      <c r="F46" s="45">
        <f t="shared" si="0"/>
        <v>815</v>
      </c>
      <c r="G46" s="45">
        <f t="shared" si="1"/>
        <v>775</v>
      </c>
      <c r="H46" s="2"/>
      <c r="I46" s="2"/>
      <c r="J46" s="2"/>
      <c r="K46" s="2"/>
      <c r="L46" s="2"/>
      <c r="M46" s="2"/>
      <c r="N46" s="2"/>
      <c r="O46" s="6"/>
    </row>
    <row r="47" spans="1:15" ht="15" x14ac:dyDescent="0.25">
      <c r="B47" s="6"/>
      <c r="C47" s="2"/>
      <c r="D47" s="48" t="s">
        <v>300</v>
      </c>
      <c r="E47" s="49"/>
      <c r="F47" s="45">
        <f t="shared" si="0"/>
        <v>860</v>
      </c>
      <c r="G47" s="45">
        <f t="shared" si="1"/>
        <v>775</v>
      </c>
      <c r="H47" s="2"/>
      <c r="I47" s="2"/>
      <c r="J47" s="2"/>
      <c r="K47" s="2"/>
      <c r="L47" s="2"/>
      <c r="M47" s="2"/>
      <c r="N47" s="2"/>
      <c r="O47" s="6"/>
    </row>
    <row r="48" spans="1:15" ht="15" x14ac:dyDescent="0.25">
      <c r="B48" s="6"/>
      <c r="C48" s="2"/>
      <c r="D48" s="48" t="s">
        <v>301</v>
      </c>
      <c r="E48" s="49"/>
      <c r="F48" s="45">
        <f t="shared" si="0"/>
        <v>905</v>
      </c>
      <c r="G48" s="45">
        <f t="shared" si="1"/>
        <v>805</v>
      </c>
      <c r="H48" s="2"/>
      <c r="I48" s="2"/>
      <c r="J48" s="2"/>
      <c r="K48" s="2"/>
      <c r="L48" s="2"/>
      <c r="M48" s="2"/>
      <c r="N48" s="2"/>
      <c r="O48" s="6"/>
    </row>
    <row r="49" spans="2:15" ht="15" x14ac:dyDescent="0.25">
      <c r="B49" s="6"/>
      <c r="C49" s="2"/>
      <c r="D49" s="48" t="s">
        <v>302</v>
      </c>
      <c r="E49" s="49"/>
      <c r="F49" s="45">
        <f t="shared" si="0"/>
        <v>945</v>
      </c>
      <c r="G49" s="45">
        <f t="shared" si="1"/>
        <v>825</v>
      </c>
      <c r="H49" s="2"/>
      <c r="I49" s="2"/>
      <c r="J49" s="2"/>
      <c r="K49" s="2"/>
      <c r="L49" s="2"/>
      <c r="M49" s="2"/>
      <c r="N49" s="2"/>
      <c r="O49" s="6"/>
    </row>
    <row r="50" spans="2:15" ht="15" x14ac:dyDescent="0.25">
      <c r="B50" s="6"/>
      <c r="C50" s="2"/>
      <c r="D50" s="48" t="s">
        <v>303</v>
      </c>
      <c r="E50" s="49"/>
      <c r="F50" s="45">
        <f t="shared" si="0"/>
        <v>990</v>
      </c>
      <c r="G50" s="45">
        <f t="shared" si="1"/>
        <v>830</v>
      </c>
      <c r="H50" s="2"/>
      <c r="I50" s="2"/>
      <c r="J50" s="2"/>
      <c r="K50" s="2"/>
      <c r="L50" s="2"/>
      <c r="M50" s="2"/>
      <c r="N50" s="2"/>
      <c r="O50" s="6"/>
    </row>
    <row r="51" spans="2:15" ht="15" x14ac:dyDescent="0.25">
      <c r="B51" s="6"/>
      <c r="C51" s="2"/>
      <c r="D51" s="48" t="s">
        <v>304</v>
      </c>
      <c r="E51" s="49"/>
      <c r="F51" s="46">
        <f>IF(HLOOKUP(D51, UnderFive,selection+1, FALSE)=0, "n/a",HLOOKUP(D51, UnderFive, selection+1,FALSE))</f>
        <v>1022</v>
      </c>
      <c r="G51" s="46">
        <f>IF(HLOOKUP(D51, UnderFive,selection2+1, FALSE)=0, "n/a",HLOOKUP(D51, UnderFive, selection2+1,FALSE))</f>
        <v>858</v>
      </c>
      <c r="H51" s="2"/>
      <c r="I51" s="2"/>
      <c r="J51" s="2"/>
      <c r="K51" s="2"/>
      <c r="L51" s="2"/>
      <c r="M51" s="2"/>
      <c r="N51" s="2"/>
      <c r="O51" s="6"/>
    </row>
    <row r="52" spans="2:15" ht="15" x14ac:dyDescent="0.25">
      <c r="B52" s="6"/>
      <c r="C52" s="2"/>
      <c r="D52" s="2"/>
      <c r="E52" s="2"/>
      <c r="F52" s="2"/>
      <c r="G52" s="2"/>
      <c r="H52" s="2"/>
      <c r="I52" s="2"/>
      <c r="J52" s="2"/>
      <c r="K52" s="2"/>
      <c r="L52" s="2"/>
      <c r="M52" s="2"/>
      <c r="N52" s="2"/>
      <c r="O52" s="6"/>
    </row>
    <row r="53" spans="2:15" x14ac:dyDescent="0.2">
      <c r="B53" s="6"/>
      <c r="C53" s="6"/>
      <c r="D53" s="6"/>
      <c r="E53" s="6"/>
      <c r="F53" s="6"/>
      <c r="G53" s="6"/>
      <c r="H53" s="6"/>
      <c r="I53" s="6"/>
      <c r="J53" s="6"/>
      <c r="K53" s="6"/>
      <c r="L53" s="6"/>
      <c r="M53" s="6"/>
      <c r="N53" s="6"/>
      <c r="O53" s="6"/>
    </row>
    <row r="54" spans="2:15" x14ac:dyDescent="0.2">
      <c r="B54" s="6"/>
      <c r="C54" s="6"/>
      <c r="D54" s="6"/>
      <c r="E54" s="6"/>
      <c r="F54" s="6"/>
      <c r="G54" s="6"/>
      <c r="H54" s="6"/>
      <c r="I54" s="6"/>
      <c r="J54" s="6"/>
      <c r="K54" s="6"/>
      <c r="L54" s="6"/>
      <c r="M54" s="6"/>
      <c r="N54" s="6"/>
      <c r="O54" s="6"/>
    </row>
    <row r="55" spans="2:15" x14ac:dyDescent="0.2">
      <c r="B55" s="6"/>
      <c r="C55" s="6"/>
      <c r="D55" s="6"/>
      <c r="E55" s="6"/>
      <c r="F55" s="6"/>
      <c r="G55" s="6"/>
      <c r="H55" s="6"/>
      <c r="I55" s="6"/>
      <c r="J55" s="6"/>
      <c r="K55" s="6"/>
      <c r="L55" s="6"/>
      <c r="M55" s="6"/>
      <c r="N55" s="6"/>
      <c r="O55" s="6"/>
    </row>
    <row r="56" spans="2:15" x14ac:dyDescent="0.2">
      <c r="B56" s="6"/>
      <c r="C56" s="6"/>
      <c r="D56" s="6"/>
      <c r="E56" s="6"/>
      <c r="F56" s="6"/>
      <c r="G56" s="6"/>
      <c r="H56" s="6"/>
      <c r="I56" s="6"/>
      <c r="J56" s="6"/>
      <c r="K56" s="6"/>
      <c r="L56" s="6"/>
      <c r="M56" s="6"/>
      <c r="N56" s="6"/>
      <c r="O56" s="6"/>
    </row>
    <row r="57" spans="2:15" x14ac:dyDescent="0.2">
      <c r="B57" s="6"/>
      <c r="O57" s="6"/>
    </row>
    <row r="58" spans="2:15" x14ac:dyDescent="0.2">
      <c r="B58" s="6"/>
      <c r="O58" s="6"/>
    </row>
    <row r="59" spans="2:15" x14ac:dyDescent="0.2">
      <c r="B59" s="6"/>
      <c r="D59" s="614" t="s">
        <v>306</v>
      </c>
      <c r="E59" s="616"/>
      <c r="F59" s="620" t="str">
        <f>INDEX(Locations, selection)</f>
        <v>Kingston Buci</v>
      </c>
      <c r="G59" s="637" t="str">
        <f>INDEX(Locations, selection2)</f>
        <v>Stepping Stones</v>
      </c>
      <c r="H59" s="611" t="s">
        <v>292</v>
      </c>
      <c r="O59" s="6"/>
    </row>
    <row r="60" spans="2:15" x14ac:dyDescent="0.2">
      <c r="B60" s="6"/>
      <c r="D60" s="638"/>
      <c r="E60" s="639"/>
      <c r="F60" s="636"/>
      <c r="G60" s="637"/>
      <c r="H60" s="634"/>
      <c r="O60" s="6"/>
    </row>
    <row r="61" spans="2:15" ht="15" customHeight="1" x14ac:dyDescent="0.2">
      <c r="B61" s="6"/>
      <c r="D61" s="617"/>
      <c r="E61" s="619"/>
      <c r="F61" s="621"/>
      <c r="G61" s="637"/>
      <c r="H61" s="612"/>
      <c r="O61" s="6"/>
    </row>
    <row r="62" spans="2:15" ht="15" x14ac:dyDescent="0.25">
      <c r="B62" s="6"/>
      <c r="D62" s="622" t="s">
        <v>307</v>
      </c>
      <c r="E62" s="622"/>
      <c r="F62" s="50">
        <f t="shared" ref="F62:F68" si="2">IF(HLOOKUP(D62, Ethnicity,selection+1, FALSE)="", "",HLOOKUP(D62, Ethnicity, selection+1,FALSE))</f>
        <v>0.89910313901345296</v>
      </c>
      <c r="G62" s="50">
        <f t="shared" ref="G62:G68" si="3">IF(HLOOKUP(D62, Ethnicity,selection2+1, FALSE)="", "",HLOOKUP(D62, Ethnicity, selection2+1,FALSE))</f>
        <v>0.88930348258706471</v>
      </c>
      <c r="H62" s="50">
        <f>Data!AV76</f>
        <v>0.83558490728391344</v>
      </c>
      <c r="O62" s="6"/>
    </row>
    <row r="63" spans="2:15" ht="15" x14ac:dyDescent="0.25">
      <c r="B63" s="6"/>
      <c r="D63" s="622" t="s">
        <v>308</v>
      </c>
      <c r="E63" s="622"/>
      <c r="F63" s="50">
        <f t="shared" si="2"/>
        <v>2.1300448430493273E-2</v>
      </c>
      <c r="G63" s="50">
        <f t="shared" si="3"/>
        <v>1.8656716417910446E-2</v>
      </c>
      <c r="H63" s="50">
        <f>Data!AW76</f>
        <v>4.450802392118057E-2</v>
      </c>
      <c r="O63" s="6"/>
    </row>
    <row r="64" spans="2:15" ht="15" x14ac:dyDescent="0.25">
      <c r="B64" s="6"/>
      <c r="D64" s="622" t="s">
        <v>309</v>
      </c>
      <c r="E64" s="622"/>
      <c r="F64" s="50">
        <f t="shared" si="2"/>
        <v>4.708520179372197E-2</v>
      </c>
      <c r="G64" s="50">
        <f t="shared" si="3"/>
        <v>3.3582089552238806E-2</v>
      </c>
      <c r="H64" s="50">
        <f>Data!AX76</f>
        <v>4.7390612227337266E-2</v>
      </c>
      <c r="O64" s="6"/>
    </row>
    <row r="65" spans="2:15" ht="15" x14ac:dyDescent="0.25">
      <c r="B65" s="6"/>
      <c r="D65" s="622" t="s">
        <v>29</v>
      </c>
      <c r="E65" s="622"/>
      <c r="F65" s="50">
        <f t="shared" si="2"/>
        <v>2.8026905829596414E-2</v>
      </c>
      <c r="G65" s="50">
        <f t="shared" si="3"/>
        <v>3.109452736318408E-2</v>
      </c>
      <c r="H65" s="50">
        <f>Data!AY76</f>
        <v>5.4855225229101232E-2</v>
      </c>
      <c r="O65" s="6"/>
    </row>
    <row r="66" spans="2:15" ht="15" x14ac:dyDescent="0.25">
      <c r="B66" s="6"/>
      <c r="D66" s="622" t="s">
        <v>30</v>
      </c>
      <c r="E66" s="622"/>
      <c r="F66" s="50">
        <f t="shared" si="2"/>
        <v>0</v>
      </c>
      <c r="G66" s="50">
        <f t="shared" si="3"/>
        <v>7.462686567164179E-3</v>
      </c>
      <c r="H66" s="50">
        <f>Data!AZ76</f>
        <v>1.2928623671643075E-2</v>
      </c>
      <c r="O66" s="6"/>
    </row>
    <row r="67" spans="2:15" ht="15" x14ac:dyDescent="0.25">
      <c r="B67" s="6"/>
      <c r="D67" s="622" t="s">
        <v>31</v>
      </c>
      <c r="E67" s="622"/>
      <c r="F67" s="50">
        <f t="shared" si="2"/>
        <v>4.4843049327354259E-3</v>
      </c>
      <c r="G67" s="50">
        <f t="shared" si="3"/>
        <v>1.9900497512437811E-2</v>
      </c>
      <c r="H67" s="50">
        <f>Data!BA76</f>
        <v>4.7326076668244201E-3</v>
      </c>
      <c r="O67" s="6"/>
    </row>
    <row r="68" spans="2:15" ht="15" x14ac:dyDescent="0.25">
      <c r="B68" s="6"/>
      <c r="D68" s="624" t="s">
        <v>310</v>
      </c>
      <c r="E68" s="624"/>
      <c r="F68" s="50">
        <f t="shared" si="2"/>
        <v>0.10089686098654704</v>
      </c>
      <c r="G68" s="50">
        <f t="shared" si="3"/>
        <v>0.11069651741293529</v>
      </c>
      <c r="H68" s="50">
        <f>Data!BB76</f>
        <v>0.16441509271608656</v>
      </c>
      <c r="O68" s="6"/>
    </row>
    <row r="69" spans="2:15" ht="15" x14ac:dyDescent="0.25">
      <c r="B69" s="6"/>
      <c r="D69" s="2"/>
      <c r="E69" s="2"/>
      <c r="F69" s="2"/>
      <c r="G69" s="2"/>
      <c r="O69" s="6"/>
    </row>
    <row r="70" spans="2:15" ht="27" customHeight="1" x14ac:dyDescent="0.2">
      <c r="B70" s="6"/>
      <c r="D70" s="633" t="s">
        <v>311</v>
      </c>
      <c r="E70" s="633"/>
      <c r="F70" s="633"/>
      <c r="G70" s="633"/>
      <c r="O70" s="6"/>
    </row>
    <row r="71" spans="2:15" x14ac:dyDescent="0.2">
      <c r="B71" s="6"/>
      <c r="O71" s="6"/>
    </row>
    <row r="72" spans="2:15" x14ac:dyDescent="0.2">
      <c r="B72" s="6"/>
      <c r="C72" s="6"/>
      <c r="D72" s="6"/>
      <c r="E72" s="6"/>
      <c r="F72" s="6"/>
      <c r="G72" s="6"/>
      <c r="H72" s="6"/>
      <c r="I72" s="6"/>
      <c r="J72" s="6"/>
      <c r="K72" s="6"/>
      <c r="L72" s="6"/>
      <c r="M72" s="6"/>
      <c r="N72" s="6"/>
      <c r="O72" s="6"/>
    </row>
    <row r="73" spans="2:15" x14ac:dyDescent="0.2">
      <c r="B73" s="6"/>
      <c r="C73" s="6"/>
      <c r="D73" s="6"/>
      <c r="E73" s="6"/>
      <c r="F73" s="6"/>
      <c r="G73" s="6"/>
      <c r="H73" s="6"/>
      <c r="I73" s="6"/>
      <c r="J73" s="6"/>
      <c r="K73" s="6"/>
      <c r="L73" s="6"/>
      <c r="M73" s="6"/>
      <c r="N73" s="6"/>
      <c r="O73" s="6"/>
    </row>
    <row r="74" spans="2:15" x14ac:dyDescent="0.2">
      <c r="B74" s="6"/>
      <c r="O74" s="6"/>
    </row>
    <row r="75" spans="2:15" x14ac:dyDescent="0.2">
      <c r="B75" s="6"/>
      <c r="O75" s="6"/>
    </row>
    <row r="76" spans="2:15" x14ac:dyDescent="0.2">
      <c r="B76" s="6"/>
      <c r="O76" s="6"/>
    </row>
    <row r="77" spans="2:15" ht="15" x14ac:dyDescent="0.25">
      <c r="B77" s="6"/>
      <c r="C77" s="2"/>
      <c r="D77" s="2"/>
      <c r="E77" s="2"/>
      <c r="F77" s="2"/>
      <c r="G77" s="2"/>
      <c r="H77" s="2"/>
      <c r="I77" s="2"/>
      <c r="J77" s="2"/>
      <c r="K77" s="2"/>
      <c r="L77" s="2"/>
      <c r="M77" s="2"/>
      <c r="N77" s="2"/>
      <c r="O77" s="6"/>
    </row>
    <row r="78" spans="2:15" ht="18" customHeight="1" x14ac:dyDescent="0.25">
      <c r="B78" s="6"/>
      <c r="C78" s="2"/>
      <c r="D78" s="614" t="s">
        <v>306</v>
      </c>
      <c r="E78" s="615"/>
      <c r="F78" s="615"/>
      <c r="G78" s="616"/>
      <c r="H78" s="635" t="str">
        <f>INDEX(Locations, selection)</f>
        <v>Kingston Buci</v>
      </c>
      <c r="I78" s="609" t="str">
        <f>INDEX(Locations, selection2)</f>
        <v>Stepping Stones</v>
      </c>
      <c r="J78" s="631" t="s">
        <v>292</v>
      </c>
      <c r="K78" s="632" t="s">
        <v>294</v>
      </c>
      <c r="L78" s="2"/>
      <c r="M78" s="2"/>
      <c r="N78" s="2"/>
      <c r="O78" s="6"/>
    </row>
    <row r="79" spans="2:15" ht="20.25" customHeight="1" x14ac:dyDescent="0.25">
      <c r="B79" s="6"/>
      <c r="C79" s="2"/>
      <c r="D79" s="617"/>
      <c r="E79" s="618"/>
      <c r="F79" s="618"/>
      <c r="G79" s="619"/>
      <c r="H79" s="635"/>
      <c r="I79" s="610"/>
      <c r="J79" s="631"/>
      <c r="K79" s="632"/>
      <c r="L79" s="2"/>
      <c r="M79" s="2"/>
      <c r="N79" s="2"/>
      <c r="O79" s="6"/>
    </row>
    <row r="80" spans="2:15" ht="19.5" customHeight="1" x14ac:dyDescent="0.25">
      <c r="B80" s="6"/>
      <c r="C80" s="2"/>
      <c r="D80" s="625" t="s">
        <v>312</v>
      </c>
      <c r="E80" s="626"/>
      <c r="F80" s="626"/>
      <c r="G80" s="627"/>
      <c r="H80" s="45">
        <f>IF(HLOOKUP(D80, Proficiency,selection+1, FALSE)="", "",HLOOKUP(D80, Proficiency, selection+1,FALSE))</f>
        <v>2048</v>
      </c>
      <c r="I80" s="45">
        <f>IF(HLOOKUP(D80, Proficiency,selection2+1, FALSE)="", "",HLOOKUP(D80, Proficiency, selection2+1,FALSE))</f>
        <v>2004</v>
      </c>
      <c r="J80" s="45">
        <f>Data!BC76</f>
        <v>117072</v>
      </c>
      <c r="K80" s="45">
        <f>Data!BC78</f>
        <v>8015990</v>
      </c>
      <c r="L80" s="2"/>
      <c r="M80" s="2"/>
      <c r="N80" s="2"/>
      <c r="O80" s="6"/>
    </row>
    <row r="81" spans="2:15" ht="19.5" customHeight="1" x14ac:dyDescent="0.25">
      <c r="B81" s="6"/>
      <c r="C81" s="2"/>
      <c r="D81" s="625" t="s">
        <v>313</v>
      </c>
      <c r="E81" s="626"/>
      <c r="F81" s="626"/>
      <c r="G81" s="627"/>
      <c r="H81" s="45">
        <f>IF(HLOOKUP(D81, Proficiency,selection+1, FALSE)="", "",HLOOKUP(D81, Proficiency, selection+1,FALSE))</f>
        <v>2022</v>
      </c>
      <c r="I81" s="45">
        <f>IF(HLOOKUP(D81, Proficiency,selection2+1, FALSE)="", "",HLOOKUP(D81, Proficiency, selection2+1,FALSE))</f>
        <v>1951</v>
      </c>
      <c r="J81" s="45">
        <f>Data!BD76</f>
        <v>113395</v>
      </c>
      <c r="K81" s="45">
        <f>Data!BD78</f>
        <v>7549840</v>
      </c>
      <c r="L81" s="2"/>
      <c r="M81" s="2"/>
      <c r="N81" s="2"/>
      <c r="O81" s="6"/>
    </row>
    <row r="82" spans="2:15" ht="19.5" customHeight="1" x14ac:dyDescent="0.25">
      <c r="B82" s="6"/>
      <c r="C82" s="2"/>
      <c r="D82" s="625" t="s">
        <v>314</v>
      </c>
      <c r="E82" s="626"/>
      <c r="F82" s="626"/>
      <c r="G82" s="627"/>
      <c r="H82" s="45">
        <f>IF(HLOOKUP(D82, Proficiency,selection+1, FALSE)="", "",HLOOKUP(D82, Proficiency, selection+1,FALSE))</f>
        <v>26</v>
      </c>
      <c r="I82" s="45">
        <f>IF(HLOOKUP(D82, Proficiency,selection2+1, FALSE)="", "",HLOOKUP(D82, Proficiency, selection2+1,FALSE))</f>
        <v>53</v>
      </c>
      <c r="J82" s="45">
        <f>Data!BE76</f>
        <v>3677</v>
      </c>
      <c r="K82" s="45">
        <f>Data!BE78</f>
        <v>466150</v>
      </c>
      <c r="L82" s="2"/>
      <c r="M82" s="2"/>
      <c r="N82" s="2"/>
      <c r="O82" s="6"/>
    </row>
    <row r="83" spans="2:15" ht="33" customHeight="1" x14ac:dyDescent="0.25">
      <c r="B83" s="6"/>
      <c r="C83" s="2"/>
      <c r="D83" s="628" t="s">
        <v>317</v>
      </c>
      <c r="E83" s="629"/>
      <c r="F83" s="629"/>
      <c r="G83" s="630"/>
      <c r="H83" s="55">
        <f>IF(HLOOKUP(D83, Proficiency,selection+1, FALSE)="", "",HLOOKUP(D83, Proficiency, selection+1,FALSE))</f>
        <v>0.84615384615384615</v>
      </c>
      <c r="I83" s="55">
        <f>IF(HLOOKUP(D83, Proficiency,selection2+1, FALSE)="", "",HLOOKUP(D83, Proficiency, selection2+1,FALSE))</f>
        <v>0.96226415094339623</v>
      </c>
      <c r="J83" s="55">
        <f>Data!BH76</f>
        <v>0.84063094914332337</v>
      </c>
      <c r="K83" s="55">
        <f>Data!BH78</f>
        <v>0.83676928027458974</v>
      </c>
      <c r="L83" s="2"/>
      <c r="M83" s="2"/>
      <c r="N83" s="2"/>
      <c r="O83" s="6"/>
    </row>
    <row r="84" spans="2:15" ht="33" customHeight="1" x14ac:dyDescent="0.25">
      <c r="B84" s="6"/>
      <c r="C84" s="2"/>
      <c r="D84" s="628" t="s">
        <v>318</v>
      </c>
      <c r="E84" s="629"/>
      <c r="F84" s="629"/>
      <c r="G84" s="630"/>
      <c r="H84" s="55">
        <f>IF(HLOOKUP(D84, Proficiency,selection+1, FALSE)="", "",HLOOKUP(D84, Proficiency, selection+1,FALSE))</f>
        <v>0.15384615384615385</v>
      </c>
      <c r="I84" s="55">
        <f>IF(HLOOKUP(D84, Proficiency,selection2+1, FALSE)="", "",HLOOKUP(D84, Proficiency, selection2+1,FALSE))</f>
        <v>3.7735849056603772E-2</v>
      </c>
      <c r="J84" s="55">
        <f>Data!BI76</f>
        <v>0.15936905085667663</v>
      </c>
      <c r="K84" s="55">
        <f>Data!BI78</f>
        <v>0.16323071972541028</v>
      </c>
      <c r="L84" s="2"/>
      <c r="M84" s="2"/>
      <c r="N84" s="2"/>
      <c r="O84" s="6"/>
    </row>
    <row r="85" spans="2:15" ht="15" x14ac:dyDescent="0.25">
      <c r="B85" s="6"/>
      <c r="C85" s="2"/>
      <c r="D85" s="2"/>
      <c r="E85" s="2"/>
      <c r="F85" s="2"/>
      <c r="G85" s="2"/>
      <c r="H85" s="2"/>
      <c r="I85" s="2"/>
      <c r="J85" s="2"/>
      <c r="K85" s="2"/>
      <c r="L85" s="2"/>
      <c r="M85" s="2"/>
      <c r="N85" s="2"/>
      <c r="O85" s="6"/>
    </row>
    <row r="86" spans="2:15" ht="15" x14ac:dyDescent="0.25">
      <c r="B86" s="6"/>
      <c r="C86" s="2"/>
      <c r="D86" s="2"/>
      <c r="E86" s="2"/>
      <c r="F86" s="2"/>
      <c r="G86" s="2"/>
      <c r="H86" s="2"/>
      <c r="I86" s="2"/>
      <c r="J86" s="2"/>
      <c r="K86" s="2"/>
      <c r="L86" s="2"/>
      <c r="M86" s="2"/>
      <c r="N86" s="2"/>
      <c r="O86" s="6"/>
    </row>
    <row r="87" spans="2:15" x14ac:dyDescent="0.2">
      <c r="B87" s="6"/>
      <c r="C87" s="6"/>
      <c r="D87" s="6"/>
      <c r="E87" s="6"/>
      <c r="F87" s="6"/>
      <c r="G87" s="6"/>
      <c r="H87" s="6"/>
      <c r="I87" s="6"/>
      <c r="J87" s="6"/>
      <c r="K87" s="6"/>
      <c r="L87" s="6"/>
      <c r="M87" s="6"/>
      <c r="N87" s="6"/>
      <c r="O87" s="6"/>
    </row>
    <row r="88" spans="2:15" x14ac:dyDescent="0.2">
      <c r="B88" s="6"/>
      <c r="C88" s="6"/>
      <c r="D88" s="6"/>
      <c r="E88" s="6"/>
      <c r="F88" s="6"/>
      <c r="G88" s="6"/>
      <c r="H88" s="6"/>
      <c r="I88" s="6"/>
      <c r="J88" s="6"/>
      <c r="K88" s="6"/>
      <c r="L88" s="6"/>
      <c r="M88" s="6"/>
      <c r="N88" s="6"/>
      <c r="O88" s="6"/>
    </row>
    <row r="89" spans="2:15" x14ac:dyDescent="0.2">
      <c r="B89" s="6"/>
      <c r="O89" s="6"/>
    </row>
    <row r="90" spans="2:15" x14ac:dyDescent="0.2">
      <c r="B90" s="6"/>
      <c r="O90" s="6"/>
    </row>
    <row r="91" spans="2:15" x14ac:dyDescent="0.2">
      <c r="B91" s="6"/>
      <c r="O91" s="6"/>
    </row>
    <row r="92" spans="2:15" x14ac:dyDescent="0.2">
      <c r="B92" s="6"/>
      <c r="O92" s="6"/>
    </row>
    <row r="93" spans="2:15" ht="18" customHeight="1" x14ac:dyDescent="0.2">
      <c r="B93" s="6"/>
      <c r="D93" s="614" t="s">
        <v>306</v>
      </c>
      <c r="E93" s="615"/>
      <c r="F93" s="616"/>
      <c r="G93" s="620" t="str">
        <f>INDEX(Locations, selection)</f>
        <v>Kingston Buci</v>
      </c>
      <c r="H93" s="609" t="str">
        <f>INDEX(Locations, selection2)</f>
        <v>Stepping Stones</v>
      </c>
      <c r="I93" s="611" t="s">
        <v>292</v>
      </c>
      <c r="J93" s="613" t="s">
        <v>293</v>
      </c>
      <c r="K93" s="607" t="s">
        <v>294</v>
      </c>
      <c r="O93" s="6"/>
    </row>
    <row r="94" spans="2:15" ht="18" customHeight="1" x14ac:dyDescent="0.2">
      <c r="B94" s="6"/>
      <c r="D94" s="617"/>
      <c r="E94" s="618"/>
      <c r="F94" s="619"/>
      <c r="G94" s="621"/>
      <c r="H94" s="610"/>
      <c r="I94" s="612"/>
      <c r="J94" s="613"/>
      <c r="K94" s="608"/>
      <c r="O94" s="6"/>
    </row>
    <row r="95" spans="2:15" ht="15" x14ac:dyDescent="0.25">
      <c r="B95" s="6"/>
      <c r="D95" s="622" t="s">
        <v>93</v>
      </c>
      <c r="E95" s="622"/>
      <c r="F95" s="622"/>
      <c r="G95" s="50">
        <f>IF(HLOOKUP(D95, Tenure,selection+1, FALSE)="", "",HLOOKUP(D95, Tenure, selection+1,FALSE))</f>
        <v>0.59975889089813139</v>
      </c>
      <c r="H95" s="50">
        <f>IF(HLOOKUP(D95, Tenure,selection2+1, FALSE)="", "",HLOOKUP(D95, Tenure, selection2+1,FALSE))</f>
        <v>0.59199483537766295</v>
      </c>
      <c r="I95" s="50">
        <f>Data!BK76</f>
        <v>0.62169075757914261</v>
      </c>
      <c r="J95" s="50">
        <f>Data!BK77</f>
        <v>0.60131071046932683</v>
      </c>
      <c r="K95" s="50">
        <f>Data!BK78</f>
        <v>0.55249679011512953</v>
      </c>
      <c r="O95" s="6"/>
    </row>
    <row r="96" spans="2:15" ht="15" x14ac:dyDescent="0.25">
      <c r="B96" s="6"/>
      <c r="D96" s="622" t="s">
        <v>94</v>
      </c>
      <c r="E96" s="622"/>
      <c r="F96" s="622"/>
      <c r="G96" s="50">
        <f>IF(HLOOKUP(D96, Tenure,selection+1, FALSE)="", "",HLOOKUP(D96, Tenure, selection+1,FALSE))</f>
        <v>0.20253164556962025</v>
      </c>
      <c r="H96" s="50">
        <f>IF(HLOOKUP(D96, Tenure,selection2+1, FALSE)="", "",HLOOKUP(D96, Tenure, selection2+1,FALSE))</f>
        <v>0.20787604906391219</v>
      </c>
      <c r="I96" s="50">
        <f>Data!BL76</f>
        <v>0.17295190009159758</v>
      </c>
      <c r="J96" s="50">
        <f>Data!BL77</f>
        <v>0.17231993402372051</v>
      </c>
      <c r="K96" s="50">
        <f>Data!BL78</f>
        <v>0.21446978397089048</v>
      </c>
      <c r="O96" s="6"/>
    </row>
    <row r="97" spans="2:15" ht="15" x14ac:dyDescent="0.25">
      <c r="B97" s="6"/>
      <c r="D97" s="622" t="s">
        <v>95</v>
      </c>
      <c r="E97" s="622"/>
      <c r="F97" s="622"/>
      <c r="G97" s="50">
        <f>IF(HLOOKUP(D97, Tenure,selection+1, FALSE)="", "",HLOOKUP(D97, Tenure, selection+1,FALSE))</f>
        <v>0.19770946353224833</v>
      </c>
      <c r="H97" s="50">
        <f>IF(HLOOKUP(D97, Tenure,selection2+1, FALSE)="", "",HLOOKUP(D97, Tenure, selection2+1,FALSE))</f>
        <v>0.2001291155584248</v>
      </c>
      <c r="I97" s="50">
        <f>Data!BM76</f>
        <v>0.20535734232925984</v>
      </c>
      <c r="J97" s="50">
        <f>Data!BM77</f>
        <v>0.22636935550695267</v>
      </c>
      <c r="K97" s="50">
        <f>Data!BM78</f>
        <v>0.23303342591398002</v>
      </c>
      <c r="O97" s="6"/>
    </row>
    <row r="98" spans="2:15" ht="15" x14ac:dyDescent="0.25">
      <c r="B98" s="6"/>
      <c r="D98" s="623"/>
      <c r="E98" s="623"/>
      <c r="F98" s="623"/>
      <c r="G98" s="60"/>
      <c r="H98" s="60"/>
      <c r="I98" s="60"/>
      <c r="J98" s="60"/>
      <c r="K98" s="60"/>
      <c r="O98" s="6"/>
    </row>
    <row r="99" spans="2:15" ht="15" x14ac:dyDescent="0.25">
      <c r="B99" s="6"/>
      <c r="D99" s="624" t="s">
        <v>324</v>
      </c>
      <c r="E99" s="624"/>
      <c r="F99" s="624"/>
      <c r="G99" s="61">
        <f>IF(HLOOKUP(D99, Tenure,selection+1, FALSE)="", "",HLOOKUP(D99, Tenure, selection+1,FALSE))</f>
        <v>1659</v>
      </c>
      <c r="H99" s="61">
        <f>IF(HLOOKUP(D99, Tenure,selection2+1, FALSE)="", "",HLOOKUP(D99, Tenure, selection2+1,FALSE))</f>
        <v>1549</v>
      </c>
      <c r="I99" s="61">
        <f>Data!BJ76</f>
        <v>89522</v>
      </c>
      <c r="J99" s="61">
        <f>Data!BJ77</f>
        <v>1020973</v>
      </c>
      <c r="K99" s="61">
        <f>Data!BJ78</f>
        <v>6286051</v>
      </c>
      <c r="O99" s="6"/>
    </row>
    <row r="100" spans="2:15" ht="15" x14ac:dyDescent="0.25">
      <c r="B100" s="6"/>
      <c r="D100" s="2"/>
      <c r="E100" s="2"/>
      <c r="F100" s="2"/>
      <c r="G100" s="2"/>
      <c r="H100" s="2"/>
      <c r="O100" s="6"/>
    </row>
    <row r="101" spans="2:15" x14ac:dyDescent="0.2">
      <c r="B101" s="6"/>
      <c r="O101" s="6"/>
    </row>
    <row r="102" spans="2:15" x14ac:dyDescent="0.2">
      <c r="B102" s="6"/>
      <c r="O102" s="6"/>
    </row>
    <row r="103" spans="2:15" x14ac:dyDescent="0.2">
      <c r="B103" s="6"/>
      <c r="O103" s="6"/>
    </row>
    <row r="104" spans="2:15" x14ac:dyDescent="0.2">
      <c r="B104" s="6"/>
      <c r="O104" s="6"/>
    </row>
    <row r="105" spans="2:15" x14ac:dyDescent="0.2">
      <c r="B105" s="6"/>
      <c r="O105" s="6"/>
    </row>
    <row r="106" spans="2:15" x14ac:dyDescent="0.2">
      <c r="B106" s="6"/>
      <c r="O106" s="6"/>
    </row>
    <row r="107" spans="2:15" x14ac:dyDescent="0.2">
      <c r="B107" s="6"/>
      <c r="O107" s="6"/>
    </row>
    <row r="108" spans="2:15" x14ac:dyDescent="0.2">
      <c r="B108" s="6"/>
      <c r="O108" s="6"/>
    </row>
    <row r="109" spans="2:15" x14ac:dyDescent="0.2">
      <c r="B109" s="6"/>
      <c r="O109" s="6"/>
    </row>
    <row r="110" spans="2:15" x14ac:dyDescent="0.2">
      <c r="B110" s="6"/>
      <c r="O110" s="6"/>
    </row>
    <row r="111" spans="2:15" x14ac:dyDescent="0.2">
      <c r="B111" s="6"/>
      <c r="O111" s="6"/>
    </row>
    <row r="112" spans="2:15" x14ac:dyDescent="0.2">
      <c r="B112" s="6"/>
      <c r="O112" s="6"/>
    </row>
    <row r="113" spans="2:15" x14ac:dyDescent="0.2">
      <c r="B113" s="6"/>
      <c r="O113" s="6"/>
    </row>
    <row r="114" spans="2:15" x14ac:dyDescent="0.2">
      <c r="B114" s="6"/>
      <c r="O114" s="6"/>
    </row>
    <row r="115" spans="2:15" x14ac:dyDescent="0.2">
      <c r="B115" s="6"/>
      <c r="O115" s="6"/>
    </row>
    <row r="116" spans="2:15" x14ac:dyDescent="0.2">
      <c r="B116" s="6"/>
      <c r="O116" s="6"/>
    </row>
    <row r="117" spans="2:15" x14ac:dyDescent="0.2">
      <c r="B117" s="6"/>
      <c r="O117" s="6"/>
    </row>
    <row r="118" spans="2:15" x14ac:dyDescent="0.2">
      <c r="B118" s="6"/>
      <c r="C118" s="6"/>
      <c r="D118" s="6"/>
      <c r="E118" s="6"/>
      <c r="F118" s="6"/>
      <c r="G118" s="6"/>
      <c r="H118" s="6"/>
      <c r="I118" s="6"/>
      <c r="J118" s="6"/>
      <c r="K118" s="6"/>
      <c r="L118" s="6"/>
      <c r="M118" s="6"/>
      <c r="N118" s="6"/>
      <c r="O118" s="6"/>
    </row>
    <row r="119" spans="2:15" x14ac:dyDescent="0.2">
      <c r="B119" s="6"/>
      <c r="C119" s="6"/>
      <c r="D119" s="6"/>
      <c r="E119" s="6"/>
      <c r="F119" s="6"/>
      <c r="G119" s="6"/>
      <c r="H119" s="6"/>
      <c r="I119" s="6"/>
      <c r="J119" s="6"/>
      <c r="K119" s="6"/>
      <c r="L119" s="6"/>
      <c r="M119" s="6"/>
      <c r="N119" s="6"/>
      <c r="O119" s="6"/>
    </row>
  </sheetData>
  <sheetProtection sheet="1" objects="1" scenarios="1"/>
  <mergeCells count="53">
    <mergeCell ref="D34:E34"/>
    <mergeCell ref="A2:L2"/>
    <mergeCell ref="E33:H33"/>
    <mergeCell ref="D19:D22"/>
    <mergeCell ref="E19:E22"/>
    <mergeCell ref="F19:F22"/>
    <mergeCell ref="G19:G22"/>
    <mergeCell ref="H19:H22"/>
    <mergeCell ref="I19:I22"/>
    <mergeCell ref="D17:G17"/>
    <mergeCell ref="J19:J22"/>
    <mergeCell ref="K19:K22"/>
    <mergeCell ref="H17:K17"/>
    <mergeCell ref="F24:G24"/>
    <mergeCell ref="J24:L24"/>
    <mergeCell ref="D40:E41"/>
    <mergeCell ref="F40:F41"/>
    <mergeCell ref="G40:G41"/>
    <mergeCell ref="D35:E35"/>
    <mergeCell ref="D36:E36"/>
    <mergeCell ref="H59:H61"/>
    <mergeCell ref="H78:H79"/>
    <mergeCell ref="D64:E64"/>
    <mergeCell ref="D65:E65"/>
    <mergeCell ref="D66:E66"/>
    <mergeCell ref="D67:E67"/>
    <mergeCell ref="D68:E68"/>
    <mergeCell ref="F59:F61"/>
    <mergeCell ref="G59:G61"/>
    <mergeCell ref="D59:E61"/>
    <mergeCell ref="D62:E62"/>
    <mergeCell ref="D63:E63"/>
    <mergeCell ref="J78:J79"/>
    <mergeCell ref="K78:K79"/>
    <mergeCell ref="D80:G80"/>
    <mergeCell ref="D81:G81"/>
    <mergeCell ref="D70:G70"/>
    <mergeCell ref="D82:G82"/>
    <mergeCell ref="D83:G83"/>
    <mergeCell ref="D84:G84"/>
    <mergeCell ref="D78:G79"/>
    <mergeCell ref="I78:I79"/>
    <mergeCell ref="D95:F95"/>
    <mergeCell ref="D96:F96"/>
    <mergeCell ref="D97:F97"/>
    <mergeCell ref="D98:F98"/>
    <mergeCell ref="D99:F99"/>
    <mergeCell ref="K93:K94"/>
    <mergeCell ref="H93:H94"/>
    <mergeCell ref="I93:I94"/>
    <mergeCell ref="J93:J94"/>
    <mergeCell ref="D93:F94"/>
    <mergeCell ref="G93:G94"/>
  </mergeCells>
  <printOptions horizontalCentered="1"/>
  <pageMargins left="0.23622047244094491" right="0.23622047244094491" top="0.74803149606299213" bottom="0.74803149606299213" header="0.31496062992125984" footer="0.31496062992125984"/>
  <pageSetup paperSize="9" scale="69" fitToHeight="2" orientation="portrait" r:id="rId1"/>
  <rowBreaks count="1" manualBreakCount="1">
    <brk id="54" max="15" man="1"/>
  </rowBreaks>
  <drawing r:id="rId2"/>
  <legacyDrawing r:id="rId3"/>
  <mc:AlternateContent xmlns:mc="http://schemas.openxmlformats.org/markup-compatibility/2006">
    <mc:Choice Requires="x14">
      <controls>
        <mc:AlternateContent xmlns:mc="http://schemas.openxmlformats.org/markup-compatibility/2006">
          <mc:Choice Requires="x14">
            <control shapeId="3075" r:id="rId4" name="Drop Down 3">
              <controlPr defaultSize="0" autoLine="0" autoPict="0">
                <anchor>
                  <from>
                    <xdr:col>4</xdr:col>
                    <xdr:colOff>914400</xdr:colOff>
                    <xdr:row>4</xdr:row>
                    <xdr:rowOff>180975</xdr:rowOff>
                  </from>
                  <to>
                    <xdr:col>7</xdr:col>
                    <xdr:colOff>828675</xdr:colOff>
                    <xdr:row>6</xdr:row>
                    <xdr:rowOff>66675</xdr:rowOff>
                  </to>
                </anchor>
              </controlPr>
            </control>
          </mc:Choice>
        </mc:AlternateContent>
        <mc:AlternateContent xmlns:mc="http://schemas.openxmlformats.org/markup-compatibility/2006">
          <mc:Choice Requires="x14">
            <control shapeId="3076" r:id="rId5" name="Drop Down 4">
              <controlPr defaultSize="0" autoLine="0" autoPict="0">
                <anchor>
                  <from>
                    <xdr:col>4</xdr:col>
                    <xdr:colOff>923925</xdr:colOff>
                    <xdr:row>6</xdr:row>
                    <xdr:rowOff>161925</xdr:rowOff>
                  </from>
                  <to>
                    <xdr:col>7</xdr:col>
                    <xdr:colOff>838200</xdr:colOff>
                    <xdr:row>8</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7" tint="0.39997558519241921"/>
  </sheetPr>
  <dimension ref="A1:R81"/>
  <sheetViews>
    <sheetView zoomScaleNormal="100" zoomScaleSheetLayoutView="90" zoomScalePageLayoutView="80" workbookViewId="0">
      <selection activeCell="H24" sqref="H24"/>
    </sheetView>
  </sheetViews>
  <sheetFormatPr defaultRowHeight="14.25" x14ac:dyDescent="0.2"/>
  <cols>
    <col min="1" max="1" width="1" style="1" customWidth="1"/>
    <col min="2" max="2" width="1.19921875" style="1" customWidth="1"/>
    <col min="3" max="3" width="5.59765625" style="1" customWidth="1"/>
    <col min="4" max="9" width="11.3984375" style="1" customWidth="1"/>
    <col min="10" max="10" width="10" style="1" customWidth="1"/>
    <col min="11" max="11" width="11.69921875" style="1" customWidth="1"/>
    <col min="12" max="12" width="10.296875" style="1" customWidth="1"/>
    <col min="13" max="13" width="3.69921875" style="1" customWidth="1"/>
    <col min="14" max="14" width="1.3984375" style="1" customWidth="1"/>
    <col min="15" max="15" width="1.19921875" style="1" customWidth="1"/>
    <col min="16" max="16" width="1.09765625" style="1" customWidth="1"/>
    <col min="17" max="17" width="8.796875" style="1"/>
    <col min="18" max="18" width="19" style="1" bestFit="1" customWidth="1"/>
    <col min="19" max="16384" width="8.796875" style="1"/>
  </cols>
  <sheetData>
    <row r="1" spans="1:18" ht="15" x14ac:dyDescent="0.25">
      <c r="R1" s="23">
        <f ca="1">NOW()</f>
        <v>42356.527743287035</v>
      </c>
    </row>
    <row r="2" spans="1:18" ht="17.25" customHeight="1" x14ac:dyDescent="0.2">
      <c r="A2" s="590"/>
      <c r="B2" s="591"/>
      <c r="C2" s="591"/>
      <c r="D2" s="591"/>
      <c r="E2" s="591"/>
      <c r="F2" s="591"/>
      <c r="G2" s="591"/>
      <c r="H2" s="591"/>
      <c r="I2" s="591"/>
      <c r="J2" s="591"/>
      <c r="K2" s="591"/>
      <c r="L2" s="591"/>
    </row>
    <row r="3" spans="1:18" ht="15" x14ac:dyDescent="0.25">
      <c r="A3" s="2"/>
      <c r="B3" s="2"/>
      <c r="C3" s="2"/>
      <c r="D3" s="2"/>
      <c r="E3" s="2"/>
      <c r="F3" s="2"/>
      <c r="G3" s="2"/>
      <c r="H3" s="2"/>
      <c r="I3" s="2"/>
      <c r="J3" s="2"/>
      <c r="K3" s="2"/>
      <c r="L3" s="2"/>
    </row>
    <row r="4" spans="1:18" ht="15" x14ac:dyDescent="0.25">
      <c r="A4" s="2"/>
      <c r="B4" s="2"/>
      <c r="C4" s="2"/>
      <c r="D4" s="2"/>
      <c r="E4" s="2"/>
      <c r="F4" s="2"/>
      <c r="G4" s="2"/>
      <c r="H4" s="2"/>
      <c r="I4" s="2"/>
      <c r="J4" s="2"/>
      <c r="K4" s="2"/>
      <c r="L4" s="2"/>
    </row>
    <row r="5" spans="1:18" s="69" customFormat="1" ht="15" x14ac:dyDescent="0.25">
      <c r="A5" s="334"/>
      <c r="B5" s="5"/>
      <c r="C5" s="5"/>
      <c r="D5" s="5"/>
      <c r="E5" s="5"/>
      <c r="F5" s="5"/>
      <c r="G5" s="5"/>
      <c r="H5" s="5"/>
      <c r="I5" s="5"/>
      <c r="J5" s="5"/>
      <c r="K5" s="5"/>
      <c r="L5" s="5"/>
      <c r="M5" s="6"/>
      <c r="N5" s="6"/>
      <c r="O5" s="6"/>
    </row>
    <row r="6" spans="1:18" s="69" customFormat="1" ht="15" x14ac:dyDescent="0.25">
      <c r="A6" s="334"/>
      <c r="B6" s="5"/>
      <c r="C6" s="5"/>
      <c r="D6" s="5"/>
      <c r="E6" s="5"/>
      <c r="F6" s="5"/>
      <c r="G6" s="5"/>
      <c r="H6" s="5"/>
      <c r="I6" s="5"/>
      <c r="J6" s="5"/>
      <c r="K6" s="5"/>
      <c r="L6" s="5"/>
      <c r="M6" s="6"/>
      <c r="N6" s="6"/>
      <c r="O6" s="6"/>
    </row>
    <row r="7" spans="1:18" s="69" customFormat="1" ht="15" x14ac:dyDescent="0.25">
      <c r="A7" s="334"/>
      <c r="B7" s="5"/>
      <c r="C7" s="5"/>
      <c r="D7" s="5"/>
      <c r="E7" s="5"/>
      <c r="F7" s="5"/>
      <c r="G7" s="5"/>
      <c r="H7" s="5"/>
      <c r="I7" s="5"/>
      <c r="J7" s="5"/>
      <c r="K7" s="5"/>
      <c r="L7" s="5"/>
      <c r="M7" s="6"/>
      <c r="N7" s="6"/>
      <c r="O7" s="6"/>
    </row>
    <row r="8" spans="1:18" s="69" customFormat="1" ht="15" x14ac:dyDescent="0.25">
      <c r="A8" s="334"/>
      <c r="B8" s="5"/>
      <c r="C8" s="5"/>
      <c r="D8" s="5"/>
      <c r="E8" s="5"/>
      <c r="F8" s="5"/>
      <c r="G8" s="5"/>
      <c r="H8" s="5"/>
      <c r="I8" s="5"/>
      <c r="J8" s="5"/>
      <c r="K8" s="5"/>
      <c r="L8" s="5"/>
      <c r="M8" s="6"/>
      <c r="N8" s="6"/>
      <c r="O8" s="6"/>
    </row>
    <row r="9" spans="1:18" ht="15" x14ac:dyDescent="0.25">
      <c r="A9" s="2"/>
      <c r="B9" s="5"/>
      <c r="C9" s="5"/>
      <c r="D9" s="5"/>
      <c r="E9" s="5"/>
      <c r="F9" s="5"/>
      <c r="G9" s="5"/>
      <c r="H9" s="5"/>
      <c r="I9" s="5"/>
      <c r="J9" s="5"/>
      <c r="K9" s="5"/>
      <c r="L9" s="5"/>
      <c r="M9" s="6"/>
      <c r="N9" s="6"/>
      <c r="O9" s="6"/>
    </row>
    <row r="10" spans="1:18" ht="15" x14ac:dyDescent="0.25">
      <c r="A10" s="2"/>
      <c r="B10" s="5"/>
      <c r="C10" s="5"/>
      <c r="D10" s="5"/>
      <c r="E10" s="5"/>
      <c r="F10" s="5"/>
      <c r="G10" s="5"/>
      <c r="H10" s="5"/>
      <c r="I10" s="5"/>
      <c r="J10" s="5"/>
      <c r="K10" s="5"/>
      <c r="L10" s="5"/>
      <c r="M10" s="6"/>
      <c r="N10" s="6"/>
      <c r="O10" s="6"/>
    </row>
    <row r="11" spans="1:18" ht="15" x14ac:dyDescent="0.25">
      <c r="A11" s="2"/>
      <c r="B11" s="5"/>
      <c r="C11" s="2"/>
      <c r="D11" s="2"/>
      <c r="E11" s="2"/>
      <c r="F11" s="2"/>
      <c r="G11" s="2"/>
      <c r="H11" s="2"/>
      <c r="I11" s="2"/>
      <c r="J11" s="2"/>
      <c r="K11" s="2"/>
      <c r="L11" s="2"/>
      <c r="M11" s="69"/>
      <c r="N11" s="69"/>
      <c r="O11" s="6"/>
    </row>
    <row r="12" spans="1:18" ht="15" x14ac:dyDescent="0.25">
      <c r="A12" s="2"/>
      <c r="B12" s="5"/>
      <c r="C12" s="2"/>
      <c r="D12" s="2"/>
      <c r="E12" s="2"/>
      <c r="F12" s="2"/>
      <c r="G12" s="2"/>
      <c r="H12" s="2"/>
      <c r="I12" s="2"/>
      <c r="J12" s="2"/>
      <c r="K12" s="2"/>
      <c r="L12" s="2"/>
      <c r="M12" s="69"/>
      <c r="N12" s="69"/>
      <c r="O12" s="6"/>
    </row>
    <row r="13" spans="1:18" ht="15" x14ac:dyDescent="0.25">
      <c r="A13" s="2"/>
      <c r="B13" s="5"/>
      <c r="C13" s="2"/>
      <c r="D13" s="2"/>
      <c r="E13" s="2"/>
      <c r="F13" s="2"/>
      <c r="G13" s="2"/>
      <c r="H13" s="2"/>
      <c r="I13" s="2"/>
      <c r="J13" s="72"/>
      <c r="K13" s="72"/>
      <c r="L13" s="72"/>
      <c r="M13" s="69"/>
      <c r="N13" s="69"/>
      <c r="O13" s="6"/>
    </row>
    <row r="14" spans="1:18" ht="15" x14ac:dyDescent="0.25">
      <c r="A14" s="2"/>
      <c r="B14" s="5"/>
      <c r="C14" s="2"/>
      <c r="D14" s="2"/>
      <c r="E14" s="2"/>
      <c r="F14" s="2"/>
      <c r="G14" s="2"/>
      <c r="H14" s="2"/>
      <c r="I14" s="2"/>
      <c r="J14" s="72"/>
      <c r="K14" s="72"/>
      <c r="L14" s="72"/>
      <c r="M14" s="69"/>
      <c r="N14" s="69"/>
      <c r="O14" s="6"/>
    </row>
    <row r="15" spans="1:18" ht="15" x14ac:dyDescent="0.25">
      <c r="A15" s="2"/>
      <c r="B15" s="5"/>
      <c r="C15" s="2"/>
      <c r="D15" s="2"/>
      <c r="E15" s="2"/>
      <c r="F15" s="2"/>
      <c r="G15" s="2"/>
      <c r="H15" s="2"/>
      <c r="I15" s="2"/>
      <c r="J15" s="72"/>
      <c r="K15" s="72"/>
      <c r="L15" s="72"/>
      <c r="M15" s="69"/>
      <c r="N15" s="69"/>
      <c r="O15" s="6"/>
    </row>
    <row r="16" spans="1:18" ht="15" x14ac:dyDescent="0.25">
      <c r="A16" s="2"/>
      <c r="B16" s="5"/>
      <c r="C16" s="2"/>
      <c r="D16" s="614" t="s">
        <v>306</v>
      </c>
      <c r="E16" s="615"/>
      <c r="F16" s="615"/>
      <c r="G16" s="616"/>
      <c r="H16" s="620" t="str">
        <f>INDEX(Locations, selection)</f>
        <v>Kingston Buci</v>
      </c>
      <c r="I16" s="609" t="str">
        <f>INDEX(Locations, selection2)</f>
        <v>Stepping Stones</v>
      </c>
      <c r="J16" s="73"/>
      <c r="K16" s="73"/>
      <c r="L16" s="73"/>
      <c r="M16" s="196"/>
      <c r="N16" s="69"/>
      <c r="O16" s="6"/>
    </row>
    <row r="17" spans="1:15" ht="15" x14ac:dyDescent="0.25">
      <c r="A17" s="2"/>
      <c r="B17" s="5"/>
      <c r="C17" s="2"/>
      <c r="D17" s="638"/>
      <c r="E17" s="671"/>
      <c r="F17" s="671"/>
      <c r="G17" s="639"/>
      <c r="H17" s="636"/>
      <c r="I17" s="678"/>
      <c r="J17" s="73"/>
      <c r="K17" s="74">
        <f>IF(H20 = "n/a", "", SUM(H20:H22))</f>
        <v>701</v>
      </c>
      <c r="L17" s="75">
        <f>IF(I20="n/a","",SUM(I20:I22))</f>
        <v>638</v>
      </c>
      <c r="M17" s="196"/>
      <c r="N17" s="69"/>
      <c r="O17" s="6"/>
    </row>
    <row r="18" spans="1:15" ht="15" x14ac:dyDescent="0.25">
      <c r="A18" s="2"/>
      <c r="B18" s="5"/>
      <c r="C18" s="2"/>
      <c r="D18" s="617"/>
      <c r="E18" s="618"/>
      <c r="F18" s="618"/>
      <c r="G18" s="619"/>
      <c r="H18" s="621"/>
      <c r="I18" s="610"/>
      <c r="J18" s="73"/>
      <c r="K18" s="76"/>
      <c r="L18" s="76"/>
      <c r="M18" s="196"/>
      <c r="N18" s="69"/>
      <c r="O18" s="6"/>
    </row>
    <row r="19" spans="1:15" ht="20.25" customHeight="1" x14ac:dyDescent="0.25">
      <c r="A19" s="2"/>
      <c r="B19" s="5"/>
      <c r="C19" s="2"/>
      <c r="D19" s="675" t="s">
        <v>405</v>
      </c>
      <c r="E19" s="676"/>
      <c r="F19" s="676"/>
      <c r="G19" s="677"/>
      <c r="H19" s="62">
        <f>IF(HLOOKUP($D19, Families, selection+1, FALSE) = "", "", HLOOKUP($D19, Families, selection+1, FALSE))</f>
        <v>1701</v>
      </c>
      <c r="I19" s="62">
        <f>IF(HLOOKUP($D19, Families, selection2+1, FALSE) = "", "", HLOOKUP($D19, Families, selection2+1, FALSE))</f>
        <v>1665</v>
      </c>
      <c r="J19" s="73"/>
      <c r="K19" s="77" t="str">
        <f>H16</f>
        <v>Kingston Buci</v>
      </c>
      <c r="L19" s="408" t="str">
        <f>I16</f>
        <v>Stepping Stones</v>
      </c>
      <c r="M19" s="196"/>
      <c r="N19" s="69"/>
      <c r="O19" s="6"/>
    </row>
    <row r="20" spans="1:15" ht="20.25" customHeight="1" x14ac:dyDescent="0.25">
      <c r="A20" s="2"/>
      <c r="B20" s="5"/>
      <c r="C20" s="2"/>
      <c r="D20" s="672" t="s">
        <v>325</v>
      </c>
      <c r="E20" s="673"/>
      <c r="F20" s="673"/>
      <c r="G20" s="674"/>
      <c r="H20" s="62">
        <f>IF(HLOOKUP($D20, Families, selection+1, FALSE) = "", "", HLOOKUP($D20, Families, selection+1, FALSE))</f>
        <v>299</v>
      </c>
      <c r="I20" s="62">
        <f>IF(HLOOKUP($D20, Families, selection2+1, FALSE) = "", "", HLOOKUP($D20, Families, selection2+1, FALSE))</f>
        <v>256</v>
      </c>
      <c r="J20" s="73" t="s">
        <v>407</v>
      </c>
      <c r="K20" s="77">
        <f>IF(H20 = "n/a", "", H20/$K$17)</f>
        <v>0.42653352353780316</v>
      </c>
      <c r="L20" s="77">
        <f>IF(I20 = "n/a", "", I20/$L$17)</f>
        <v>0.40125391849529779</v>
      </c>
      <c r="M20" s="196"/>
      <c r="N20" s="69"/>
      <c r="O20" s="6"/>
    </row>
    <row r="21" spans="1:15" ht="20.25" customHeight="1" x14ac:dyDescent="0.25">
      <c r="A21" s="2"/>
      <c r="B21" s="5"/>
      <c r="C21" s="2"/>
      <c r="D21" s="672" t="s">
        <v>326</v>
      </c>
      <c r="E21" s="673"/>
      <c r="F21" s="673"/>
      <c r="G21" s="674"/>
      <c r="H21" s="62">
        <f>IF(HLOOKUP($D21, Families, selection+1, FALSE) = "", "", HLOOKUP($D21, Families, selection+1, FALSE))</f>
        <v>296</v>
      </c>
      <c r="I21" s="62">
        <f>IF(HLOOKUP($D21, Families, selection2+1, FALSE) = "", "", HLOOKUP($D21, Families, selection2+1, FALSE))</f>
        <v>276</v>
      </c>
      <c r="J21" s="73" t="s">
        <v>406</v>
      </c>
      <c r="K21" s="77">
        <f>IF(H21 = "n/a", "", H21/$K$17)</f>
        <v>0.42225392296718972</v>
      </c>
      <c r="L21" s="77">
        <f>IF(I21 = "n/a", "",I21/$L$17)</f>
        <v>0.43260188087774293</v>
      </c>
      <c r="M21" s="196"/>
      <c r="N21" s="69"/>
      <c r="O21" s="6"/>
    </row>
    <row r="22" spans="1:15" ht="20.25" customHeight="1" x14ac:dyDescent="0.25">
      <c r="A22" s="2"/>
      <c r="B22" s="5"/>
      <c r="C22" s="2"/>
      <c r="D22" s="672" t="s">
        <v>327</v>
      </c>
      <c r="E22" s="673"/>
      <c r="F22" s="673"/>
      <c r="G22" s="674"/>
      <c r="H22" s="62">
        <f>IF(HLOOKUP($D22, Families, selection+1, FALSE) = "", "", HLOOKUP($D22, Families, selection+1, FALSE))</f>
        <v>106</v>
      </c>
      <c r="I22" s="62">
        <f>IF(HLOOKUP($D22, Families, selection2+1, FALSE) = "", "", HLOOKUP($D22, Families, selection2+1, FALSE))</f>
        <v>106</v>
      </c>
      <c r="J22" s="73" t="s">
        <v>408</v>
      </c>
      <c r="K22" s="77">
        <f>IF(H22 = "n/a", "", H22/$K$17)</f>
        <v>0.15121255349500715</v>
      </c>
      <c r="L22" s="77">
        <f>IF(I22 = "n/a","",I22/$L$17)</f>
        <v>0.16614420062695925</v>
      </c>
      <c r="M22" s="196"/>
      <c r="N22" s="69"/>
      <c r="O22" s="6"/>
    </row>
    <row r="23" spans="1:15" ht="20.25" customHeight="1" x14ac:dyDescent="0.25">
      <c r="A23" s="2"/>
      <c r="B23" s="5"/>
      <c r="C23" s="2"/>
      <c r="D23" s="675" t="s">
        <v>670</v>
      </c>
      <c r="E23" s="676"/>
      <c r="F23" s="676"/>
      <c r="G23" s="677"/>
      <c r="H23" s="78">
        <f>IF(HLOOKUP($D23, Families, selection+1, FALSE) = "", "", HLOOKUP($D23, Families, selection+1, FALSE))</f>
        <v>0.11169900058788948</v>
      </c>
      <c r="I23" s="586">
        <f>IF(HLOOKUP($D23, Families, selection2+1, FALSE) = "", "", HLOOKUP($D23, Families, selection2+1, FALSE))</f>
        <v>0.12672672672672672</v>
      </c>
      <c r="J23" s="73"/>
      <c r="K23" s="73"/>
      <c r="L23" s="73"/>
      <c r="M23" s="196"/>
      <c r="N23" s="69"/>
      <c r="O23" s="6"/>
    </row>
    <row r="24" spans="1:15" ht="15" x14ac:dyDescent="0.25">
      <c r="A24" s="2"/>
      <c r="B24" s="5"/>
      <c r="C24" s="2"/>
      <c r="D24" s="2"/>
      <c r="E24" s="2"/>
      <c r="F24" s="2"/>
      <c r="G24" s="2"/>
      <c r="H24" s="2"/>
      <c r="I24" s="2"/>
      <c r="J24" s="72"/>
      <c r="K24" s="72"/>
      <c r="L24" s="72"/>
      <c r="M24" s="69"/>
      <c r="N24" s="69"/>
      <c r="O24" s="6"/>
    </row>
    <row r="25" spans="1:15" ht="15" x14ac:dyDescent="0.25">
      <c r="A25" s="2"/>
      <c r="B25" s="5"/>
      <c r="C25" s="2"/>
      <c r="D25" s="2"/>
      <c r="E25" s="2"/>
      <c r="F25" s="2"/>
      <c r="G25" s="2"/>
      <c r="H25" s="2"/>
      <c r="I25" s="2"/>
      <c r="J25" s="2"/>
      <c r="K25" s="2"/>
      <c r="L25" s="2"/>
      <c r="M25" s="69"/>
      <c r="N25" s="69"/>
      <c r="O25" s="6"/>
    </row>
    <row r="26" spans="1:15" ht="15" x14ac:dyDescent="0.25">
      <c r="A26" s="2"/>
      <c r="B26" s="5"/>
      <c r="C26" s="2"/>
      <c r="D26" s="2"/>
      <c r="E26" s="2"/>
      <c r="F26" s="2"/>
      <c r="G26" s="2"/>
      <c r="H26" s="2"/>
      <c r="I26" s="2"/>
      <c r="J26" s="2"/>
      <c r="K26" s="2"/>
      <c r="L26" s="2"/>
      <c r="M26" s="69"/>
      <c r="N26" s="69"/>
      <c r="O26" s="6"/>
    </row>
    <row r="27" spans="1:15" ht="15" x14ac:dyDescent="0.25">
      <c r="A27" s="2"/>
      <c r="B27" s="5"/>
      <c r="C27" s="5"/>
      <c r="D27" s="5"/>
      <c r="E27" s="5"/>
      <c r="F27" s="5"/>
      <c r="G27" s="5"/>
      <c r="H27" s="5"/>
      <c r="I27" s="5"/>
      <c r="J27" s="5"/>
      <c r="K27" s="5"/>
      <c r="L27" s="5"/>
      <c r="M27" s="6"/>
      <c r="N27" s="6"/>
      <c r="O27" s="6"/>
    </row>
    <row r="28" spans="1:15" ht="15" x14ac:dyDescent="0.25">
      <c r="A28" s="2"/>
      <c r="B28" s="5"/>
      <c r="C28" s="5"/>
      <c r="D28" s="5"/>
      <c r="E28" s="5"/>
      <c r="F28" s="5"/>
      <c r="G28" s="5"/>
      <c r="H28" s="5"/>
      <c r="I28" s="5"/>
      <c r="J28" s="5"/>
      <c r="K28" s="5"/>
      <c r="L28" s="5"/>
      <c r="M28" s="6"/>
      <c r="N28" s="6"/>
      <c r="O28" s="6"/>
    </row>
    <row r="29" spans="1:15" ht="15" x14ac:dyDescent="0.25">
      <c r="A29" s="2"/>
      <c r="B29" s="5"/>
      <c r="C29" s="5"/>
      <c r="D29" s="5"/>
      <c r="E29" s="5"/>
      <c r="F29" s="5"/>
      <c r="G29" s="5"/>
      <c r="H29" s="5"/>
      <c r="I29" s="5"/>
      <c r="J29" s="5"/>
      <c r="K29" s="5"/>
      <c r="L29" s="5"/>
      <c r="M29" s="6"/>
      <c r="N29" s="6"/>
      <c r="O29" s="6"/>
    </row>
    <row r="30" spans="1:15" ht="15" x14ac:dyDescent="0.25">
      <c r="A30" s="2"/>
      <c r="B30" s="5"/>
      <c r="C30" s="2"/>
      <c r="D30" s="2"/>
      <c r="E30" s="2"/>
      <c r="F30" s="2"/>
      <c r="G30" s="2"/>
      <c r="H30" s="2"/>
      <c r="I30" s="2"/>
      <c r="J30" s="2"/>
      <c r="K30" s="2"/>
      <c r="L30" s="2"/>
      <c r="M30" s="69"/>
      <c r="N30" s="69"/>
      <c r="O30" s="6"/>
    </row>
    <row r="31" spans="1:15" ht="15" x14ac:dyDescent="0.25">
      <c r="A31" s="2"/>
      <c r="B31" s="5"/>
      <c r="C31" s="2"/>
      <c r="D31" s="2"/>
      <c r="E31" s="2"/>
      <c r="F31" s="2"/>
      <c r="G31" s="2"/>
      <c r="H31" s="2"/>
      <c r="I31" s="2"/>
      <c r="J31" s="2"/>
      <c r="K31" s="2"/>
      <c r="L31" s="2"/>
      <c r="M31" s="69"/>
      <c r="N31" s="69"/>
      <c r="O31" s="6"/>
    </row>
    <row r="32" spans="1:15" ht="15" x14ac:dyDescent="0.25">
      <c r="A32" s="2"/>
      <c r="B32" s="5"/>
      <c r="C32" s="2"/>
      <c r="D32" s="2"/>
      <c r="E32" s="2"/>
      <c r="F32" s="2"/>
      <c r="G32" s="2"/>
      <c r="H32" s="2"/>
      <c r="I32" s="2"/>
      <c r="J32" s="2"/>
      <c r="K32" s="2"/>
      <c r="L32" s="2"/>
      <c r="M32" s="69"/>
      <c r="N32" s="69"/>
      <c r="O32" s="6"/>
    </row>
    <row r="33" spans="1:15" ht="15" x14ac:dyDescent="0.25">
      <c r="A33" s="2"/>
      <c r="B33" s="5"/>
      <c r="C33" s="2"/>
      <c r="D33" s="2"/>
      <c r="E33" s="648"/>
      <c r="F33" s="648"/>
      <c r="G33" s="648"/>
      <c r="H33" s="648"/>
      <c r="I33" s="2"/>
      <c r="J33" s="2"/>
      <c r="K33" s="2"/>
      <c r="L33" s="2"/>
      <c r="M33" s="69"/>
      <c r="N33" s="69"/>
      <c r="O33" s="6"/>
    </row>
    <row r="34" spans="1:15" ht="15" x14ac:dyDescent="0.25">
      <c r="A34" s="2"/>
      <c r="B34" s="5"/>
      <c r="C34" s="2"/>
      <c r="D34" s="2"/>
      <c r="E34" s="2"/>
      <c r="F34" s="2"/>
      <c r="G34" s="2"/>
      <c r="H34" s="2"/>
      <c r="I34" s="2"/>
      <c r="J34" s="2"/>
      <c r="K34" s="2"/>
      <c r="L34" s="2"/>
      <c r="M34" s="69"/>
      <c r="N34" s="69"/>
      <c r="O34" s="6"/>
    </row>
    <row r="35" spans="1:15" s="69" customFormat="1" ht="15" x14ac:dyDescent="0.25">
      <c r="A35" s="2"/>
      <c r="B35" s="5"/>
      <c r="C35" s="2"/>
      <c r="D35" s="2"/>
      <c r="E35" s="2"/>
      <c r="F35" s="2"/>
      <c r="G35" s="2"/>
      <c r="H35" s="2"/>
      <c r="I35" s="2"/>
      <c r="J35" s="2"/>
      <c r="K35" s="2"/>
      <c r="L35" s="2"/>
      <c r="O35" s="6"/>
    </row>
    <row r="36" spans="1:15" s="69" customFormat="1" ht="15" x14ac:dyDescent="0.25">
      <c r="A36" s="2"/>
      <c r="B36" s="5"/>
      <c r="C36" s="2"/>
      <c r="D36" s="2"/>
      <c r="E36" s="2"/>
      <c r="F36" s="2"/>
      <c r="G36" s="2"/>
      <c r="H36" s="2"/>
      <c r="I36" s="2"/>
      <c r="J36" s="2"/>
      <c r="K36" s="2"/>
      <c r="L36" s="2"/>
      <c r="O36" s="6"/>
    </row>
    <row r="37" spans="1:15" ht="15" x14ac:dyDescent="0.25">
      <c r="A37" s="2"/>
      <c r="B37" s="5"/>
      <c r="C37" s="2"/>
      <c r="J37" s="107" t="str">
        <f>H38</f>
        <v>Kingston Buci</v>
      </c>
      <c r="K37" s="107" t="str">
        <f>I38</f>
        <v>Stepping Stones</v>
      </c>
      <c r="L37" s="108" t="s">
        <v>292</v>
      </c>
      <c r="M37" s="108" t="s">
        <v>294</v>
      </c>
      <c r="N37" s="69"/>
      <c r="O37" s="6"/>
    </row>
    <row r="38" spans="1:15" ht="15" x14ac:dyDescent="0.25">
      <c r="A38" s="2"/>
      <c r="B38" s="5"/>
      <c r="C38" s="2"/>
      <c r="D38" s="614" t="s">
        <v>306</v>
      </c>
      <c r="E38" s="615"/>
      <c r="F38" s="615"/>
      <c r="G38" s="616"/>
      <c r="H38" s="680" t="str">
        <f>INDEX(Locations, selection)</f>
        <v>Kingston Buci</v>
      </c>
      <c r="I38" s="668" t="str">
        <f>INDEX(Locations, selection2)</f>
        <v>Stepping Stones</v>
      </c>
      <c r="J38" s="109">
        <f>H42</f>
        <v>573</v>
      </c>
      <c r="K38" s="109">
        <f>I42</f>
        <v>492</v>
      </c>
      <c r="L38" s="108">
        <f>Data!CB76</f>
        <v>30468</v>
      </c>
      <c r="M38" s="108">
        <f>Data!CB78</f>
        <v>2018660</v>
      </c>
      <c r="N38" s="69"/>
      <c r="O38" s="6"/>
    </row>
    <row r="39" spans="1:15" ht="15" x14ac:dyDescent="0.25">
      <c r="A39" s="2"/>
      <c r="B39" s="5"/>
      <c r="C39" s="2"/>
      <c r="D39" s="638"/>
      <c r="E39" s="671"/>
      <c r="F39" s="671"/>
      <c r="G39" s="639"/>
      <c r="H39" s="681"/>
      <c r="I39" s="669"/>
      <c r="J39" s="109">
        <f>H43</f>
        <v>133</v>
      </c>
      <c r="K39" s="109">
        <f>I43</f>
        <v>148</v>
      </c>
      <c r="L39" s="108">
        <f>Data!CD76</f>
        <v>5946</v>
      </c>
      <c r="M39" s="108">
        <f>Data!CD78</f>
        <v>587904</v>
      </c>
      <c r="N39" s="69"/>
      <c r="O39" s="6"/>
    </row>
    <row r="40" spans="1:15" ht="20.25" customHeight="1" x14ac:dyDescent="0.25">
      <c r="B40" s="6"/>
      <c r="C40" s="69"/>
      <c r="D40" s="617"/>
      <c r="E40" s="618"/>
      <c r="F40" s="618"/>
      <c r="G40" s="619"/>
      <c r="H40" s="682"/>
      <c r="I40" s="670"/>
      <c r="J40" s="74" t="s">
        <v>447</v>
      </c>
      <c r="K40" s="76"/>
      <c r="L40" s="76"/>
      <c r="M40" s="76"/>
      <c r="N40" s="69"/>
      <c r="O40" s="6"/>
    </row>
    <row r="41" spans="1:15" ht="20.25" customHeight="1" x14ac:dyDescent="0.25">
      <c r="B41" s="6"/>
      <c r="C41" s="69"/>
      <c r="D41" s="675" t="s">
        <v>445</v>
      </c>
      <c r="E41" s="676"/>
      <c r="F41" s="676"/>
      <c r="G41" s="677"/>
      <c r="H41" s="62">
        <f>IF(HLOOKUP($D41, Householdunder5, selection+1, FALSE) = "", "", HLOOKUP($D41, Householdunder5, selection+1, FALSE))</f>
        <v>706</v>
      </c>
      <c r="I41" s="62">
        <f>IF(HLOOKUP($D41, Householdunder5, selection2+1, FALSE) = "", "", HLOOKUP($D41, Householdunder5, selection2+1, FALSE))</f>
        <v>640</v>
      </c>
      <c r="J41" s="73" t="s">
        <v>448</v>
      </c>
      <c r="K41" s="69"/>
      <c r="L41" s="69"/>
      <c r="M41" s="69"/>
      <c r="N41" s="69"/>
      <c r="O41" s="6"/>
    </row>
    <row r="42" spans="1:15" ht="20.25" customHeight="1" x14ac:dyDescent="0.2">
      <c r="B42" s="6"/>
      <c r="C42" s="69"/>
      <c r="D42" s="672" t="s">
        <v>417</v>
      </c>
      <c r="E42" s="673"/>
      <c r="F42" s="673"/>
      <c r="G42" s="674"/>
      <c r="H42" s="62">
        <f>IF(HLOOKUP($D42, Householdunder5, selection+1, FALSE) = "", "", HLOOKUP($D42, Householdunder5, selection+1, FALSE))</f>
        <v>573</v>
      </c>
      <c r="I42" s="62">
        <f>IF(HLOOKUP($D42, Householdunder5, selection2+1, FALSE) = "", "", HLOOKUP($D42, Householdunder5, selection2+1, FALSE))</f>
        <v>492</v>
      </c>
      <c r="J42" s="69"/>
      <c r="K42" s="69"/>
      <c r="L42" s="69"/>
      <c r="M42" s="69"/>
      <c r="N42" s="69"/>
      <c r="O42" s="6"/>
    </row>
    <row r="43" spans="1:15" ht="20.25" customHeight="1" x14ac:dyDescent="0.2">
      <c r="B43" s="6"/>
      <c r="C43" s="69"/>
      <c r="D43" s="672" t="s">
        <v>418</v>
      </c>
      <c r="E43" s="673"/>
      <c r="F43" s="673"/>
      <c r="G43" s="674"/>
      <c r="H43" s="62">
        <f>IF(HLOOKUP($D43, Householdunder5, selection+1, FALSE) = "", "", HLOOKUP($D43, Householdunder5, selection+1, FALSE))</f>
        <v>133</v>
      </c>
      <c r="I43" s="62">
        <f>IF(HLOOKUP($D43, Householdunder5, selection2+1, FALSE) = "", "", HLOOKUP($D43, Householdunder5, selection2+1, FALSE))</f>
        <v>148</v>
      </c>
      <c r="J43" s="69"/>
      <c r="K43" s="69"/>
      <c r="L43" s="69"/>
      <c r="M43" s="69"/>
      <c r="N43" s="69"/>
      <c r="O43" s="6"/>
    </row>
    <row r="44" spans="1:15" ht="15" x14ac:dyDescent="0.2">
      <c r="B44" s="6"/>
      <c r="C44" s="69"/>
      <c r="D44" s="675" t="s">
        <v>446</v>
      </c>
      <c r="E44" s="676"/>
      <c r="F44" s="676"/>
      <c r="G44" s="677"/>
      <c r="H44" s="78">
        <f>IF(HLOOKUP($D44, Householdunder5, selection+1, FALSE) = "", "", HLOOKUP($D44, Householdunder5, selection+1, FALSE))</f>
        <v>0.18838526912181303</v>
      </c>
      <c r="I44" s="78">
        <f>IF(HLOOKUP($D44, Householdunder5, selection2+1, FALSE) = "", "", HLOOKUP($D44, Householdunder5, selection2+1, FALSE))</f>
        <v>0.23125000000000001</v>
      </c>
      <c r="J44" s="69"/>
      <c r="K44" s="69"/>
      <c r="L44" s="69"/>
      <c r="M44" s="69"/>
      <c r="N44" s="69"/>
      <c r="O44" s="6"/>
    </row>
    <row r="45" spans="1:15" s="69" customFormat="1" x14ac:dyDescent="0.2">
      <c r="B45" s="6"/>
      <c r="O45" s="6"/>
    </row>
    <row r="46" spans="1:15" x14ac:dyDescent="0.2">
      <c r="B46" s="6"/>
      <c r="C46" s="69"/>
      <c r="D46" s="69"/>
      <c r="E46" s="69"/>
      <c r="F46" s="69"/>
      <c r="G46" s="69"/>
      <c r="H46" s="69"/>
      <c r="I46" s="69"/>
      <c r="J46" s="69"/>
      <c r="K46" s="69"/>
      <c r="L46" s="69"/>
      <c r="M46" s="69"/>
      <c r="N46" s="69"/>
      <c r="O46" s="6"/>
    </row>
    <row r="47" spans="1:15" s="69" customFormat="1" x14ac:dyDescent="0.2">
      <c r="B47" s="6"/>
      <c r="C47" s="6"/>
      <c r="D47" s="6"/>
      <c r="E47" s="6"/>
      <c r="F47" s="6"/>
      <c r="G47" s="6"/>
      <c r="H47" s="6"/>
      <c r="I47" s="6"/>
      <c r="J47" s="6"/>
      <c r="K47" s="6"/>
      <c r="L47" s="6"/>
      <c r="M47" s="6"/>
      <c r="N47" s="6"/>
      <c r="O47" s="6"/>
    </row>
    <row r="48" spans="1:15" s="69" customFormat="1" x14ac:dyDescent="0.2">
      <c r="B48" s="6"/>
      <c r="C48" s="6"/>
      <c r="D48" s="6"/>
      <c r="E48" s="6"/>
      <c r="F48" s="6"/>
      <c r="G48" s="6"/>
      <c r="H48" s="6"/>
      <c r="I48" s="6"/>
      <c r="J48" s="6"/>
      <c r="K48" s="6"/>
      <c r="L48" s="6"/>
      <c r="M48" s="6"/>
      <c r="N48" s="6"/>
      <c r="O48" s="6"/>
    </row>
    <row r="49" spans="2:15" x14ac:dyDescent="0.2">
      <c r="B49" s="6"/>
      <c r="C49" s="6"/>
      <c r="D49" s="6"/>
      <c r="E49" s="6"/>
      <c r="F49" s="6"/>
      <c r="G49" s="6"/>
      <c r="H49" s="6"/>
      <c r="I49" s="6"/>
      <c r="J49" s="6"/>
      <c r="K49" s="6"/>
      <c r="L49" s="6"/>
      <c r="M49" s="6"/>
      <c r="N49" s="6"/>
      <c r="O49" s="6"/>
    </row>
    <row r="50" spans="2:15" x14ac:dyDescent="0.2">
      <c r="B50" s="6"/>
      <c r="C50" s="6"/>
      <c r="D50" s="6"/>
      <c r="E50" s="6"/>
      <c r="F50" s="6"/>
      <c r="G50" s="6"/>
      <c r="H50" s="6"/>
      <c r="I50" s="6"/>
      <c r="J50" s="6"/>
      <c r="K50" s="6"/>
      <c r="L50" s="6"/>
      <c r="M50" s="6"/>
      <c r="N50" s="6"/>
      <c r="O50" s="6"/>
    </row>
    <row r="51" spans="2:15" x14ac:dyDescent="0.2">
      <c r="B51" s="6"/>
      <c r="C51" s="6"/>
      <c r="D51" s="6"/>
      <c r="E51" s="6"/>
      <c r="F51" s="6"/>
      <c r="G51" s="6"/>
      <c r="H51" s="6"/>
      <c r="I51" s="6"/>
      <c r="J51" s="6"/>
      <c r="K51" s="6"/>
      <c r="L51" s="6"/>
      <c r="M51" s="6"/>
      <c r="N51" s="6"/>
      <c r="O51" s="6"/>
    </row>
    <row r="52" spans="2:15" x14ac:dyDescent="0.2">
      <c r="B52" s="6"/>
      <c r="C52" s="6"/>
      <c r="D52" s="6"/>
      <c r="E52" s="6"/>
      <c r="F52" s="6"/>
      <c r="G52" s="6"/>
      <c r="H52" s="6"/>
      <c r="I52" s="6"/>
      <c r="J52" s="6"/>
      <c r="K52" s="6"/>
      <c r="L52" s="6"/>
      <c r="M52" s="6"/>
      <c r="N52" s="6"/>
      <c r="O52" s="6"/>
    </row>
    <row r="53" spans="2:15" ht="15" x14ac:dyDescent="0.25">
      <c r="B53" s="6"/>
      <c r="C53" s="5"/>
      <c r="D53" s="5"/>
      <c r="E53" s="5"/>
      <c r="F53" s="5"/>
      <c r="G53" s="5"/>
      <c r="H53" s="5"/>
      <c r="I53" s="5"/>
      <c r="J53" s="5"/>
      <c r="K53" s="5"/>
      <c r="L53" s="5"/>
      <c r="M53" s="5"/>
      <c r="N53" s="6"/>
      <c r="O53" s="6"/>
    </row>
    <row r="54" spans="2:15" ht="15" x14ac:dyDescent="0.25">
      <c r="B54" s="6"/>
      <c r="C54" s="2"/>
      <c r="D54" s="2"/>
      <c r="E54" s="2"/>
      <c r="F54" s="2"/>
      <c r="G54" s="2"/>
      <c r="H54" s="2"/>
      <c r="I54" s="2"/>
      <c r="J54" s="2"/>
      <c r="K54" s="2"/>
      <c r="L54" s="2"/>
      <c r="M54" s="2"/>
      <c r="N54" s="69"/>
      <c r="O54" s="6"/>
    </row>
    <row r="55" spans="2:15" ht="15" x14ac:dyDescent="0.25">
      <c r="B55" s="6"/>
      <c r="C55" s="2"/>
      <c r="D55" s="694" t="s">
        <v>306</v>
      </c>
      <c r="E55" s="694"/>
      <c r="F55" s="694"/>
      <c r="G55" s="679" t="str">
        <f>INDEX(Locations,selection)</f>
        <v>Kingston Buci</v>
      </c>
      <c r="H55" s="687" t="str">
        <f>INDEX(Locations, selection2)</f>
        <v>Stepping Stones</v>
      </c>
      <c r="I55" s="690" t="s">
        <v>292</v>
      </c>
      <c r="J55" s="607" t="s">
        <v>293</v>
      </c>
      <c r="K55" s="607" t="s">
        <v>294</v>
      </c>
      <c r="L55" s="2"/>
      <c r="M55" s="2"/>
      <c r="N55" s="69"/>
      <c r="O55" s="6"/>
    </row>
    <row r="56" spans="2:15" ht="15" x14ac:dyDescent="0.25">
      <c r="B56" s="6"/>
      <c r="C56" s="2"/>
      <c r="D56" s="694"/>
      <c r="E56" s="694"/>
      <c r="F56" s="694"/>
      <c r="G56" s="679"/>
      <c r="H56" s="688"/>
      <c r="I56" s="691"/>
      <c r="J56" s="693"/>
      <c r="K56" s="693"/>
      <c r="L56" s="2"/>
      <c r="M56" s="2"/>
      <c r="N56" s="69"/>
      <c r="O56" s="6"/>
    </row>
    <row r="57" spans="2:15" ht="15" x14ac:dyDescent="0.25">
      <c r="B57" s="6"/>
      <c r="C57" s="2"/>
      <c r="D57" s="694"/>
      <c r="E57" s="694"/>
      <c r="F57" s="694"/>
      <c r="G57" s="679"/>
      <c r="H57" s="689"/>
      <c r="I57" s="692"/>
      <c r="J57" s="608"/>
      <c r="K57" s="608"/>
      <c r="L57" s="2"/>
      <c r="M57" s="2"/>
      <c r="N57" s="69"/>
      <c r="O57" s="6"/>
    </row>
    <row r="58" spans="2:15" s="2" customFormat="1" ht="20.25" customHeight="1" x14ac:dyDescent="0.25">
      <c r="B58" s="5"/>
      <c r="D58" s="695" t="s">
        <v>452</v>
      </c>
      <c r="E58" s="695"/>
      <c r="F58" s="695"/>
      <c r="G58" s="93">
        <f>IF(HLOOKUP($D58, LoneParentsCensus, selection+1, FALSE) = "", "", HLOOKUP($D58, LoneParentsCensus, selection+1, FALSE))</f>
        <v>405</v>
      </c>
      <c r="H58" s="93">
        <f>IF(HLOOKUP($D58, LoneParentsCensus, selection2+1, FALSE) = "", "", HLOOKUP($D58, LoneParentsCensus, selection2+1, FALSE))</f>
        <v>384</v>
      </c>
      <c r="I58" s="93">
        <v>18637</v>
      </c>
      <c r="J58" s="93">
        <v>215348</v>
      </c>
      <c r="K58" s="93">
        <v>1564681</v>
      </c>
      <c r="O58" s="5"/>
    </row>
    <row r="59" spans="2:15" s="2" customFormat="1" ht="20.25" customHeight="1" x14ac:dyDescent="0.25">
      <c r="B59" s="5"/>
      <c r="D59" s="696" t="s">
        <v>456</v>
      </c>
      <c r="E59" s="696"/>
      <c r="F59" s="696"/>
      <c r="G59" s="93">
        <f>IF(HLOOKUP($D59, LoneParentsCensus, selection+1, FALSE) = "", "", HLOOKUP($D59, LoneParentsCensus, selection+1, FALSE))</f>
        <v>156</v>
      </c>
      <c r="H59" s="45">
        <f>IF(HLOOKUP($D59, LoneParentsCensus, selection2+1, FALSE) = "", "", HLOOKUP($D59, LoneParentsCensus, selection2+1, FALSE))</f>
        <v>151</v>
      </c>
      <c r="I59" s="45">
        <v>6279</v>
      </c>
      <c r="J59" s="45">
        <v>78504</v>
      </c>
      <c r="K59" s="45">
        <v>634019</v>
      </c>
      <c r="O59" s="5"/>
    </row>
    <row r="60" spans="2:15" s="2" customFormat="1" ht="20.25" customHeight="1" x14ac:dyDescent="0.25">
      <c r="B60" s="5"/>
      <c r="D60" s="696" t="s">
        <v>453</v>
      </c>
      <c r="E60" s="696"/>
      <c r="F60" s="696"/>
      <c r="G60" s="112">
        <f>IF(HLOOKUP($D60, LoneParentsCensus, selection+1, FALSE) = "", "", HLOOKUP($D60, LoneParentsCensus, selection+1, FALSE))</f>
        <v>0.38518518518518519</v>
      </c>
      <c r="H60" s="50">
        <f>IF(HLOOKUP($D60, LoneParentsCensus, selection2+1, FALSE) = "", "", HLOOKUP($D60, LoneParentsCensus, selection2+1, FALSE))</f>
        <v>0.39322916666666669</v>
      </c>
      <c r="I60" s="50">
        <v>0.33691044696034772</v>
      </c>
      <c r="J60" s="50">
        <v>0.364544829763917</v>
      </c>
      <c r="K60" s="50">
        <v>0.40520655648020265</v>
      </c>
      <c r="O60" s="5"/>
    </row>
    <row r="61" spans="2:15" s="2" customFormat="1" ht="20.25" customHeight="1" x14ac:dyDescent="0.25">
      <c r="B61" s="5"/>
      <c r="D61" s="695" t="s">
        <v>454</v>
      </c>
      <c r="E61" s="695"/>
      <c r="F61" s="695"/>
      <c r="G61" s="93">
        <f>IF(HLOOKUP($D61, LoneParentsCensus, selection+1, FALSE) = "", "", HLOOKUP($D61, LoneParentsCensus, selection+1, FALSE))</f>
        <v>30</v>
      </c>
      <c r="H61" s="45">
        <f>IF(HLOOKUP($D61, LoneParentsCensus, selection2+1, FALSE) = "", "", HLOOKUP($D61, LoneParentsCensus, selection2+1, FALSE))</f>
        <v>34</v>
      </c>
      <c r="I61" s="45">
        <v>1695</v>
      </c>
      <c r="J61" s="45">
        <v>22090</v>
      </c>
      <c r="K61" s="45">
        <v>151744</v>
      </c>
      <c r="O61" s="5"/>
    </row>
    <row r="62" spans="2:15" ht="15" x14ac:dyDescent="0.25">
      <c r="B62" s="6"/>
      <c r="C62" s="2"/>
      <c r="D62" s="2"/>
      <c r="E62" s="2"/>
      <c r="F62" s="2"/>
      <c r="G62" s="2"/>
      <c r="H62" s="2"/>
      <c r="I62" s="2"/>
      <c r="J62" s="2"/>
      <c r="K62" s="2"/>
      <c r="L62" s="2"/>
      <c r="M62" s="2"/>
      <c r="N62" s="69"/>
      <c r="O62" s="6"/>
    </row>
    <row r="63" spans="2:15" ht="15" x14ac:dyDescent="0.25">
      <c r="B63" s="6"/>
      <c r="C63" s="2"/>
      <c r="D63" s="2"/>
      <c r="E63" s="2"/>
      <c r="F63" s="2"/>
      <c r="G63" s="2"/>
      <c r="H63" s="2"/>
      <c r="I63" s="2"/>
      <c r="J63" s="2"/>
      <c r="K63" s="2"/>
      <c r="L63" s="2"/>
      <c r="M63" s="2"/>
      <c r="N63" s="69"/>
      <c r="O63" s="6"/>
    </row>
    <row r="64" spans="2:15" ht="15" x14ac:dyDescent="0.25">
      <c r="B64" s="6"/>
      <c r="C64" s="2"/>
      <c r="D64" s="2"/>
      <c r="E64" s="2"/>
      <c r="F64" s="2"/>
      <c r="G64" s="2"/>
      <c r="H64" s="2"/>
      <c r="I64" s="2"/>
      <c r="J64" s="2"/>
      <c r="K64" s="2"/>
      <c r="L64" s="2"/>
      <c r="M64" s="2"/>
      <c r="N64" s="69"/>
      <c r="O64" s="6"/>
    </row>
    <row r="65" spans="2:15" ht="15" x14ac:dyDescent="0.25">
      <c r="B65" s="6"/>
      <c r="C65" s="2"/>
      <c r="D65" s="2"/>
      <c r="E65" s="2"/>
      <c r="F65" s="2"/>
      <c r="G65" s="2"/>
      <c r="H65" s="2"/>
      <c r="I65" s="2"/>
      <c r="J65" s="2"/>
      <c r="K65" s="2"/>
      <c r="L65" s="2"/>
      <c r="M65" s="2"/>
      <c r="N65" s="69"/>
      <c r="O65" s="6"/>
    </row>
    <row r="66" spans="2:15" ht="20.25" customHeight="1" x14ac:dyDescent="0.25">
      <c r="B66" s="6"/>
      <c r="C66" s="106" t="s">
        <v>827</v>
      </c>
      <c r="D66" s="389"/>
      <c r="E66" s="389"/>
      <c r="F66" s="389"/>
      <c r="G66" s="389"/>
      <c r="H66" s="389"/>
      <c r="I66" s="389"/>
      <c r="J66" s="389"/>
      <c r="K66" s="389"/>
      <c r="L66" s="389"/>
      <c r="M66" s="389"/>
      <c r="N66" s="2"/>
      <c r="O66" s="6"/>
    </row>
    <row r="67" spans="2:15" ht="30" customHeight="1" x14ac:dyDescent="0.25">
      <c r="B67" s="6"/>
      <c r="C67" s="686" t="s">
        <v>828</v>
      </c>
      <c r="D67" s="686"/>
      <c r="E67" s="686"/>
      <c r="F67" s="686"/>
      <c r="G67" s="686"/>
      <c r="H67" s="686"/>
      <c r="I67" s="686"/>
      <c r="J67" s="686"/>
      <c r="K67" s="686"/>
      <c r="L67" s="686"/>
      <c r="M67" s="686"/>
      <c r="N67" s="2"/>
      <c r="O67" s="6"/>
    </row>
    <row r="68" spans="2:15" ht="15" x14ac:dyDescent="0.25">
      <c r="B68" s="6"/>
      <c r="C68" s="389"/>
      <c r="D68" s="389"/>
      <c r="E68" s="389"/>
      <c r="F68" s="389"/>
      <c r="G68" s="389"/>
      <c r="H68" s="389"/>
      <c r="I68" s="389"/>
      <c r="J68" s="389"/>
      <c r="K68" s="389"/>
      <c r="L68" s="389"/>
      <c r="M68" s="389"/>
      <c r="N68" s="2"/>
      <c r="O68" s="6"/>
    </row>
    <row r="69" spans="2:15" ht="43.5" customHeight="1" x14ac:dyDescent="0.25">
      <c r="B69" s="6"/>
      <c r="C69" s="389"/>
      <c r="D69" s="697" t="s">
        <v>661</v>
      </c>
      <c r="E69" s="698"/>
      <c r="F69" s="699"/>
      <c r="G69" s="394" t="str">
        <f>INDEX(Locations,selection)</f>
        <v>Kingston Buci</v>
      </c>
      <c r="H69" s="395" t="str">
        <f>INDEX(Locations,selection2)</f>
        <v>Stepping Stones</v>
      </c>
      <c r="I69" s="390" t="s">
        <v>292</v>
      </c>
      <c r="J69" s="389"/>
      <c r="K69" s="389"/>
      <c r="L69" s="389"/>
      <c r="M69" s="389"/>
      <c r="N69" s="2"/>
      <c r="O69" s="6"/>
    </row>
    <row r="70" spans="2:15" ht="15" x14ac:dyDescent="0.25">
      <c r="B70" s="6"/>
      <c r="C70" s="398">
        <v>2011</v>
      </c>
      <c r="D70" s="683" t="s">
        <v>449</v>
      </c>
      <c r="E70" s="684"/>
      <c r="F70" s="685"/>
      <c r="G70" s="396">
        <f>HLOOKUP(D70,loneparentlowincome,selection+1, FALSE)</f>
        <v>130</v>
      </c>
      <c r="H70" s="393">
        <f>HLOOKUP(D70,loneparentlowincome, selection2+1,FALSE)</f>
        <v>140</v>
      </c>
      <c r="I70" s="393">
        <v>5395</v>
      </c>
      <c r="J70" s="389"/>
      <c r="K70" s="389"/>
      <c r="L70" s="389"/>
      <c r="M70" s="389"/>
      <c r="N70" s="2"/>
      <c r="O70" s="6"/>
    </row>
    <row r="71" spans="2:15" ht="15" x14ac:dyDescent="0.25">
      <c r="B71" s="6"/>
      <c r="C71" s="397">
        <v>2012</v>
      </c>
      <c r="D71" s="683" t="s">
        <v>450</v>
      </c>
      <c r="E71" s="684"/>
      <c r="F71" s="685"/>
      <c r="G71" s="396">
        <f>HLOOKUP(D71,loneparentlowincome,selection+1,FALSE)</f>
        <v>90</v>
      </c>
      <c r="H71" s="393">
        <f>HLOOKUP(D71,loneparentlowincome, selection2+1,FALSE)</f>
        <v>130</v>
      </c>
      <c r="I71" s="393">
        <v>4895</v>
      </c>
      <c r="J71" s="389"/>
      <c r="K71" s="389"/>
      <c r="L71" s="389"/>
      <c r="M71" s="389"/>
      <c r="N71" s="2"/>
      <c r="O71" s="6"/>
    </row>
    <row r="72" spans="2:15" ht="15" x14ac:dyDescent="0.25">
      <c r="B72" s="6"/>
      <c r="C72" s="397">
        <v>2013</v>
      </c>
      <c r="D72" s="683" t="s">
        <v>451</v>
      </c>
      <c r="E72" s="684"/>
      <c r="F72" s="685"/>
      <c r="G72" s="396">
        <f>HLOOKUP(D72,loneparentlowincome,selection+1,FALSE)</f>
        <v>105</v>
      </c>
      <c r="H72" s="393">
        <f>HLOOKUP(D72,loneparentlowincome, selection2+1,FALSE)</f>
        <v>115</v>
      </c>
      <c r="I72" s="393">
        <v>4255</v>
      </c>
      <c r="J72" s="389"/>
      <c r="K72" s="389"/>
      <c r="L72" s="389"/>
      <c r="M72" s="389"/>
      <c r="N72" s="2"/>
      <c r="O72" s="6"/>
    </row>
    <row r="73" spans="2:15" ht="15" x14ac:dyDescent="0.25">
      <c r="B73" s="6"/>
      <c r="C73" s="399">
        <v>2014</v>
      </c>
      <c r="D73" s="683" t="s">
        <v>825</v>
      </c>
      <c r="E73" s="684"/>
      <c r="F73" s="685"/>
      <c r="G73" s="396">
        <f>HLOOKUP(D73,loneparentlowincome,selection+1,FALSE)</f>
        <v>80</v>
      </c>
      <c r="H73" s="393">
        <f>HLOOKUP(D73,loneparentlowincome, selection2+1,FALSE)</f>
        <v>115</v>
      </c>
      <c r="I73" s="393">
        <v>4135</v>
      </c>
      <c r="J73" s="389"/>
      <c r="K73" s="389"/>
      <c r="L73" s="389"/>
      <c r="M73" s="389"/>
      <c r="N73" s="2"/>
      <c r="O73" s="6"/>
    </row>
    <row r="74" spans="2:15" ht="15" x14ac:dyDescent="0.25">
      <c r="B74" s="6"/>
      <c r="C74" s="397">
        <v>2015</v>
      </c>
      <c r="D74" s="683" t="s">
        <v>826</v>
      </c>
      <c r="E74" s="684"/>
      <c r="F74" s="685"/>
      <c r="G74" s="396">
        <f>HLOOKUP(D74,loneparentlowincome,selection+1,FALSE)</f>
        <v>105</v>
      </c>
      <c r="H74" s="393">
        <f>HLOOKUP(D74,loneparentlowincome, selection2+1,FALSE)</f>
        <v>105</v>
      </c>
      <c r="I74" s="393">
        <v>3900</v>
      </c>
      <c r="J74" s="389"/>
      <c r="K74" s="389"/>
      <c r="L74" s="389"/>
      <c r="M74" s="389"/>
      <c r="N74" s="2"/>
      <c r="O74" s="6"/>
    </row>
    <row r="75" spans="2:15" ht="15" x14ac:dyDescent="0.25">
      <c r="B75" s="6"/>
      <c r="C75" s="389"/>
      <c r="D75" s="389"/>
      <c r="E75" s="389"/>
      <c r="F75" s="389"/>
      <c r="G75" s="389"/>
      <c r="H75" s="389"/>
      <c r="I75" s="389"/>
      <c r="J75" s="389"/>
      <c r="K75" s="389"/>
      <c r="L75" s="389"/>
      <c r="M75" s="389"/>
      <c r="N75" s="2"/>
      <c r="O75" s="6"/>
    </row>
    <row r="76" spans="2:15" ht="15" x14ac:dyDescent="0.25">
      <c r="B76" s="6"/>
      <c r="C76" s="389"/>
      <c r="D76" s="389"/>
      <c r="E76" s="389"/>
      <c r="F76" s="389"/>
      <c r="G76" s="389"/>
      <c r="H76" s="389"/>
      <c r="I76" s="389"/>
      <c r="J76" s="389"/>
      <c r="K76" s="389"/>
      <c r="L76" s="389"/>
      <c r="M76" s="389"/>
      <c r="N76" s="2"/>
      <c r="O76" s="6"/>
    </row>
    <row r="77" spans="2:15" ht="15" x14ac:dyDescent="0.25">
      <c r="B77" s="6"/>
      <c r="C77" s="389"/>
      <c r="D77" s="389"/>
      <c r="E77" s="389"/>
      <c r="F77" s="389"/>
      <c r="G77" s="389"/>
      <c r="H77" s="389"/>
      <c r="I77" s="389"/>
      <c r="J77" s="389"/>
      <c r="K77" s="389"/>
      <c r="L77" s="389"/>
      <c r="M77" s="389"/>
      <c r="N77" s="2"/>
      <c r="O77" s="6"/>
    </row>
    <row r="78" spans="2:15" ht="15" x14ac:dyDescent="0.25">
      <c r="B78" s="6"/>
      <c r="C78" s="389"/>
      <c r="D78" s="389"/>
      <c r="E78" s="389"/>
      <c r="F78" s="389"/>
      <c r="G78" s="389"/>
      <c r="H78" s="389"/>
      <c r="I78" s="389"/>
      <c r="J78" s="389"/>
      <c r="K78" s="389"/>
      <c r="L78" s="389"/>
      <c r="M78" s="389"/>
      <c r="N78" s="2"/>
      <c r="O78" s="6"/>
    </row>
    <row r="79" spans="2:15" ht="15" x14ac:dyDescent="0.25">
      <c r="B79" s="6"/>
      <c r="C79" s="2"/>
      <c r="D79" s="2"/>
      <c r="E79" s="2"/>
      <c r="F79" s="2"/>
      <c r="G79" s="2"/>
      <c r="H79" s="2"/>
      <c r="I79" s="2"/>
      <c r="J79" s="2"/>
      <c r="K79" s="2"/>
      <c r="L79" s="2"/>
      <c r="M79" s="2"/>
      <c r="N79" s="2"/>
      <c r="O79" s="6"/>
    </row>
    <row r="80" spans="2:15" x14ac:dyDescent="0.2">
      <c r="B80" s="6"/>
      <c r="C80" s="6"/>
      <c r="D80" s="6"/>
      <c r="E80" s="6"/>
      <c r="F80" s="6"/>
      <c r="G80" s="6"/>
      <c r="H80" s="6"/>
      <c r="I80" s="6"/>
      <c r="J80" s="6"/>
      <c r="K80" s="6"/>
      <c r="L80" s="6"/>
      <c r="M80" s="6"/>
      <c r="N80" s="6"/>
      <c r="O80" s="6"/>
    </row>
    <row r="81" spans="2:15" x14ac:dyDescent="0.2">
      <c r="B81" s="6"/>
      <c r="C81" s="6"/>
      <c r="D81" s="6"/>
      <c r="E81" s="6"/>
      <c r="F81" s="6"/>
      <c r="G81" s="6"/>
      <c r="H81" s="6"/>
      <c r="I81" s="6"/>
      <c r="J81" s="6"/>
      <c r="K81" s="6"/>
      <c r="L81" s="6"/>
      <c r="M81" s="6"/>
      <c r="N81" s="6"/>
      <c r="O81" s="6"/>
    </row>
  </sheetData>
  <sheetProtection sheet="1" objects="1" scenarios="1"/>
  <mergeCells count="34">
    <mergeCell ref="D74:F74"/>
    <mergeCell ref="C67:M67"/>
    <mergeCell ref="H55:H57"/>
    <mergeCell ref="I55:I57"/>
    <mergeCell ref="J55:J57"/>
    <mergeCell ref="K55:K57"/>
    <mergeCell ref="D55:F57"/>
    <mergeCell ref="D58:F58"/>
    <mergeCell ref="D59:F59"/>
    <mergeCell ref="D60:F60"/>
    <mergeCell ref="D61:F61"/>
    <mergeCell ref="D69:F69"/>
    <mergeCell ref="D70:F70"/>
    <mergeCell ref="D71:F71"/>
    <mergeCell ref="D72:F72"/>
    <mergeCell ref="D73:F73"/>
    <mergeCell ref="D44:G44"/>
    <mergeCell ref="G55:G57"/>
    <mergeCell ref="D42:G42"/>
    <mergeCell ref="D43:G43"/>
    <mergeCell ref="H38:H40"/>
    <mergeCell ref="D41:G41"/>
    <mergeCell ref="I38:I40"/>
    <mergeCell ref="D38:G40"/>
    <mergeCell ref="A2:L2"/>
    <mergeCell ref="E33:H33"/>
    <mergeCell ref="H16:H18"/>
    <mergeCell ref="D21:G21"/>
    <mergeCell ref="D22:G22"/>
    <mergeCell ref="D23:G23"/>
    <mergeCell ref="I16:I18"/>
    <mergeCell ref="D16:G18"/>
    <mergeCell ref="D19:G19"/>
    <mergeCell ref="D20:G20"/>
  </mergeCells>
  <pageMargins left="0.25" right="0.25" top="0.75" bottom="0.75" header="0.3" footer="0.3"/>
  <pageSetup paperSize="9" scale="61" fitToHeight="2" orientation="portrait" r:id="rId1"/>
  <rowBreaks count="1" manualBreakCount="1">
    <brk id="62" max="15" man="1"/>
  </rowBreaks>
  <ignoredErrors>
    <ignoredError sqref="H5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4098" r:id="rId4" name="Drop Down 2">
              <controlPr defaultSize="0" autoLine="0" autoPict="0">
                <anchor>
                  <from>
                    <xdr:col>4</xdr:col>
                    <xdr:colOff>914400</xdr:colOff>
                    <xdr:row>4</xdr:row>
                    <xdr:rowOff>180975</xdr:rowOff>
                  </from>
                  <to>
                    <xdr:col>7</xdr:col>
                    <xdr:colOff>828675</xdr:colOff>
                    <xdr:row>6</xdr:row>
                    <xdr:rowOff>66675</xdr:rowOff>
                  </to>
                </anchor>
              </controlPr>
            </control>
          </mc:Choice>
        </mc:AlternateContent>
        <mc:AlternateContent xmlns:mc="http://schemas.openxmlformats.org/markup-compatibility/2006">
          <mc:Choice Requires="x14">
            <control shapeId="4099" r:id="rId5" name="Drop Down 3">
              <controlPr defaultSize="0" autoLine="0" autoPict="0">
                <anchor>
                  <from>
                    <xdr:col>4</xdr:col>
                    <xdr:colOff>914400</xdr:colOff>
                    <xdr:row>6</xdr:row>
                    <xdr:rowOff>161925</xdr:rowOff>
                  </from>
                  <to>
                    <xdr:col>7</xdr:col>
                    <xdr:colOff>828675</xdr:colOff>
                    <xdr:row>8</xdr:row>
                    <xdr:rowOff>47625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7" tint="0.39997558519241921"/>
  </sheetPr>
  <dimension ref="A1:AD839"/>
  <sheetViews>
    <sheetView zoomScaleNormal="100" zoomScaleSheetLayoutView="80" zoomScalePageLayoutView="20" workbookViewId="0">
      <selection activeCell="K562" sqref="K562"/>
    </sheetView>
  </sheetViews>
  <sheetFormatPr defaultRowHeight="14.25" x14ac:dyDescent="0.2"/>
  <cols>
    <col min="1" max="1" width="1" style="1" customWidth="1"/>
    <col min="2" max="2" width="1.19921875" style="1" customWidth="1"/>
    <col min="3" max="3" width="5.59765625" style="1" customWidth="1"/>
    <col min="4" max="15" width="5.69921875" style="1" customWidth="1"/>
    <col min="16" max="16" width="5.69921875" style="69" customWidth="1"/>
    <col min="17" max="20" width="5.69921875" style="1" customWidth="1"/>
    <col min="21" max="21" width="7.5" style="1" customWidth="1"/>
    <col min="22" max="22" width="1.19921875" style="1" customWidth="1"/>
    <col min="23" max="23" width="1.09765625" style="1" customWidth="1"/>
    <col min="24" max="24" width="1" style="1" customWidth="1"/>
    <col min="25" max="16384" width="8.796875" style="1"/>
  </cols>
  <sheetData>
    <row r="1" spans="1:23" ht="15" x14ac:dyDescent="0.25">
      <c r="R1" s="23">
        <f ca="1">NOW()</f>
        <v>42356.527743287035</v>
      </c>
    </row>
    <row r="2" spans="1:23" ht="17.25" customHeight="1" x14ac:dyDescent="0.2">
      <c r="A2" s="590"/>
      <c r="B2" s="591"/>
      <c r="C2" s="591"/>
      <c r="D2" s="591"/>
      <c r="E2" s="591"/>
      <c r="F2" s="591"/>
      <c r="G2" s="591"/>
      <c r="H2" s="591"/>
      <c r="I2" s="591"/>
      <c r="J2" s="591"/>
      <c r="K2" s="591"/>
      <c r="L2" s="591"/>
    </row>
    <row r="3" spans="1:23" ht="15" x14ac:dyDescent="0.25">
      <c r="A3" s="2"/>
      <c r="B3" s="2"/>
      <c r="C3" s="2"/>
      <c r="D3" s="2"/>
      <c r="E3" s="2"/>
      <c r="F3" s="2"/>
      <c r="G3" s="2"/>
      <c r="H3" s="2"/>
      <c r="I3" s="2"/>
      <c r="J3" s="2"/>
      <c r="K3" s="2"/>
      <c r="L3" s="2"/>
    </row>
    <row r="4" spans="1:23" ht="15" x14ac:dyDescent="0.25">
      <c r="A4" s="2"/>
      <c r="B4" s="2"/>
      <c r="C4" s="2"/>
      <c r="D4" s="2"/>
      <c r="E4" s="2"/>
      <c r="F4" s="2"/>
      <c r="G4" s="2"/>
      <c r="H4" s="2"/>
      <c r="I4" s="2"/>
      <c r="J4" s="2"/>
      <c r="K4" s="2"/>
      <c r="L4" s="2"/>
      <c r="P4" s="6"/>
      <c r="Q4" s="6"/>
      <c r="R4" s="6"/>
      <c r="S4" s="6"/>
      <c r="T4" s="6"/>
      <c r="U4" s="6"/>
      <c r="V4" s="6"/>
      <c r="W4" s="6"/>
    </row>
    <row r="5" spans="1:23" s="69" customFormat="1" ht="15" x14ac:dyDescent="0.25">
      <c r="A5" s="334"/>
      <c r="B5" s="5"/>
      <c r="C5" s="5"/>
      <c r="D5" s="5"/>
      <c r="E5" s="5"/>
      <c r="F5" s="5"/>
      <c r="G5" s="5"/>
      <c r="H5" s="5"/>
      <c r="I5" s="5"/>
      <c r="J5" s="5"/>
      <c r="K5" s="5"/>
      <c r="L5" s="5"/>
      <c r="M5" s="6"/>
      <c r="N5" s="6"/>
      <c r="O5" s="6"/>
      <c r="P5" s="6"/>
      <c r="Q5" s="6"/>
      <c r="R5" s="6"/>
      <c r="S5" s="6"/>
      <c r="T5" s="6"/>
      <c r="U5" s="6"/>
      <c r="V5" s="6"/>
      <c r="W5" s="6"/>
    </row>
    <row r="6" spans="1:23" s="69" customFormat="1" ht="15" x14ac:dyDescent="0.25">
      <c r="A6" s="334"/>
      <c r="B6" s="5"/>
      <c r="C6" s="5"/>
      <c r="D6" s="5"/>
      <c r="E6" s="5"/>
      <c r="F6" s="5"/>
      <c r="G6" s="5"/>
      <c r="H6" s="5"/>
      <c r="I6" s="5"/>
      <c r="J6" s="5"/>
      <c r="K6" s="5"/>
      <c r="L6" s="5"/>
      <c r="M6" s="6"/>
      <c r="N6" s="6"/>
      <c r="O6" s="6"/>
      <c r="P6" s="6"/>
      <c r="Q6" s="6"/>
      <c r="R6" s="6"/>
      <c r="S6" s="6"/>
      <c r="T6" s="6"/>
      <c r="U6" s="6"/>
      <c r="V6" s="6"/>
      <c r="W6" s="6"/>
    </row>
    <row r="7" spans="1:23" s="69" customFormat="1" ht="15" x14ac:dyDescent="0.25">
      <c r="A7" s="334"/>
      <c r="B7" s="5"/>
      <c r="C7" s="5"/>
      <c r="D7" s="5"/>
      <c r="E7" s="5"/>
      <c r="F7" s="5"/>
      <c r="G7" s="5"/>
      <c r="H7" s="5"/>
      <c r="I7" s="5"/>
      <c r="J7" s="5"/>
      <c r="K7" s="5"/>
      <c r="L7" s="5"/>
      <c r="M7" s="6"/>
      <c r="N7" s="6"/>
      <c r="O7" s="6"/>
      <c r="P7" s="6"/>
      <c r="Q7" s="6"/>
      <c r="R7" s="6"/>
      <c r="S7" s="6"/>
      <c r="T7" s="6"/>
      <c r="U7" s="6"/>
      <c r="V7" s="6"/>
      <c r="W7" s="6"/>
    </row>
    <row r="8" spans="1:23" s="69" customFormat="1" ht="15" x14ac:dyDescent="0.25">
      <c r="A8" s="334"/>
      <c r="B8" s="5"/>
      <c r="C8" s="5"/>
      <c r="D8" s="5"/>
      <c r="E8" s="5"/>
      <c r="F8" s="5"/>
      <c r="G8" s="5"/>
      <c r="H8" s="5"/>
      <c r="I8" s="5"/>
      <c r="J8" s="5"/>
      <c r="K8" s="5"/>
      <c r="L8" s="5"/>
      <c r="M8" s="6"/>
      <c r="N8" s="6"/>
      <c r="O8" s="6"/>
      <c r="P8" s="6"/>
      <c r="Q8" s="6"/>
      <c r="R8" s="6"/>
      <c r="S8" s="6"/>
      <c r="T8" s="6"/>
      <c r="U8" s="6"/>
      <c r="V8" s="6"/>
      <c r="W8" s="6"/>
    </row>
    <row r="9" spans="1:23" ht="15" x14ac:dyDescent="0.25">
      <c r="A9" s="2"/>
      <c r="B9" s="5"/>
      <c r="C9" s="5"/>
      <c r="D9" s="5"/>
      <c r="E9" s="5"/>
      <c r="F9" s="5"/>
      <c r="G9" s="5"/>
      <c r="H9" s="5"/>
      <c r="I9" s="5"/>
      <c r="J9" s="5"/>
      <c r="K9" s="5"/>
      <c r="L9" s="5"/>
      <c r="M9" s="6"/>
      <c r="N9" s="6"/>
      <c r="O9" s="6"/>
      <c r="P9" s="6"/>
      <c r="Q9" s="6"/>
      <c r="R9" s="6"/>
      <c r="S9" s="6"/>
      <c r="T9" s="6"/>
      <c r="U9" s="6"/>
      <c r="V9" s="6"/>
      <c r="W9" s="6"/>
    </row>
    <row r="10" spans="1:23" ht="15" x14ac:dyDescent="0.25">
      <c r="A10" s="2"/>
      <c r="B10" s="5"/>
      <c r="C10" s="5"/>
      <c r="D10" s="5"/>
      <c r="E10" s="5"/>
      <c r="F10" s="5"/>
      <c r="G10" s="5"/>
      <c r="H10" s="5"/>
      <c r="I10" s="5"/>
      <c r="J10" s="5"/>
      <c r="K10" s="5"/>
      <c r="L10" s="5"/>
      <c r="M10" s="6"/>
      <c r="N10" s="6"/>
      <c r="O10" s="6"/>
      <c r="P10" s="6"/>
      <c r="Q10" s="6"/>
      <c r="R10" s="6"/>
      <c r="S10" s="6"/>
      <c r="T10" s="6"/>
      <c r="U10" s="6"/>
      <c r="V10" s="6"/>
      <c r="W10" s="6"/>
    </row>
    <row r="11" spans="1:23" ht="15" x14ac:dyDescent="0.25">
      <c r="A11" s="2"/>
      <c r="B11" s="5"/>
      <c r="C11" s="103"/>
      <c r="D11" s="103"/>
      <c r="E11" s="103"/>
      <c r="F11" s="103"/>
      <c r="G11" s="103"/>
      <c r="H11" s="103"/>
      <c r="I11" s="103"/>
      <c r="J11" s="103"/>
      <c r="K11" s="103"/>
      <c r="L11" s="103"/>
      <c r="M11" s="69"/>
      <c r="N11" s="69"/>
      <c r="O11" s="69"/>
      <c r="Q11" s="69"/>
      <c r="R11" s="69"/>
      <c r="S11" s="69"/>
      <c r="T11" s="69"/>
      <c r="U11" s="69"/>
      <c r="V11" s="69"/>
      <c r="W11" s="6"/>
    </row>
    <row r="12" spans="1:23" ht="15" x14ac:dyDescent="0.25">
      <c r="A12" s="2"/>
      <c r="B12" s="5"/>
      <c r="C12" s="103"/>
      <c r="D12" s="103"/>
      <c r="E12" s="103"/>
      <c r="F12" s="103"/>
      <c r="G12" s="103"/>
      <c r="H12" s="103"/>
      <c r="I12" s="103"/>
      <c r="J12" s="103"/>
      <c r="K12" s="103"/>
      <c r="L12" s="103"/>
      <c r="M12" s="69"/>
      <c r="N12" s="69"/>
      <c r="O12" s="69"/>
      <c r="Q12" s="69"/>
      <c r="R12" s="69"/>
      <c r="S12" s="69"/>
      <c r="T12" s="69"/>
      <c r="U12" s="69"/>
      <c r="V12" s="69"/>
      <c r="W12" s="6"/>
    </row>
    <row r="13" spans="1:23" ht="15" x14ac:dyDescent="0.25">
      <c r="A13" s="2"/>
      <c r="B13" s="5"/>
      <c r="C13" s="103"/>
      <c r="D13" s="103"/>
      <c r="E13" s="103"/>
      <c r="F13" s="103"/>
      <c r="G13" s="103"/>
      <c r="H13" s="103"/>
      <c r="I13" s="103"/>
      <c r="J13" s="103"/>
      <c r="K13" s="103"/>
      <c r="L13" s="103"/>
      <c r="M13" s="69"/>
      <c r="N13" s="69"/>
      <c r="O13" s="69"/>
      <c r="Q13" s="69"/>
      <c r="R13" s="69"/>
      <c r="S13" s="69"/>
      <c r="T13" s="69"/>
      <c r="U13" s="69"/>
      <c r="V13" s="69"/>
      <c r="W13" s="6"/>
    </row>
    <row r="14" spans="1:23" ht="15" x14ac:dyDescent="0.25">
      <c r="A14" s="2"/>
      <c r="B14" s="5"/>
      <c r="C14" s="103"/>
      <c r="D14" s="103"/>
      <c r="E14" s="103"/>
      <c r="F14" s="103"/>
      <c r="G14" s="103"/>
      <c r="H14" s="103"/>
      <c r="I14" s="103"/>
      <c r="J14" s="103"/>
      <c r="K14" s="103"/>
      <c r="L14" s="103"/>
      <c r="M14" s="69"/>
      <c r="N14" s="69"/>
      <c r="O14" s="69"/>
      <c r="Q14" s="69"/>
      <c r="R14" s="69"/>
      <c r="S14" s="69"/>
      <c r="T14" s="69"/>
      <c r="U14" s="69"/>
      <c r="V14" s="69"/>
      <c r="W14" s="6"/>
    </row>
    <row r="15" spans="1:23" ht="15" x14ac:dyDescent="0.25">
      <c r="A15" s="2"/>
      <c r="B15" s="5"/>
      <c r="C15" s="103"/>
      <c r="D15" s="103"/>
      <c r="E15" s="103"/>
      <c r="F15" s="103"/>
      <c r="G15" s="103"/>
      <c r="H15" s="103"/>
      <c r="I15" s="103"/>
      <c r="J15" s="103"/>
      <c r="K15" s="103"/>
      <c r="L15" s="103"/>
      <c r="M15" s="69"/>
      <c r="N15" s="69"/>
      <c r="O15" s="69"/>
      <c r="Q15" s="69"/>
      <c r="R15" s="69"/>
      <c r="S15" s="69"/>
      <c r="T15" s="69"/>
      <c r="U15" s="69"/>
      <c r="V15" s="69"/>
      <c r="W15" s="6"/>
    </row>
    <row r="16" spans="1:23" ht="15" x14ac:dyDescent="0.25">
      <c r="A16" s="2"/>
      <c r="B16" s="5"/>
      <c r="C16" s="103"/>
      <c r="D16" s="103"/>
      <c r="E16" s="103"/>
      <c r="F16" s="103"/>
      <c r="G16" s="103"/>
      <c r="H16" s="103"/>
      <c r="I16" s="103"/>
      <c r="J16" s="103"/>
      <c r="K16" s="103"/>
      <c r="L16" s="103"/>
      <c r="M16" s="69"/>
      <c r="N16" s="69"/>
      <c r="O16" s="69"/>
      <c r="Q16" s="69"/>
      <c r="R16" s="69"/>
      <c r="S16" s="69"/>
      <c r="T16" s="69"/>
      <c r="U16" s="69"/>
      <c r="V16" s="69"/>
      <c r="W16" s="6"/>
    </row>
    <row r="17" spans="1:23" ht="15" x14ac:dyDescent="0.25">
      <c r="A17" s="2"/>
      <c r="B17" s="5"/>
      <c r="C17" s="103"/>
      <c r="D17" s="103"/>
      <c r="E17" s="103"/>
      <c r="F17" s="103"/>
      <c r="G17" s="103"/>
      <c r="H17" s="103"/>
      <c r="I17" s="103"/>
      <c r="J17" s="103"/>
      <c r="K17" s="103"/>
      <c r="L17" s="103"/>
      <c r="M17" s="69"/>
      <c r="N17" s="69"/>
      <c r="O17" s="69"/>
      <c r="Q17" s="69"/>
      <c r="R17" s="69"/>
      <c r="S17" s="69"/>
      <c r="T17" s="69"/>
      <c r="U17" s="69"/>
      <c r="V17" s="69"/>
      <c r="W17" s="6"/>
    </row>
    <row r="18" spans="1:23" ht="15" x14ac:dyDescent="0.25">
      <c r="A18" s="2"/>
      <c r="B18" s="5"/>
      <c r="C18" s="103"/>
      <c r="D18" s="103"/>
      <c r="E18" s="103"/>
      <c r="F18" s="103"/>
      <c r="G18" s="103"/>
      <c r="H18" s="103"/>
      <c r="I18" s="103"/>
      <c r="J18" s="103"/>
      <c r="K18" s="103"/>
      <c r="L18" s="103"/>
      <c r="M18" s="69"/>
      <c r="N18" s="69"/>
      <c r="O18" s="69"/>
      <c r="Q18" s="69"/>
      <c r="R18" s="69"/>
      <c r="S18" s="69"/>
      <c r="T18" s="69"/>
      <c r="U18" s="69"/>
      <c r="V18" s="69"/>
      <c r="W18" s="6"/>
    </row>
    <row r="19" spans="1:23" ht="15" x14ac:dyDescent="0.25">
      <c r="A19" s="2"/>
      <c r="B19" s="5"/>
      <c r="C19" s="103"/>
      <c r="D19" s="103"/>
      <c r="E19" s="103"/>
      <c r="F19" s="103"/>
      <c r="G19" s="103"/>
      <c r="H19" s="103"/>
      <c r="I19" s="103"/>
      <c r="J19" s="103"/>
      <c r="K19" s="103"/>
      <c r="L19" s="103"/>
      <c r="M19" s="69"/>
      <c r="N19" s="69"/>
      <c r="O19" s="69"/>
      <c r="Q19" s="69"/>
      <c r="R19" s="69"/>
      <c r="S19" s="69"/>
      <c r="T19" s="69"/>
      <c r="U19" s="69"/>
      <c r="V19" s="69"/>
      <c r="W19" s="6"/>
    </row>
    <row r="20" spans="1:23" ht="15" x14ac:dyDescent="0.25">
      <c r="A20" s="2"/>
      <c r="B20" s="5"/>
      <c r="C20" s="103"/>
      <c r="D20" s="103"/>
      <c r="E20" s="103"/>
      <c r="F20" s="103"/>
      <c r="G20" s="103"/>
      <c r="H20" s="103"/>
      <c r="I20" s="103"/>
      <c r="J20" s="103"/>
      <c r="K20" s="103"/>
      <c r="L20" s="103"/>
      <c r="M20" s="69"/>
      <c r="N20" s="69"/>
      <c r="O20" s="69"/>
      <c r="Q20" s="69"/>
      <c r="R20" s="69"/>
      <c r="S20" s="69"/>
      <c r="T20" s="69"/>
      <c r="U20" s="69"/>
      <c r="V20" s="69"/>
      <c r="W20" s="6"/>
    </row>
    <row r="21" spans="1:23" ht="15" x14ac:dyDescent="0.25">
      <c r="A21" s="2"/>
      <c r="B21" s="5"/>
      <c r="C21" s="103"/>
      <c r="D21" s="103"/>
      <c r="E21" s="103"/>
      <c r="F21" s="103"/>
      <c r="G21" s="103"/>
      <c r="H21" s="103"/>
      <c r="I21" s="103"/>
      <c r="J21" s="103"/>
      <c r="K21" s="103"/>
      <c r="L21" s="103"/>
      <c r="M21" s="69"/>
      <c r="N21" s="69"/>
      <c r="O21" s="69"/>
      <c r="Q21" s="69"/>
      <c r="R21" s="69"/>
      <c r="S21" s="69"/>
      <c r="T21" s="69"/>
      <c r="U21" s="69"/>
      <c r="V21" s="69"/>
      <c r="W21" s="6"/>
    </row>
    <row r="22" spans="1:23" ht="15" x14ac:dyDescent="0.25">
      <c r="A22" s="2"/>
      <c r="B22" s="5"/>
      <c r="C22" s="103"/>
      <c r="D22" s="103"/>
      <c r="E22" s="103"/>
      <c r="F22" s="103"/>
      <c r="G22" s="103"/>
      <c r="H22" s="103"/>
      <c r="I22" s="103"/>
      <c r="J22" s="103"/>
      <c r="K22" s="103"/>
      <c r="L22" s="103"/>
      <c r="M22" s="69"/>
      <c r="N22" s="69"/>
      <c r="O22" s="69"/>
      <c r="Q22" s="69"/>
      <c r="R22" s="69"/>
      <c r="S22" s="69"/>
      <c r="T22" s="69"/>
      <c r="U22" s="69"/>
      <c r="V22" s="69"/>
      <c r="W22" s="6"/>
    </row>
    <row r="23" spans="1:23" ht="15" x14ac:dyDescent="0.25">
      <c r="A23" s="2"/>
      <c r="B23" s="5"/>
      <c r="C23" s="103"/>
      <c r="D23" s="103"/>
      <c r="E23" s="103"/>
      <c r="F23" s="103"/>
      <c r="G23" s="103"/>
      <c r="H23" s="103"/>
      <c r="I23" s="103"/>
      <c r="J23" s="103"/>
      <c r="K23" s="103"/>
      <c r="L23" s="103"/>
      <c r="M23" s="69"/>
      <c r="N23" s="69"/>
      <c r="O23" s="69"/>
      <c r="Q23" s="69"/>
      <c r="R23" s="69"/>
      <c r="S23" s="69"/>
      <c r="T23" s="69"/>
      <c r="U23" s="69"/>
      <c r="V23" s="69"/>
      <c r="W23" s="6"/>
    </row>
    <row r="24" spans="1:23" ht="15" x14ac:dyDescent="0.25">
      <c r="A24" s="2"/>
      <c r="B24" s="5"/>
      <c r="C24" s="103"/>
      <c r="D24" s="103"/>
      <c r="E24" s="103"/>
      <c r="F24" s="103"/>
      <c r="G24" s="103"/>
      <c r="H24" s="103"/>
      <c r="I24" s="103"/>
      <c r="J24" s="103"/>
      <c r="K24" s="103"/>
      <c r="L24" s="103"/>
      <c r="M24" s="69"/>
      <c r="N24" s="69"/>
      <c r="O24" s="69"/>
      <c r="Q24" s="69"/>
      <c r="R24" s="69"/>
      <c r="S24" s="69"/>
      <c r="T24" s="69"/>
      <c r="U24" s="69"/>
      <c r="V24" s="69"/>
      <c r="W24" s="6"/>
    </row>
    <row r="25" spans="1:23" ht="15" x14ac:dyDescent="0.25">
      <c r="A25" s="2"/>
      <c r="B25" s="5"/>
      <c r="C25" s="103"/>
      <c r="D25" s="103"/>
      <c r="E25" s="103"/>
      <c r="F25" s="103"/>
      <c r="G25" s="103"/>
      <c r="H25" s="103"/>
      <c r="I25" s="103"/>
      <c r="J25" s="103"/>
      <c r="K25" s="103"/>
      <c r="L25" s="103"/>
      <c r="M25" s="69"/>
      <c r="N25" s="69"/>
      <c r="O25" s="69"/>
      <c r="Q25" s="69"/>
      <c r="R25" s="69"/>
      <c r="S25" s="69"/>
      <c r="T25" s="69"/>
      <c r="U25" s="69"/>
      <c r="V25" s="69"/>
      <c r="W25" s="6"/>
    </row>
    <row r="26" spans="1:23" ht="15" x14ac:dyDescent="0.25">
      <c r="A26" s="2"/>
      <c r="B26" s="5"/>
      <c r="C26" s="103"/>
      <c r="D26" s="103"/>
      <c r="E26" s="103"/>
      <c r="F26" s="103"/>
      <c r="G26" s="103"/>
      <c r="H26" s="103"/>
      <c r="I26" s="103"/>
      <c r="J26" s="103"/>
      <c r="K26" s="103"/>
      <c r="L26" s="103"/>
      <c r="M26" s="69"/>
      <c r="N26" s="69"/>
      <c r="O26" s="69"/>
      <c r="Q26" s="69"/>
      <c r="R26" s="69"/>
      <c r="S26" s="69"/>
      <c r="T26" s="69"/>
      <c r="U26" s="69"/>
      <c r="V26" s="69"/>
      <c r="W26" s="6"/>
    </row>
    <row r="27" spans="1:23" ht="15" x14ac:dyDescent="0.25">
      <c r="A27" s="2"/>
      <c r="B27" s="5"/>
      <c r="C27" s="103"/>
      <c r="D27" s="103"/>
      <c r="E27" s="103"/>
      <c r="F27" s="103"/>
      <c r="G27" s="103"/>
      <c r="H27" s="103"/>
      <c r="I27" s="103"/>
      <c r="J27" s="103"/>
      <c r="K27" s="103"/>
      <c r="L27" s="103"/>
      <c r="M27" s="69"/>
      <c r="N27" s="69"/>
      <c r="O27" s="69"/>
      <c r="Q27" s="69"/>
      <c r="R27" s="69"/>
      <c r="S27" s="69"/>
      <c r="T27" s="69"/>
      <c r="U27" s="69"/>
      <c r="V27" s="69"/>
      <c r="W27" s="6"/>
    </row>
    <row r="28" spans="1:23" s="69" customFormat="1" ht="15" x14ac:dyDescent="0.25">
      <c r="A28" s="414"/>
      <c r="B28" s="5"/>
      <c r="C28" s="414"/>
      <c r="D28" s="414"/>
      <c r="E28" s="414"/>
      <c r="F28" s="414"/>
      <c r="G28" s="414"/>
      <c r="H28" s="414"/>
      <c r="I28" s="414"/>
      <c r="J28" s="414"/>
      <c r="K28" s="414"/>
      <c r="L28" s="414"/>
      <c r="W28" s="6"/>
    </row>
    <row r="29" spans="1:23" s="69" customFormat="1" ht="15" x14ac:dyDescent="0.25">
      <c r="A29" s="414"/>
      <c r="B29" s="5"/>
      <c r="C29" s="414"/>
      <c r="D29" s="414"/>
      <c r="E29" s="414"/>
      <c r="F29" s="414"/>
      <c r="G29" s="414"/>
      <c r="H29" s="414"/>
      <c r="I29" s="414"/>
      <c r="J29" s="414"/>
      <c r="K29" s="414"/>
      <c r="L29" s="414"/>
      <c r="W29" s="6"/>
    </row>
    <row r="30" spans="1:23" s="69" customFormat="1" ht="15" x14ac:dyDescent="0.25">
      <c r="A30" s="414"/>
      <c r="B30" s="5"/>
      <c r="C30" s="414"/>
      <c r="D30" s="414"/>
      <c r="E30" s="414"/>
      <c r="F30" s="414"/>
      <c r="G30" s="414"/>
      <c r="H30" s="414"/>
      <c r="I30" s="414"/>
      <c r="J30" s="414"/>
      <c r="K30" s="414"/>
      <c r="L30" s="414"/>
      <c r="W30" s="6"/>
    </row>
    <row r="31" spans="1:23" ht="15" x14ac:dyDescent="0.25">
      <c r="A31" s="2"/>
      <c r="B31" s="5"/>
      <c r="C31" s="103"/>
      <c r="D31" s="103"/>
      <c r="E31" s="103"/>
      <c r="F31" s="103"/>
      <c r="G31" s="103"/>
      <c r="H31" s="103"/>
      <c r="I31" s="103"/>
      <c r="J31" s="103"/>
      <c r="K31" s="103"/>
      <c r="L31" s="103"/>
      <c r="M31" s="69"/>
      <c r="N31" s="69"/>
      <c r="O31" s="69"/>
      <c r="Q31" s="69"/>
      <c r="R31" s="69"/>
      <c r="S31" s="69"/>
      <c r="T31" s="69"/>
      <c r="U31" s="69"/>
      <c r="V31" s="69"/>
      <c r="W31" s="6"/>
    </row>
    <row r="32" spans="1:23" ht="15" x14ac:dyDescent="0.25">
      <c r="A32" s="2"/>
      <c r="B32" s="5"/>
      <c r="C32" s="103"/>
      <c r="D32" s="103"/>
      <c r="E32" s="103"/>
      <c r="F32" s="103"/>
      <c r="G32" s="103"/>
      <c r="H32" s="103"/>
      <c r="I32" s="103"/>
      <c r="J32" s="103"/>
      <c r="K32" s="103"/>
      <c r="L32" s="103"/>
      <c r="M32" s="69"/>
      <c r="N32" s="69"/>
      <c r="O32" s="69"/>
      <c r="Q32" s="69"/>
      <c r="R32" s="69"/>
      <c r="S32" s="69"/>
      <c r="T32" s="69"/>
      <c r="U32" s="69"/>
      <c r="V32" s="69"/>
      <c r="W32" s="6"/>
    </row>
    <row r="33" spans="1:23" ht="15" x14ac:dyDescent="0.25">
      <c r="A33" s="2"/>
      <c r="B33" s="5"/>
      <c r="C33" s="103"/>
      <c r="D33" s="103"/>
      <c r="E33" s="103"/>
      <c r="F33" s="103"/>
      <c r="G33" s="103"/>
      <c r="H33" s="103"/>
      <c r="I33" s="103"/>
      <c r="J33" s="103"/>
      <c r="K33" s="103"/>
      <c r="L33" s="103"/>
      <c r="M33" s="69"/>
      <c r="N33" s="69"/>
      <c r="O33" s="69"/>
      <c r="Q33" s="69"/>
      <c r="R33" s="69"/>
      <c r="S33" s="69"/>
      <c r="T33" s="69"/>
      <c r="U33" s="69"/>
      <c r="V33" s="69"/>
      <c r="W33" s="6"/>
    </row>
    <row r="34" spans="1:23" ht="15" x14ac:dyDescent="0.25">
      <c r="A34" s="2"/>
      <c r="B34" s="5"/>
      <c r="C34" s="103"/>
      <c r="D34" s="103"/>
      <c r="E34" s="103"/>
      <c r="F34" s="103"/>
      <c r="G34" s="103"/>
      <c r="H34" s="103"/>
      <c r="I34" s="103"/>
      <c r="J34" s="103"/>
      <c r="K34" s="103"/>
      <c r="L34" s="103"/>
      <c r="M34" s="69"/>
      <c r="N34" s="69"/>
      <c r="O34" s="69"/>
      <c r="Q34" s="69"/>
      <c r="R34" s="69"/>
      <c r="S34" s="69"/>
      <c r="T34" s="69"/>
      <c r="U34" s="69"/>
      <c r="V34" s="69"/>
      <c r="W34" s="6"/>
    </row>
    <row r="35" spans="1:23" ht="15" x14ac:dyDescent="0.25">
      <c r="A35" s="2"/>
      <c r="B35" s="5"/>
      <c r="C35" s="103"/>
      <c r="D35" s="103"/>
      <c r="E35" s="103"/>
      <c r="F35" s="103"/>
      <c r="G35" s="103"/>
      <c r="H35" s="103"/>
      <c r="I35" s="103"/>
      <c r="J35" s="103"/>
      <c r="K35" s="103"/>
      <c r="L35" s="103"/>
      <c r="M35" s="69"/>
      <c r="N35" s="69"/>
      <c r="O35" s="69"/>
      <c r="Q35" s="69"/>
      <c r="R35" s="69"/>
      <c r="S35" s="69"/>
      <c r="T35" s="69"/>
      <c r="U35" s="69"/>
      <c r="V35" s="69"/>
      <c r="W35" s="6"/>
    </row>
    <row r="36" spans="1:23" ht="15" x14ac:dyDescent="0.25">
      <c r="A36" s="2"/>
      <c r="B36" s="5"/>
      <c r="C36" s="103"/>
      <c r="D36" s="103"/>
      <c r="E36" s="648"/>
      <c r="F36" s="648"/>
      <c r="G36" s="648"/>
      <c r="H36" s="648"/>
      <c r="I36" s="103"/>
      <c r="J36" s="103"/>
      <c r="K36" s="103"/>
      <c r="L36" s="103"/>
      <c r="M36" s="69"/>
      <c r="N36" s="69"/>
      <c r="O36" s="69"/>
      <c r="Q36" s="69"/>
      <c r="R36" s="69"/>
      <c r="S36" s="69"/>
      <c r="T36" s="69"/>
      <c r="U36" s="69"/>
      <c r="V36" s="69"/>
      <c r="W36" s="6"/>
    </row>
    <row r="37" spans="1:23" ht="15" x14ac:dyDescent="0.25">
      <c r="A37" s="2"/>
      <c r="B37" s="5"/>
      <c r="C37" s="103"/>
      <c r="D37" s="103"/>
      <c r="E37" s="103"/>
      <c r="F37" s="103"/>
      <c r="G37" s="103"/>
      <c r="H37" s="103"/>
      <c r="I37" s="103"/>
      <c r="J37" s="103"/>
      <c r="K37" s="103"/>
      <c r="L37" s="103"/>
      <c r="M37" s="69"/>
      <c r="N37" s="69"/>
      <c r="O37" s="69"/>
      <c r="Q37" s="69"/>
      <c r="R37" s="69"/>
      <c r="S37" s="69"/>
      <c r="T37" s="69"/>
      <c r="U37" s="69"/>
      <c r="V37" s="69"/>
      <c r="W37" s="6"/>
    </row>
    <row r="38" spans="1:23" ht="15" x14ac:dyDescent="0.25">
      <c r="A38" s="2"/>
      <c r="B38" s="5"/>
      <c r="C38" s="103"/>
      <c r="D38" s="158" t="s">
        <v>499</v>
      </c>
      <c r="E38" s="103"/>
      <c r="F38" s="103"/>
      <c r="G38" s="103"/>
      <c r="H38" s="103"/>
      <c r="I38" s="103"/>
      <c r="J38" s="103"/>
      <c r="K38" s="69"/>
      <c r="L38" s="103"/>
      <c r="M38" s="69"/>
      <c r="N38" s="69"/>
      <c r="O38" s="69"/>
      <c r="Q38" s="69"/>
      <c r="R38" s="69"/>
      <c r="S38" s="69"/>
      <c r="T38" s="69"/>
      <c r="U38" s="69"/>
      <c r="V38" s="69"/>
      <c r="W38" s="6"/>
    </row>
    <row r="39" spans="1:23" ht="15" x14ac:dyDescent="0.25">
      <c r="A39" s="2"/>
      <c r="B39" s="5"/>
      <c r="C39" s="103"/>
      <c r="D39" s="103"/>
      <c r="E39" s="103"/>
      <c r="F39" s="103"/>
      <c r="G39" s="103"/>
      <c r="H39" s="103"/>
      <c r="I39" s="103"/>
      <c r="J39" s="103"/>
      <c r="K39" s="103"/>
      <c r="L39" s="103"/>
      <c r="M39" s="69"/>
      <c r="N39" s="69"/>
      <c r="O39" s="69"/>
      <c r="Q39" s="69"/>
      <c r="R39" s="69"/>
      <c r="S39" s="69"/>
      <c r="T39" s="69"/>
      <c r="U39" s="69"/>
      <c r="V39" s="69"/>
      <c r="W39" s="6"/>
    </row>
    <row r="40" spans="1:23" s="69" customFormat="1" ht="15" x14ac:dyDescent="0.25">
      <c r="A40" s="103"/>
      <c r="B40" s="5"/>
      <c r="C40" s="103"/>
      <c r="D40" s="737" t="s">
        <v>629</v>
      </c>
      <c r="E40" s="738"/>
      <c r="F40" s="738"/>
      <c r="G40" s="738"/>
      <c r="H40" s="738"/>
      <c r="I40" s="738"/>
      <c r="J40" s="738"/>
      <c r="K40" s="739"/>
      <c r="L40" s="746" t="str">
        <f>INDEX(Locations, selection)</f>
        <v>Kingston Buci</v>
      </c>
      <c r="M40" s="747"/>
      <c r="N40" s="752" t="str">
        <f>INDEX(Locations, selection2)</f>
        <v>Stepping Stones</v>
      </c>
      <c r="O40" s="753"/>
      <c r="P40" s="730" t="s">
        <v>292</v>
      </c>
      <c r="Q40" s="731"/>
      <c r="W40" s="6"/>
    </row>
    <row r="41" spans="1:23" s="69" customFormat="1" ht="15" customHeight="1" x14ac:dyDescent="0.25">
      <c r="A41" s="103"/>
      <c r="B41" s="5"/>
      <c r="C41" s="103"/>
      <c r="D41" s="740"/>
      <c r="E41" s="741"/>
      <c r="F41" s="741"/>
      <c r="G41" s="741"/>
      <c r="H41" s="741"/>
      <c r="I41" s="741"/>
      <c r="J41" s="741"/>
      <c r="K41" s="742"/>
      <c r="L41" s="748"/>
      <c r="M41" s="749"/>
      <c r="N41" s="754"/>
      <c r="O41" s="755"/>
      <c r="P41" s="732"/>
      <c r="Q41" s="733"/>
      <c r="R41" s="526"/>
      <c r="S41" s="758" t="s">
        <v>503</v>
      </c>
      <c r="T41" s="758"/>
      <c r="U41" s="758"/>
      <c r="W41" s="6"/>
    </row>
    <row r="42" spans="1:23" ht="14.25" customHeight="1" x14ac:dyDescent="0.2">
      <c r="B42" s="6"/>
      <c r="C42" s="69"/>
      <c r="D42" s="743"/>
      <c r="E42" s="744"/>
      <c r="F42" s="744"/>
      <c r="G42" s="744"/>
      <c r="H42" s="744"/>
      <c r="I42" s="744"/>
      <c r="J42" s="744"/>
      <c r="K42" s="745"/>
      <c r="L42" s="750"/>
      <c r="M42" s="751"/>
      <c r="N42" s="754"/>
      <c r="O42" s="755"/>
      <c r="P42" s="734"/>
      <c r="Q42" s="735"/>
      <c r="R42" s="526"/>
      <c r="S42" s="758"/>
      <c r="T42" s="758"/>
      <c r="U42" s="758"/>
      <c r="V42" s="69"/>
      <c r="W42" s="6"/>
    </row>
    <row r="43" spans="1:23" ht="15" x14ac:dyDescent="0.25">
      <c r="B43" s="6"/>
      <c r="C43" s="69"/>
      <c r="D43" s="974" t="s">
        <v>500</v>
      </c>
      <c r="E43" s="975"/>
      <c r="F43" s="975"/>
      <c r="G43" s="975"/>
      <c r="H43" s="975"/>
      <c r="I43" s="975"/>
      <c r="J43" s="975"/>
      <c r="K43" s="986"/>
      <c r="L43" s="728">
        <f t="shared" ref="L43:L49" si="0">HLOOKUP(D43,breastfeeding,selection+1, FALSE)</f>
        <v>181</v>
      </c>
      <c r="M43" s="728"/>
      <c r="N43" s="728">
        <f t="shared" ref="N43:N49" si="1">HLOOKUP(D43,breastfeeding, selection2+1, FALSE)</f>
        <v>138</v>
      </c>
      <c r="O43" s="728"/>
      <c r="P43" s="723">
        <v>8655</v>
      </c>
      <c r="Q43" s="723"/>
      <c r="R43" s="526"/>
      <c r="S43" s="758"/>
      <c r="T43" s="758"/>
      <c r="U43" s="758"/>
      <c r="V43" s="69"/>
      <c r="W43" s="6"/>
    </row>
    <row r="44" spans="1:23" ht="15" x14ac:dyDescent="0.25">
      <c r="B44" s="6"/>
      <c r="C44" s="69"/>
      <c r="D44" s="725" t="s">
        <v>501</v>
      </c>
      <c r="E44" s="726"/>
      <c r="F44" s="726"/>
      <c r="G44" s="726"/>
      <c r="H44" s="726"/>
      <c r="I44" s="726"/>
      <c r="J44" s="726"/>
      <c r="K44" s="727"/>
      <c r="L44" s="728">
        <f t="shared" si="0"/>
        <v>176</v>
      </c>
      <c r="M44" s="728"/>
      <c r="N44" s="985">
        <f t="shared" si="1"/>
        <v>123</v>
      </c>
      <c r="O44" s="985"/>
      <c r="P44" s="768">
        <v>8310</v>
      </c>
      <c r="Q44" s="768"/>
      <c r="R44" s="526"/>
      <c r="S44" s="758"/>
      <c r="T44" s="758"/>
      <c r="U44" s="758"/>
      <c r="V44" s="69"/>
      <c r="W44" s="6"/>
    </row>
    <row r="45" spans="1:23" ht="15" x14ac:dyDescent="0.25">
      <c r="B45" s="6"/>
      <c r="C45" s="69"/>
      <c r="D45" s="725" t="s">
        <v>502</v>
      </c>
      <c r="E45" s="726"/>
      <c r="F45" s="726"/>
      <c r="G45" s="726"/>
      <c r="H45" s="726"/>
      <c r="I45" s="726"/>
      <c r="J45" s="726"/>
      <c r="K45" s="727"/>
      <c r="L45" s="724">
        <f t="shared" si="0"/>
        <v>0.97237569060773477</v>
      </c>
      <c r="M45" s="724"/>
      <c r="N45" s="724">
        <f t="shared" si="1"/>
        <v>0.89130434782608692</v>
      </c>
      <c r="O45" s="724"/>
      <c r="P45" s="724">
        <v>0.96013864818024264</v>
      </c>
      <c r="Q45" s="724"/>
      <c r="R45" s="526"/>
      <c r="S45" s="758"/>
      <c r="T45" s="758"/>
      <c r="U45" s="758"/>
      <c r="V45" s="69"/>
      <c r="W45" s="6"/>
    </row>
    <row r="46" spans="1:23" ht="15" x14ac:dyDescent="0.25">
      <c r="B46" s="6"/>
      <c r="C46" s="69"/>
      <c r="D46" s="725" t="s">
        <v>743</v>
      </c>
      <c r="E46" s="726"/>
      <c r="F46" s="726"/>
      <c r="G46" s="726"/>
      <c r="H46" s="726"/>
      <c r="I46" s="726"/>
      <c r="J46" s="726"/>
      <c r="K46" s="727"/>
      <c r="L46" s="728">
        <f t="shared" si="0"/>
        <v>73</v>
      </c>
      <c r="M46" s="728"/>
      <c r="N46" s="728">
        <f t="shared" si="1"/>
        <v>51</v>
      </c>
      <c r="O46" s="728"/>
      <c r="P46" s="723">
        <v>3498</v>
      </c>
      <c r="Q46" s="723"/>
      <c r="R46" s="526"/>
      <c r="S46" s="758"/>
      <c r="T46" s="758"/>
      <c r="U46" s="758"/>
      <c r="V46" s="69"/>
      <c r="W46" s="6"/>
    </row>
    <row r="47" spans="1:23" s="69" customFormat="1" ht="15" x14ac:dyDescent="0.25">
      <c r="B47" s="6"/>
      <c r="D47" s="725" t="s">
        <v>746</v>
      </c>
      <c r="E47" s="726"/>
      <c r="F47" s="726"/>
      <c r="G47" s="726"/>
      <c r="H47" s="726"/>
      <c r="I47" s="726"/>
      <c r="J47" s="726"/>
      <c r="K47" s="727"/>
      <c r="L47" s="724">
        <f t="shared" ref="L47" si="2">HLOOKUP(D47,breastfeeding,selection+1, FALSE)</f>
        <v>0.41477272727272729</v>
      </c>
      <c r="M47" s="724"/>
      <c r="N47" s="736">
        <f t="shared" ref="N47" si="3">HLOOKUP(D47,breastfeeding, selection2+1, FALSE)</f>
        <v>0.41463414634146339</v>
      </c>
      <c r="O47" s="736"/>
      <c r="P47" s="736">
        <v>0.42093862815884475</v>
      </c>
      <c r="Q47" s="736"/>
      <c r="R47" s="541"/>
      <c r="S47" s="758"/>
      <c r="T47" s="758"/>
      <c r="U47" s="758"/>
      <c r="W47" s="6"/>
    </row>
    <row r="48" spans="1:23" ht="15" x14ac:dyDescent="0.25">
      <c r="B48" s="6"/>
      <c r="C48" s="69"/>
      <c r="D48" s="725" t="s">
        <v>744</v>
      </c>
      <c r="E48" s="726"/>
      <c r="F48" s="726"/>
      <c r="G48" s="726"/>
      <c r="H48" s="726"/>
      <c r="I48" s="726"/>
      <c r="J48" s="726"/>
      <c r="K48" s="727"/>
      <c r="L48" s="728">
        <f t="shared" si="0"/>
        <v>95</v>
      </c>
      <c r="M48" s="728"/>
      <c r="N48" s="728">
        <f t="shared" si="1"/>
        <v>71</v>
      </c>
      <c r="O48" s="728"/>
      <c r="P48" s="723">
        <v>4605</v>
      </c>
      <c r="Q48" s="723"/>
      <c r="R48" s="69"/>
      <c r="S48" s="69"/>
      <c r="T48" s="69"/>
      <c r="U48" s="69"/>
      <c r="V48" s="69"/>
      <c r="W48" s="6"/>
    </row>
    <row r="49" spans="2:23" ht="15" x14ac:dyDescent="0.25">
      <c r="B49" s="6"/>
      <c r="C49" s="69"/>
      <c r="D49" s="725" t="s">
        <v>745</v>
      </c>
      <c r="E49" s="726"/>
      <c r="F49" s="726"/>
      <c r="G49" s="726"/>
      <c r="H49" s="726"/>
      <c r="I49" s="726"/>
      <c r="J49" s="726"/>
      <c r="K49" s="727"/>
      <c r="L49" s="724">
        <f t="shared" si="0"/>
        <v>0.53977272727272729</v>
      </c>
      <c r="M49" s="724"/>
      <c r="N49" s="736">
        <f t="shared" si="1"/>
        <v>0.57723577235772361</v>
      </c>
      <c r="O49" s="736"/>
      <c r="P49" s="736">
        <v>0.55415162454873645</v>
      </c>
      <c r="Q49" s="736"/>
      <c r="R49" s="69"/>
      <c r="S49" s="69"/>
      <c r="T49" s="69"/>
      <c r="U49" s="69"/>
      <c r="V49" s="69"/>
      <c r="W49" s="6"/>
    </row>
    <row r="50" spans="2:23" ht="15" x14ac:dyDescent="0.25">
      <c r="B50" s="6"/>
      <c r="C50" s="103"/>
      <c r="D50" s="103"/>
      <c r="E50" s="103"/>
      <c r="F50" s="103"/>
      <c r="G50" s="103"/>
      <c r="H50" s="103"/>
      <c r="I50" s="103"/>
      <c r="J50" s="103"/>
      <c r="K50" s="103"/>
      <c r="L50" s="103"/>
      <c r="O50" s="69"/>
      <c r="Q50" s="69"/>
      <c r="S50" s="69"/>
      <c r="T50" s="69"/>
      <c r="U50" s="69"/>
      <c r="V50" s="69"/>
      <c r="W50" s="6"/>
    </row>
    <row r="51" spans="2:23" ht="15" x14ac:dyDescent="0.25">
      <c r="B51" s="6"/>
      <c r="C51" s="103"/>
      <c r="D51" s="737" t="s">
        <v>511</v>
      </c>
      <c r="E51" s="738"/>
      <c r="F51" s="738"/>
      <c r="G51" s="738"/>
      <c r="H51" s="738"/>
      <c r="I51" s="738"/>
      <c r="J51" s="738"/>
      <c r="K51" s="739"/>
      <c r="L51" s="746" t="str">
        <f>INDEX(Locations, selection)</f>
        <v>Kingston Buci</v>
      </c>
      <c r="M51" s="747"/>
      <c r="N51" s="752" t="str">
        <f>INDEX(Locations, selection2)</f>
        <v>Stepping Stones</v>
      </c>
      <c r="O51" s="753"/>
      <c r="P51" s="730" t="s">
        <v>292</v>
      </c>
      <c r="Q51" s="731"/>
      <c r="S51" s="69"/>
      <c r="T51" s="69"/>
      <c r="U51" s="69"/>
      <c r="V51" s="69"/>
      <c r="W51" s="6"/>
    </row>
    <row r="52" spans="2:23" s="69" customFormat="1" ht="15" customHeight="1" x14ac:dyDescent="0.25">
      <c r="B52" s="6"/>
      <c r="C52" s="527"/>
      <c r="D52" s="740"/>
      <c r="E52" s="741"/>
      <c r="F52" s="741"/>
      <c r="G52" s="741"/>
      <c r="H52" s="741"/>
      <c r="I52" s="741"/>
      <c r="J52" s="741"/>
      <c r="K52" s="742"/>
      <c r="L52" s="748"/>
      <c r="M52" s="749"/>
      <c r="N52" s="754"/>
      <c r="O52" s="755"/>
      <c r="P52" s="732"/>
      <c r="Q52" s="733"/>
      <c r="R52" s="522"/>
      <c r="S52" s="758" t="s">
        <v>992</v>
      </c>
      <c r="T52" s="758"/>
      <c r="U52" s="758"/>
      <c r="W52" s="6"/>
    </row>
    <row r="53" spans="2:23" s="69" customFormat="1" ht="15" x14ac:dyDescent="0.25">
      <c r="B53" s="6"/>
      <c r="C53" s="527"/>
      <c r="D53" s="743"/>
      <c r="E53" s="744"/>
      <c r="F53" s="744"/>
      <c r="G53" s="744"/>
      <c r="H53" s="744"/>
      <c r="I53" s="744"/>
      <c r="J53" s="744"/>
      <c r="K53" s="745"/>
      <c r="L53" s="750"/>
      <c r="M53" s="751"/>
      <c r="N53" s="756"/>
      <c r="O53" s="757"/>
      <c r="P53" s="734"/>
      <c r="Q53" s="735"/>
      <c r="R53" s="522"/>
      <c r="S53" s="758"/>
      <c r="T53" s="758"/>
      <c r="U53" s="758"/>
      <c r="W53" s="6"/>
    </row>
    <row r="54" spans="2:23" s="69" customFormat="1" ht="15" x14ac:dyDescent="0.25">
      <c r="B54" s="6"/>
      <c r="C54" s="527"/>
      <c r="D54" s="725" t="s">
        <v>985</v>
      </c>
      <c r="E54" s="726"/>
      <c r="F54" s="726"/>
      <c r="G54" s="726"/>
      <c r="H54" s="726"/>
      <c r="I54" s="726"/>
      <c r="J54" s="726"/>
      <c r="K54" s="727"/>
      <c r="L54" s="728">
        <f>HLOOKUP(D54,breastfeeding1415,selection+1, FALSE)</f>
        <v>154</v>
      </c>
      <c r="M54" s="728"/>
      <c r="N54" s="728">
        <f>HLOOKUP(D54,breastfeeding1415, selection2+1, FALSE)</f>
        <v>102</v>
      </c>
      <c r="O54" s="728"/>
      <c r="P54" s="723">
        <v>7801</v>
      </c>
      <c r="Q54" s="723"/>
      <c r="R54" s="522"/>
      <c r="S54" s="758"/>
      <c r="T54" s="758"/>
      <c r="U54" s="758"/>
      <c r="W54" s="6"/>
    </row>
    <row r="55" spans="2:23" s="69" customFormat="1" ht="15" x14ac:dyDescent="0.25">
      <c r="B55" s="6"/>
      <c r="C55" s="527"/>
      <c r="D55" s="725" t="s">
        <v>987</v>
      </c>
      <c r="E55" s="726"/>
      <c r="F55" s="726"/>
      <c r="G55" s="726"/>
      <c r="H55" s="726"/>
      <c r="I55" s="726"/>
      <c r="J55" s="726"/>
      <c r="K55" s="727"/>
      <c r="L55" s="728">
        <f>HLOOKUP(D55,breastfeeding1415,selection+1, FALSE)</f>
        <v>66</v>
      </c>
      <c r="M55" s="728"/>
      <c r="N55" s="728">
        <f>HLOOKUP(D55,breastfeeding1415, selection2+1, FALSE)</f>
        <v>37</v>
      </c>
      <c r="O55" s="728"/>
      <c r="P55" s="723">
        <v>3156</v>
      </c>
      <c r="Q55" s="723"/>
      <c r="R55" s="522"/>
      <c r="S55" s="758"/>
      <c r="T55" s="758"/>
      <c r="U55" s="758"/>
      <c r="W55" s="6"/>
    </row>
    <row r="56" spans="2:23" s="69" customFormat="1" ht="15" x14ac:dyDescent="0.25">
      <c r="B56" s="6"/>
      <c r="C56" s="527"/>
      <c r="D56" s="523" t="s">
        <v>989</v>
      </c>
      <c r="E56" s="524"/>
      <c r="F56" s="524"/>
      <c r="G56" s="524"/>
      <c r="H56" s="524"/>
      <c r="I56" s="524"/>
      <c r="J56" s="524"/>
      <c r="K56" s="525"/>
      <c r="L56" s="724">
        <f>HLOOKUP(D56,breastfeeding1415,selection+1, FALSE)</f>
        <v>0.42857142857142855</v>
      </c>
      <c r="M56" s="724"/>
      <c r="N56" s="724">
        <f>HLOOKUP(D56,breastfeeding1415, selection2+1, FALSE)</f>
        <v>0.36274509803921567</v>
      </c>
      <c r="O56" s="724"/>
      <c r="P56" s="724">
        <v>0.40456351749775671</v>
      </c>
      <c r="Q56" s="724"/>
      <c r="R56" s="522"/>
      <c r="S56" s="758"/>
      <c r="T56" s="758"/>
      <c r="U56" s="758"/>
      <c r="W56" s="6"/>
    </row>
    <row r="57" spans="2:23" s="69" customFormat="1" ht="15" x14ac:dyDescent="0.25">
      <c r="B57" s="6"/>
      <c r="C57" s="527"/>
      <c r="D57" s="725" t="s">
        <v>988</v>
      </c>
      <c r="E57" s="726"/>
      <c r="F57" s="726"/>
      <c r="G57" s="726"/>
      <c r="H57" s="726"/>
      <c r="I57" s="726"/>
      <c r="J57" s="726"/>
      <c r="K57" s="727"/>
      <c r="L57" s="728">
        <f>HLOOKUP(D57,breastfeeding1415,selection+1, FALSE)</f>
        <v>100</v>
      </c>
      <c r="M57" s="728"/>
      <c r="N57" s="728">
        <f>HLOOKUP(D57,breastfeeding1415, selection2+1, FALSE)</f>
        <v>51</v>
      </c>
      <c r="O57" s="728"/>
      <c r="P57" s="723">
        <v>4394</v>
      </c>
      <c r="Q57" s="723"/>
      <c r="R57" s="522"/>
      <c r="S57" s="758"/>
      <c r="T57" s="758"/>
      <c r="U57" s="758"/>
      <c r="W57" s="6"/>
    </row>
    <row r="58" spans="2:23" s="69" customFormat="1" ht="15" x14ac:dyDescent="0.25">
      <c r="B58" s="6"/>
      <c r="C58" s="527"/>
      <c r="D58" s="725" t="s">
        <v>990</v>
      </c>
      <c r="E58" s="726"/>
      <c r="F58" s="726"/>
      <c r="G58" s="726"/>
      <c r="H58" s="726"/>
      <c r="I58" s="726"/>
      <c r="J58" s="726"/>
      <c r="K58" s="727"/>
      <c r="L58" s="724">
        <f>HLOOKUP(D58,breastfeeding1415,selection+1, FALSE)</f>
        <v>0.64935064935064934</v>
      </c>
      <c r="M58" s="724"/>
      <c r="N58" s="724">
        <f>HLOOKUP(D58,breastfeeding1415, selection2+1, FALSE)</f>
        <v>0.5</v>
      </c>
      <c r="O58" s="724"/>
      <c r="P58" s="724">
        <v>0.56326112036918341</v>
      </c>
      <c r="Q58" s="724"/>
      <c r="W58" s="6"/>
    </row>
    <row r="59" spans="2:23" s="69" customFormat="1" ht="15" x14ac:dyDescent="0.25">
      <c r="B59" s="6"/>
      <c r="C59" s="527"/>
      <c r="D59" s="73"/>
      <c r="E59" s="73"/>
      <c r="F59" s="73"/>
      <c r="G59" s="73"/>
      <c r="H59" s="73"/>
      <c r="I59" s="73"/>
      <c r="J59" s="73"/>
      <c r="K59" s="73"/>
      <c r="L59" s="73"/>
      <c r="M59" s="73"/>
      <c r="N59" s="76"/>
      <c r="O59" s="76"/>
      <c r="P59" s="76"/>
      <c r="Q59" s="76"/>
      <c r="R59" s="76"/>
      <c r="S59" s="76"/>
      <c r="T59" s="76"/>
      <c r="U59" s="76"/>
      <c r="W59" s="6"/>
    </row>
    <row r="60" spans="2:23" s="69" customFormat="1" ht="15" x14ac:dyDescent="0.25">
      <c r="B60" s="6"/>
      <c r="C60" s="527"/>
      <c r="D60" s="73"/>
      <c r="E60" s="73"/>
      <c r="F60" s="73"/>
      <c r="G60" s="73"/>
      <c r="H60" s="73"/>
      <c r="I60" s="73"/>
      <c r="J60" s="73"/>
      <c r="K60" s="73"/>
      <c r="L60" s="73"/>
      <c r="M60" s="73"/>
      <c r="N60" s="76"/>
      <c r="O60" s="76"/>
      <c r="P60" s="76"/>
      <c r="Q60" s="76"/>
      <c r="R60" s="76"/>
      <c r="S60" s="76"/>
      <c r="T60" s="76"/>
      <c r="U60" s="76"/>
      <c r="W60" s="6"/>
    </row>
    <row r="61" spans="2:23" s="69" customFormat="1" ht="15" x14ac:dyDescent="0.25">
      <c r="B61" s="6"/>
      <c r="C61" s="527"/>
      <c r="D61" s="548"/>
      <c r="E61" s="548"/>
      <c r="F61" s="548"/>
      <c r="G61" s="548"/>
      <c r="H61" s="548"/>
      <c r="I61" s="548"/>
      <c r="J61" s="548"/>
      <c r="K61" s="548"/>
      <c r="L61" s="548"/>
      <c r="M61" s="548"/>
      <c r="N61" s="552"/>
      <c r="O61" s="552"/>
      <c r="P61" s="552"/>
      <c r="Q61" s="552"/>
      <c r="R61" s="552"/>
      <c r="S61" s="552"/>
      <c r="T61" s="552"/>
      <c r="U61" s="552"/>
      <c r="W61" s="6"/>
    </row>
    <row r="62" spans="2:23" s="69" customFormat="1" ht="15" x14ac:dyDescent="0.25">
      <c r="B62" s="6"/>
      <c r="C62" s="544"/>
      <c r="D62" s="548"/>
      <c r="E62" s="73"/>
      <c r="F62" s="73"/>
      <c r="G62" s="73"/>
      <c r="H62" s="73"/>
      <c r="I62" s="73"/>
      <c r="J62" s="73"/>
      <c r="K62" s="73"/>
      <c r="L62" s="73"/>
      <c r="M62" s="73"/>
      <c r="N62" s="76"/>
      <c r="O62" s="76"/>
      <c r="P62" s="76"/>
      <c r="Q62" s="76"/>
      <c r="R62" s="76"/>
      <c r="S62" s="76"/>
      <c r="T62" s="76"/>
      <c r="U62" s="552"/>
      <c r="V62" s="543"/>
      <c r="W62" s="6"/>
    </row>
    <row r="63" spans="2:23" s="69" customFormat="1" ht="15" x14ac:dyDescent="0.25">
      <c r="B63" s="6"/>
      <c r="C63" s="544"/>
      <c r="D63" s="548"/>
      <c r="E63" s="73"/>
      <c r="F63" s="73"/>
      <c r="G63" s="73"/>
      <c r="H63" s="73"/>
      <c r="I63" s="73"/>
      <c r="J63" s="73"/>
      <c r="K63" s="73"/>
      <c r="L63" s="73" t="s">
        <v>747</v>
      </c>
      <c r="M63" s="73" t="s">
        <v>748</v>
      </c>
      <c r="N63" s="73" t="s">
        <v>749</v>
      </c>
      <c r="O63" s="76" t="s">
        <v>750</v>
      </c>
      <c r="P63" s="76"/>
      <c r="Q63" s="73" t="s">
        <v>751</v>
      </c>
      <c r="R63" s="73" t="s">
        <v>753</v>
      </c>
      <c r="S63" s="73" t="s">
        <v>752</v>
      </c>
      <c r="T63" s="73" t="s">
        <v>754</v>
      </c>
      <c r="U63" s="552"/>
      <c r="V63" s="543"/>
      <c r="W63" s="6"/>
    </row>
    <row r="64" spans="2:23" s="69" customFormat="1" ht="15" x14ac:dyDescent="0.25">
      <c r="B64" s="6"/>
      <c r="C64" s="544"/>
      <c r="D64" s="548"/>
      <c r="E64" s="73" t="s">
        <v>746</v>
      </c>
      <c r="F64" s="73"/>
      <c r="G64" s="73"/>
      <c r="H64" s="73"/>
      <c r="I64" s="73"/>
      <c r="J64" s="73"/>
      <c r="K64" s="73" t="s">
        <v>629</v>
      </c>
      <c r="L64" s="77">
        <f>IF(HLOOKUP(L$63,breastfeeding,selection+1,FALSE) = "n/a", "", HLOOKUP(L$63,breastfeeding,selection+1,FALSE))</f>
        <v>0.4660727025222357</v>
      </c>
      <c r="M64" s="77">
        <f>IF(HLOOKUP(M$63,breastfeeding,selection+1,FALSE) = "n/a", "", HLOOKUP(M$63,breastfeeding,selection+1,FALSE))</f>
        <v>0.61177357998414772</v>
      </c>
      <c r="N64" s="77">
        <f>IF(HLOOKUP(N$63,breastfeeding,selection+1,FALSE) = "n/a", "", HLOOKUP(N$63,breastfeeding,selection+1,FALSE))</f>
        <v>0.34456265326077334</v>
      </c>
      <c r="O64" s="77">
        <f>IF(HLOOKUP(O$63,breastfeeding,selection+1,FALSE) = "n/a", "", HLOOKUP(O$63,breastfeeding,selection+1,FALSE))</f>
        <v>0.48862388422554792</v>
      </c>
      <c r="P64" s="73" t="s">
        <v>629</v>
      </c>
      <c r="Q64" s="291">
        <f>H67-L64</f>
        <v>7.3700024750491588E-2</v>
      </c>
      <c r="R64" s="291">
        <f>F67-N64</f>
        <v>7.0210074011953949E-2</v>
      </c>
      <c r="S64" s="291">
        <f>M64-H67</f>
        <v>7.2000852711420427E-2</v>
      </c>
      <c r="T64" s="291">
        <f>O64-F67</f>
        <v>7.3851156952820629E-2</v>
      </c>
      <c r="U64" s="552"/>
      <c r="V64" s="543"/>
      <c r="W64" s="6"/>
    </row>
    <row r="65" spans="2:23" ht="15" x14ac:dyDescent="0.25">
      <c r="B65" s="6"/>
      <c r="C65" s="544"/>
      <c r="D65" s="548"/>
      <c r="E65" s="76"/>
      <c r="F65" s="807" t="s">
        <v>993</v>
      </c>
      <c r="G65" s="807"/>
      <c r="H65" s="807" t="s">
        <v>994</v>
      </c>
      <c r="I65" s="807"/>
      <c r="J65" s="73"/>
      <c r="K65" s="73"/>
      <c r="L65" s="77">
        <f>IF(HLOOKUP(L$63,breastfeeding,selection2+1,FALSE) = "n/a", "", HLOOKUP(L$63,breastfeeding,selection2+1,FALSE))</f>
        <v>0.48889394915995515</v>
      </c>
      <c r="M65" s="77">
        <f>IF(HLOOKUP(M$63,breastfeeding,selection2+1,FALSE) = "n/a", "", HLOOKUP(M$63,breastfeeding,selection2+1,FALSE))</f>
        <v>0.66089917864669501</v>
      </c>
      <c r="N65" s="77">
        <f>IF(HLOOKUP(N$63,breastfeeding,selection2+1,FALSE) = "n/a", "", HLOOKUP(N$63,breastfeeding,selection2+1,FALSE))</f>
        <v>0.33144299050634901</v>
      </c>
      <c r="O65" s="77">
        <f>IF(HLOOKUP(O$63,breastfeeding,selection2+1,FALSE) = "n/a", "", HLOOKUP(O$63,breastfeeding,selection2+1,FALSE))</f>
        <v>0.50299618402314283</v>
      </c>
      <c r="P65" s="76"/>
      <c r="Q65" s="291">
        <f>IF(L65 = "", "", H68-L65)</f>
        <v>8.8341823197768454E-2</v>
      </c>
      <c r="R65" s="291">
        <f>IF(N65 = "", "", F68-N65)</f>
        <v>8.3191155835114383E-2</v>
      </c>
      <c r="S65" s="291">
        <f>IF(M65 = "", "", M65-H68)</f>
        <v>8.3663406288971398E-2</v>
      </c>
      <c r="T65" s="291">
        <f>IF(O65 = "", "",O65-F68)</f>
        <v>8.836203768167944E-2</v>
      </c>
      <c r="U65" s="552"/>
      <c r="V65" s="543"/>
      <c r="W65" s="6"/>
    </row>
    <row r="66" spans="2:23" ht="15" x14ac:dyDescent="0.25">
      <c r="B66" s="6"/>
      <c r="C66" s="544"/>
      <c r="D66" s="548"/>
      <c r="E66" s="73"/>
      <c r="F66" s="76" t="s">
        <v>629</v>
      </c>
      <c r="G66" s="73" t="s">
        <v>511</v>
      </c>
      <c r="H66" s="76" t="s">
        <v>629</v>
      </c>
      <c r="I66" s="73" t="s">
        <v>511</v>
      </c>
      <c r="J66" s="76"/>
      <c r="K66" s="76"/>
      <c r="L66" s="542">
        <f>Data!FL76</f>
        <v>0.54344199999999998</v>
      </c>
      <c r="M66" s="542">
        <f>Data!FM76</f>
        <v>0.56481099999999995</v>
      </c>
      <c r="N66" s="542">
        <f>Data!FJ76</f>
        <v>0.41036256656596182</v>
      </c>
      <c r="O66" s="542">
        <f>Data!FK76</f>
        <v>0.43158775128549393</v>
      </c>
      <c r="P66" s="76"/>
      <c r="Q66" s="291">
        <f>H69-L66</f>
        <v>1.0709624548736474E-2</v>
      </c>
      <c r="R66" s="291">
        <f>F69-N66</f>
        <v>1.0576061592882935E-2</v>
      </c>
      <c r="S66" s="291">
        <f>M66-H69</f>
        <v>1.0659375451263498E-2</v>
      </c>
      <c r="T66" s="291">
        <f>O66-F69</f>
        <v>1.0649123126649174E-2</v>
      </c>
      <c r="U66" s="552"/>
      <c r="V66" s="543"/>
      <c r="W66" s="6"/>
    </row>
    <row r="67" spans="2:23" ht="15" x14ac:dyDescent="0.25">
      <c r="B67" s="6"/>
      <c r="C67" s="544"/>
      <c r="D67" s="548"/>
      <c r="E67" s="73" t="str">
        <f>L40</f>
        <v>Kingston Buci</v>
      </c>
      <c r="F67" s="77">
        <f>IF(HLOOKUP(E64,breastfeeding,selection+1,FALSE) = "", "", HLOOKUP(E64,breastfeeding,selection+1,FALSE))</f>
        <v>0.41477272727272729</v>
      </c>
      <c r="G67" s="291">
        <f>L56</f>
        <v>0.42857142857142855</v>
      </c>
      <c r="H67" s="291">
        <f>IF(L49 = "", "", L49)</f>
        <v>0.53977272727272729</v>
      </c>
      <c r="I67" s="291">
        <f>L58</f>
        <v>0.64935064935064934</v>
      </c>
      <c r="J67" s="76"/>
      <c r="K67" s="73" t="s">
        <v>511</v>
      </c>
      <c r="L67" s="77">
        <f>HLOOKUP(L$63,breastfeeding1415,selection+1,FALSE)</f>
        <v>0.57118588919922308</v>
      </c>
      <c r="M67" s="77">
        <f>HLOOKUP(M$63,breastfeeding1415,selection+1,FALSE)</f>
        <v>0.72024578118501614</v>
      </c>
      <c r="N67" s="77">
        <f>HLOOKUP(N$63,breastfeeding1415,selection+1,FALSE)</f>
        <v>0.35308796768751771</v>
      </c>
      <c r="O67" s="77">
        <f>HLOOKUP(O$63,breastfeeding1415,selection+1,FALSE)</f>
        <v>0.50753166821567219</v>
      </c>
      <c r="P67" s="76" t="s">
        <v>511</v>
      </c>
      <c r="Q67" s="291">
        <f>I67-L67</f>
        <v>7.816476015142626E-2</v>
      </c>
      <c r="R67" s="292">
        <f>G67-N67</f>
        <v>7.5483460883910836E-2</v>
      </c>
      <c r="S67" s="291">
        <f>M67-I67</f>
        <v>7.0895131834366798E-2</v>
      </c>
      <c r="T67" s="291">
        <f>O67-G67</f>
        <v>7.8960239644243646E-2</v>
      </c>
      <c r="U67" s="552"/>
      <c r="V67" s="543"/>
      <c r="W67" s="6"/>
    </row>
    <row r="68" spans="2:23" ht="15" x14ac:dyDescent="0.25">
      <c r="B68" s="6"/>
      <c r="C68" s="544"/>
      <c r="D68" s="548"/>
      <c r="E68" s="73" t="str">
        <f>N40</f>
        <v>Stepping Stones</v>
      </c>
      <c r="F68" s="77">
        <f>IF(HLOOKUP(E64,breastfeeding,selection2+1, FALSE) = "n/a", "", HLOOKUP(E64,breastfeeding,selection2+1, FALSE) )</f>
        <v>0.41463414634146339</v>
      </c>
      <c r="G68" s="291">
        <f>N56</f>
        <v>0.36274509803921567</v>
      </c>
      <c r="H68" s="291">
        <f>N49</f>
        <v>0.57723577235772361</v>
      </c>
      <c r="I68" s="291">
        <f>N58</f>
        <v>0.5</v>
      </c>
      <c r="J68" s="76"/>
      <c r="K68" s="73"/>
      <c r="L68" s="77">
        <f>HLOOKUP(L$63,breastfeeding1415,selection2+1,FALSE)</f>
        <v>0.40474447240912587</v>
      </c>
      <c r="M68" s="77">
        <f>HLOOKUP(M$63,breastfeeding1415,selection2+1,FALSE)</f>
        <v>0.59525552759087419</v>
      </c>
      <c r="N68" s="77">
        <f>HLOOKUP(N$63,breastfeeding1415,selection2+1,FALSE)</f>
        <v>0.27599510544732719</v>
      </c>
      <c r="O68" s="77">
        <f>HLOOKUP(O$63,breastfeeding1415,selection2+1,FALSE)</f>
        <v>0.45945827631836861</v>
      </c>
      <c r="P68" s="76"/>
      <c r="Q68" s="291">
        <f>I68-L68</f>
        <v>9.5255527590874134E-2</v>
      </c>
      <c r="R68" s="292">
        <f>G68-N68</f>
        <v>8.6749992591888481E-2</v>
      </c>
      <c r="S68" s="291">
        <f>M68-I68</f>
        <v>9.5255527590874189E-2</v>
      </c>
      <c r="T68" s="291">
        <f>O68-G68</f>
        <v>9.6713178279152934E-2</v>
      </c>
      <c r="U68" s="552"/>
      <c r="V68" s="543"/>
      <c r="W68" s="6"/>
    </row>
    <row r="69" spans="2:23" ht="15" x14ac:dyDescent="0.25">
      <c r="B69" s="6"/>
      <c r="C69" s="544"/>
      <c r="D69" s="548"/>
      <c r="E69" s="73" t="str">
        <f>P40</f>
        <v>West Sussex</v>
      </c>
      <c r="F69" s="292">
        <f>P47</f>
        <v>0.42093862815884475</v>
      </c>
      <c r="G69" s="292">
        <f>P56</f>
        <v>0.40456351749775671</v>
      </c>
      <c r="H69" s="291">
        <f>P49</f>
        <v>0.55415162454873645</v>
      </c>
      <c r="I69" s="291">
        <f>P58</f>
        <v>0.56326112036918341</v>
      </c>
      <c r="J69" s="76"/>
      <c r="K69" s="76"/>
      <c r="L69" s="542">
        <f>Data!FV76</f>
        <v>0.55222641414261608</v>
      </c>
      <c r="M69" s="542">
        <f>Data!FW76</f>
        <v>0.5742335537129174</v>
      </c>
      <c r="N69" s="542">
        <f>Data!FT76</f>
        <v>0.39372166155286392</v>
      </c>
      <c r="O69" s="542">
        <f>Data!FU76</f>
        <v>0.41549931905819043</v>
      </c>
      <c r="P69" s="76"/>
      <c r="Q69" s="291">
        <f>I69-L69</f>
        <v>1.1034706226567326E-2</v>
      </c>
      <c r="R69" s="292">
        <f>G69-N69</f>
        <v>1.0841855944892786E-2</v>
      </c>
      <c r="S69" s="291">
        <f>M69-I69</f>
        <v>1.0972433343733989E-2</v>
      </c>
      <c r="T69" s="291">
        <f>O69-G69</f>
        <v>1.0935801560433722E-2</v>
      </c>
      <c r="U69" s="552"/>
      <c r="V69" s="543"/>
      <c r="W69" s="6"/>
    </row>
    <row r="70" spans="2:23" ht="15" x14ac:dyDescent="0.25">
      <c r="B70" s="6"/>
      <c r="C70" s="544"/>
      <c r="D70" s="552"/>
      <c r="E70" s="76"/>
      <c r="F70" s="76"/>
      <c r="G70" s="76"/>
      <c r="H70" s="76"/>
      <c r="I70" s="76"/>
      <c r="J70" s="76"/>
      <c r="K70" s="76"/>
      <c r="L70" s="76"/>
      <c r="M70" s="76"/>
      <c r="N70" s="76"/>
      <c r="O70" s="76"/>
      <c r="P70" s="76"/>
      <c r="Q70" s="76"/>
      <c r="R70" s="76"/>
      <c r="S70" s="76"/>
      <c r="T70" s="76"/>
      <c r="U70" s="552"/>
      <c r="V70" s="543"/>
      <c r="W70" s="6"/>
    </row>
    <row r="71" spans="2:23" ht="15" x14ac:dyDescent="0.25">
      <c r="B71" s="6"/>
      <c r="C71" s="544"/>
      <c r="D71" s="552"/>
      <c r="E71" s="552"/>
      <c r="F71" s="552"/>
      <c r="G71" s="552"/>
      <c r="H71" s="552"/>
      <c r="I71" s="552"/>
      <c r="J71" s="552"/>
      <c r="K71" s="552"/>
      <c r="L71" s="552"/>
      <c r="M71" s="552"/>
      <c r="N71" s="552"/>
      <c r="O71" s="552"/>
      <c r="P71" s="552"/>
      <c r="Q71" s="552"/>
      <c r="R71" s="552"/>
      <c r="S71" s="552"/>
      <c r="T71" s="552"/>
      <c r="U71" s="552"/>
      <c r="V71" s="543"/>
      <c r="W71" s="6"/>
    </row>
    <row r="72" spans="2:23" ht="15" x14ac:dyDescent="0.25">
      <c r="B72" s="6"/>
      <c r="C72" s="544"/>
      <c r="D72" s="76"/>
      <c r="E72" s="76"/>
      <c r="F72" s="76"/>
      <c r="G72" s="76"/>
      <c r="H72" s="76"/>
      <c r="I72" s="76"/>
      <c r="J72" s="76"/>
      <c r="K72" s="76"/>
      <c r="L72" s="76"/>
      <c r="M72" s="76"/>
      <c r="N72" s="76"/>
      <c r="O72" s="76"/>
      <c r="P72" s="76"/>
      <c r="Q72" s="76"/>
      <c r="R72" s="76"/>
      <c r="S72" s="76"/>
      <c r="T72" s="76"/>
      <c r="U72" s="76"/>
      <c r="V72" s="543"/>
      <c r="W72" s="6"/>
    </row>
    <row r="73" spans="2:23" s="69" customFormat="1" ht="15" x14ac:dyDescent="0.25">
      <c r="B73" s="6"/>
      <c r="C73" s="273"/>
      <c r="D73" s="76"/>
      <c r="E73" s="76"/>
      <c r="F73" s="76"/>
      <c r="G73" s="76"/>
      <c r="H73" s="76"/>
      <c r="I73" s="76"/>
      <c r="J73" s="76"/>
      <c r="K73" s="76"/>
      <c r="L73" s="76"/>
      <c r="M73" s="76"/>
      <c r="N73" s="76"/>
      <c r="O73" s="76"/>
      <c r="P73" s="76"/>
      <c r="Q73" s="76"/>
      <c r="R73" s="76"/>
      <c r="S73" s="76"/>
      <c r="T73" s="76"/>
      <c r="U73" s="76"/>
      <c r="V73" s="543"/>
      <c r="W73" s="6"/>
    </row>
    <row r="74" spans="2:23" s="69" customFormat="1" ht="15" x14ac:dyDescent="0.25">
      <c r="B74" s="6"/>
      <c r="C74" s="273"/>
      <c r="D74" s="76"/>
      <c r="E74" s="76"/>
      <c r="F74" s="76"/>
      <c r="G74" s="76"/>
      <c r="H74" s="76"/>
      <c r="I74" s="76"/>
      <c r="J74" s="76"/>
      <c r="K74" s="76"/>
      <c r="L74" s="76"/>
      <c r="M74" s="76"/>
      <c r="N74" s="76"/>
      <c r="O74" s="76"/>
      <c r="P74" s="76"/>
      <c r="Q74" s="76"/>
      <c r="R74" s="76"/>
      <c r="S74" s="76"/>
      <c r="T74" s="76"/>
      <c r="U74" s="76"/>
      <c r="V74" s="543"/>
      <c r="W74" s="6"/>
    </row>
    <row r="75" spans="2:23" s="69" customFormat="1" ht="15" x14ac:dyDescent="0.25">
      <c r="B75" s="6"/>
      <c r="C75" s="273"/>
      <c r="D75" s="76"/>
      <c r="E75" s="76"/>
      <c r="F75" s="76"/>
      <c r="G75" s="76"/>
      <c r="H75" s="76"/>
      <c r="I75" s="76"/>
      <c r="J75" s="76"/>
      <c r="K75" s="76"/>
      <c r="L75" s="76"/>
      <c r="M75" s="76"/>
      <c r="N75" s="76"/>
      <c r="O75" s="76"/>
      <c r="P75" s="76"/>
      <c r="Q75" s="76"/>
      <c r="R75" s="76"/>
      <c r="S75" s="76"/>
      <c r="T75" s="76"/>
      <c r="U75" s="76"/>
      <c r="V75" s="543"/>
      <c r="W75" s="6"/>
    </row>
    <row r="76" spans="2:23" s="69" customFormat="1" ht="15" x14ac:dyDescent="0.25">
      <c r="B76" s="6"/>
      <c r="C76" s="273"/>
      <c r="D76" s="73"/>
      <c r="E76" s="73"/>
      <c r="F76" s="73"/>
      <c r="G76" s="73"/>
      <c r="H76" s="73"/>
      <c r="I76" s="73"/>
      <c r="J76" s="73"/>
      <c r="K76" s="73"/>
      <c r="L76" s="73"/>
      <c r="M76" s="73"/>
      <c r="N76" s="76"/>
      <c r="O76" s="76"/>
      <c r="P76" s="76"/>
      <c r="Q76" s="76"/>
      <c r="R76" s="76"/>
      <c r="S76" s="76"/>
      <c r="T76" s="76"/>
      <c r="U76" s="76"/>
      <c r="W76" s="6"/>
    </row>
    <row r="77" spans="2:23" s="69" customFormat="1" ht="15" x14ac:dyDescent="0.25">
      <c r="B77" s="6"/>
      <c r="C77" s="273"/>
      <c r="D77" s="73"/>
      <c r="E77" s="73"/>
      <c r="F77" s="73"/>
      <c r="G77" s="73"/>
      <c r="H77" s="73"/>
      <c r="I77" s="73"/>
      <c r="J77" s="73"/>
      <c r="K77" s="73"/>
      <c r="L77" s="73"/>
      <c r="M77" s="73"/>
      <c r="N77" s="76"/>
      <c r="O77" s="76"/>
      <c r="P77" s="76"/>
      <c r="Q77" s="76"/>
      <c r="R77" s="76"/>
      <c r="S77" s="76"/>
      <c r="T77" s="76"/>
      <c r="U77" s="76"/>
      <c r="W77" s="6"/>
    </row>
    <row r="78" spans="2:23" s="69" customFormat="1" ht="15" x14ac:dyDescent="0.25">
      <c r="B78" s="6"/>
      <c r="C78" s="273"/>
      <c r="D78" s="273"/>
      <c r="E78" s="273"/>
      <c r="F78" s="273"/>
      <c r="G78" s="273"/>
      <c r="H78" s="273"/>
      <c r="I78" s="273"/>
      <c r="J78" s="273"/>
      <c r="K78" s="273"/>
      <c r="L78" s="273"/>
      <c r="M78" s="273"/>
      <c r="W78" s="6"/>
    </row>
    <row r="79" spans="2:23" ht="15" x14ac:dyDescent="0.25">
      <c r="B79" s="6"/>
      <c r="C79" s="103"/>
      <c r="D79" s="103"/>
      <c r="E79" s="103"/>
      <c r="F79" s="103"/>
      <c r="G79" s="103"/>
      <c r="H79" s="103"/>
      <c r="I79" s="103"/>
      <c r="J79" s="103"/>
      <c r="K79" s="103"/>
      <c r="L79" s="103"/>
      <c r="M79" s="103"/>
      <c r="N79" s="69"/>
      <c r="O79" s="69"/>
      <c r="Q79" s="69"/>
      <c r="R79" s="69"/>
      <c r="S79" s="69"/>
      <c r="T79" s="69"/>
      <c r="U79" s="69"/>
      <c r="V79" s="69"/>
      <c r="W79" s="6"/>
    </row>
    <row r="80" spans="2:23" ht="15" x14ac:dyDescent="0.25">
      <c r="B80" s="6"/>
      <c r="C80" s="103"/>
      <c r="D80" s="103"/>
      <c r="E80" s="103"/>
      <c r="F80" s="103"/>
      <c r="G80" s="103"/>
      <c r="H80" s="103"/>
      <c r="I80" s="103"/>
      <c r="J80" s="103"/>
      <c r="K80" s="103"/>
      <c r="L80" s="103"/>
      <c r="M80" s="103"/>
      <c r="N80" s="69"/>
      <c r="O80" s="69"/>
      <c r="Q80" s="69"/>
      <c r="R80" s="69"/>
      <c r="S80" s="69"/>
      <c r="T80" s="69"/>
      <c r="U80" s="69"/>
      <c r="V80" s="69"/>
      <c r="W80" s="6"/>
    </row>
    <row r="81" spans="2:23" ht="15" x14ac:dyDescent="0.25">
      <c r="B81" s="6"/>
      <c r="C81" s="103"/>
      <c r="D81" s="103"/>
      <c r="E81" s="103"/>
      <c r="F81" s="103"/>
      <c r="G81" s="103"/>
      <c r="H81" s="103"/>
      <c r="I81" s="103"/>
      <c r="J81" s="103"/>
      <c r="K81" s="103"/>
      <c r="L81" s="103"/>
      <c r="M81" s="103"/>
      <c r="N81" s="69"/>
      <c r="O81" s="69"/>
      <c r="Q81" s="69"/>
      <c r="R81" s="69"/>
      <c r="S81" s="69"/>
      <c r="T81" s="69"/>
      <c r="U81" s="69"/>
      <c r="V81" s="69"/>
      <c r="W81" s="6"/>
    </row>
    <row r="82" spans="2:23" s="69" customFormat="1" ht="62.25" customHeight="1" x14ac:dyDescent="0.25">
      <c r="B82" s="6"/>
      <c r="C82" s="983" t="s">
        <v>504</v>
      </c>
      <c r="D82" s="983"/>
      <c r="E82" s="983"/>
      <c r="F82" s="983"/>
      <c r="G82" s="983"/>
      <c r="H82" s="983"/>
      <c r="I82" s="983"/>
      <c r="J82" s="983"/>
      <c r="K82" s="983"/>
      <c r="L82" s="983"/>
      <c r="M82" s="983"/>
      <c r="N82" s="983"/>
      <c r="O82" s="983"/>
      <c r="P82" s="983"/>
      <c r="Q82" s="983"/>
      <c r="R82" s="983"/>
      <c r="S82" s="983"/>
      <c r="T82" s="983"/>
      <c r="U82" s="983"/>
      <c r="W82" s="6"/>
    </row>
    <row r="83" spans="2:23" s="69" customFormat="1" ht="15" x14ac:dyDescent="0.25">
      <c r="B83" s="6"/>
      <c r="C83" s="976"/>
      <c r="D83" s="976"/>
      <c r="E83" s="976"/>
      <c r="F83" s="976"/>
      <c r="G83" s="976"/>
      <c r="H83" s="976"/>
      <c r="I83" s="976"/>
      <c r="J83" s="976"/>
      <c r="K83" s="976"/>
      <c r="L83" s="976"/>
      <c r="M83" s="976"/>
      <c r="W83" s="6"/>
    </row>
    <row r="84" spans="2:23" s="69" customFormat="1" ht="18" customHeight="1" x14ac:dyDescent="0.25">
      <c r="B84" s="6"/>
      <c r="C84" s="194" t="s">
        <v>518</v>
      </c>
      <c r="D84" s="160"/>
      <c r="E84" s="160"/>
      <c r="F84" s="160"/>
      <c r="G84" s="160"/>
      <c r="H84" s="160"/>
      <c r="I84" s="160"/>
      <c r="J84" s="160"/>
      <c r="K84" s="160"/>
      <c r="L84" s="160"/>
      <c r="M84" s="160"/>
      <c r="W84" s="6"/>
    </row>
    <row r="85" spans="2:23" s="69" customFormat="1" ht="34.5" customHeight="1" x14ac:dyDescent="0.2">
      <c r="B85" s="6"/>
      <c r="C85" s="984" t="s">
        <v>505</v>
      </c>
      <c r="D85" s="984"/>
      <c r="E85" s="984"/>
      <c r="F85" s="984"/>
      <c r="G85" s="984"/>
      <c r="H85" s="984"/>
      <c r="I85" s="984"/>
      <c r="J85" s="984"/>
      <c r="K85" s="984"/>
      <c r="L85" s="984"/>
      <c r="M85" s="984"/>
      <c r="N85" s="984"/>
      <c r="O85" s="984"/>
      <c r="P85" s="984"/>
      <c r="Q85" s="984"/>
      <c r="R85" s="984"/>
      <c r="S85" s="984"/>
      <c r="T85" s="984"/>
      <c r="U85" s="984"/>
      <c r="W85" s="6"/>
    </row>
    <row r="86" spans="2:23" s="69" customFormat="1" ht="15" x14ac:dyDescent="0.25">
      <c r="B86" s="6"/>
      <c r="C86" s="159"/>
      <c r="D86" s="160"/>
      <c r="E86" s="160"/>
      <c r="F86" s="160"/>
      <c r="G86" s="160"/>
      <c r="H86" s="160"/>
      <c r="I86" s="160"/>
      <c r="J86" s="160"/>
      <c r="K86" s="160"/>
      <c r="L86" s="160"/>
      <c r="M86" s="160"/>
      <c r="W86" s="6"/>
    </row>
    <row r="87" spans="2:23" s="69" customFormat="1" ht="15" x14ac:dyDescent="0.25">
      <c r="B87" s="6"/>
      <c r="C87" s="161" t="s">
        <v>506</v>
      </c>
      <c r="D87" s="162"/>
      <c r="E87" s="160"/>
      <c r="F87" s="160"/>
      <c r="G87" s="160"/>
      <c r="H87" s="160"/>
      <c r="I87" s="160"/>
      <c r="J87" s="160"/>
      <c r="K87" s="160"/>
      <c r="L87" s="160"/>
      <c r="M87" s="160"/>
      <c r="W87" s="6"/>
    </row>
    <row r="88" spans="2:23" s="69" customFormat="1" ht="15" x14ac:dyDescent="0.25">
      <c r="B88" s="6"/>
      <c r="C88" s="161" t="s">
        <v>507</v>
      </c>
      <c r="D88" s="162"/>
      <c r="E88" s="160"/>
      <c r="F88" s="160"/>
      <c r="G88" s="160"/>
      <c r="H88" s="160"/>
      <c r="I88" s="160"/>
      <c r="J88" s="160"/>
      <c r="K88" s="160"/>
      <c r="L88" s="160"/>
      <c r="M88" s="160"/>
      <c r="W88" s="6"/>
    </row>
    <row r="89" spans="2:23" s="69" customFormat="1" ht="15" x14ac:dyDescent="0.25">
      <c r="B89" s="6"/>
      <c r="C89" s="163" t="s">
        <v>508</v>
      </c>
      <c r="D89" s="158"/>
      <c r="E89" s="103"/>
      <c r="F89" s="103"/>
      <c r="G89" s="103"/>
      <c r="H89" s="103"/>
      <c r="I89" s="103"/>
      <c r="J89" s="103"/>
      <c r="K89" s="103"/>
      <c r="L89" s="103"/>
      <c r="M89" s="103"/>
      <c r="W89" s="6"/>
    </row>
    <row r="90" spans="2:23" s="69" customFormat="1" ht="15" x14ac:dyDescent="0.25">
      <c r="B90" s="6"/>
      <c r="C90" s="163"/>
      <c r="D90" s="158"/>
      <c r="E90" s="103"/>
      <c r="F90" s="103"/>
      <c r="G90" s="103"/>
      <c r="H90" s="103"/>
      <c r="I90" s="103"/>
      <c r="J90" s="103"/>
      <c r="K90" s="103"/>
      <c r="L90" s="103"/>
      <c r="M90" s="103"/>
      <c r="W90" s="6"/>
    </row>
    <row r="91" spans="2:23" s="69" customFormat="1" ht="15" x14ac:dyDescent="0.25">
      <c r="B91" s="6"/>
      <c r="C91" s="103"/>
      <c r="D91" s="737" t="s">
        <v>519</v>
      </c>
      <c r="E91" s="738"/>
      <c r="F91" s="738"/>
      <c r="G91" s="738"/>
      <c r="H91" s="738"/>
      <c r="I91" s="738"/>
      <c r="J91" s="739"/>
      <c r="K91" s="977" t="s">
        <v>510</v>
      </c>
      <c r="L91" s="978"/>
      <c r="M91" s="978"/>
      <c r="N91" s="979"/>
      <c r="O91" s="977" t="s">
        <v>511</v>
      </c>
      <c r="P91" s="978"/>
      <c r="Q91" s="978"/>
      <c r="R91" s="979"/>
      <c r="W91" s="6"/>
    </row>
    <row r="92" spans="2:23" s="69" customFormat="1" ht="15" x14ac:dyDescent="0.25">
      <c r="B92" s="6"/>
      <c r="C92" s="103"/>
      <c r="D92" s="740"/>
      <c r="E92" s="741"/>
      <c r="F92" s="741"/>
      <c r="G92" s="741"/>
      <c r="H92" s="741"/>
      <c r="I92" s="741"/>
      <c r="J92" s="742"/>
      <c r="K92" s="980"/>
      <c r="L92" s="981"/>
      <c r="M92" s="981"/>
      <c r="N92" s="982"/>
      <c r="O92" s="980"/>
      <c r="P92" s="981"/>
      <c r="Q92" s="981"/>
      <c r="R92" s="982"/>
      <c r="W92" s="6"/>
    </row>
    <row r="93" spans="2:23" s="69" customFormat="1" ht="15" x14ac:dyDescent="0.25">
      <c r="B93" s="6"/>
      <c r="C93" s="103"/>
      <c r="D93" s="743"/>
      <c r="E93" s="744"/>
      <c r="F93" s="744"/>
      <c r="G93" s="744"/>
      <c r="H93" s="744"/>
      <c r="I93" s="744"/>
      <c r="J93" s="745"/>
      <c r="K93" s="164" t="s">
        <v>512</v>
      </c>
      <c r="L93" s="164" t="s">
        <v>513</v>
      </c>
      <c r="M93" s="164" t="s">
        <v>514</v>
      </c>
      <c r="N93" s="164" t="s">
        <v>515</v>
      </c>
      <c r="O93" s="164" t="s">
        <v>512</v>
      </c>
      <c r="P93" s="164" t="s">
        <v>513</v>
      </c>
      <c r="Q93" s="164" t="s">
        <v>514</v>
      </c>
      <c r="R93" s="164" t="s">
        <v>515</v>
      </c>
      <c r="W93" s="6"/>
    </row>
    <row r="94" spans="2:23" s="69" customFormat="1" ht="20.25" customHeight="1" x14ac:dyDescent="0.25">
      <c r="B94" s="6"/>
      <c r="C94" s="103"/>
      <c r="D94" s="974" t="s">
        <v>269</v>
      </c>
      <c r="E94" s="975"/>
      <c r="F94" s="975"/>
      <c r="G94" s="975"/>
      <c r="H94" s="975"/>
      <c r="I94" s="975"/>
      <c r="J94" s="975"/>
      <c r="K94" s="175">
        <v>0.498</v>
      </c>
      <c r="L94" s="192">
        <v>0.42880523731587561</v>
      </c>
      <c r="M94" s="183">
        <v>0.3390894819466248</v>
      </c>
      <c r="N94" s="183">
        <v>0.3637236084452975</v>
      </c>
      <c r="O94" s="187">
        <v>0.3445149592021759</v>
      </c>
      <c r="P94" s="183">
        <v>0.24902723735408561</v>
      </c>
      <c r="Q94" s="176">
        <v>0.23868677905944988</v>
      </c>
      <c r="R94" s="176">
        <v>0.20950704225352113</v>
      </c>
      <c r="W94" s="6"/>
    </row>
    <row r="95" spans="2:23" s="69" customFormat="1" ht="20.25" customHeight="1" x14ac:dyDescent="0.25">
      <c r="B95" s="6"/>
      <c r="C95" s="103"/>
      <c r="D95" s="974" t="s">
        <v>270</v>
      </c>
      <c r="E95" s="975"/>
      <c r="F95" s="975"/>
      <c r="G95" s="975"/>
      <c r="H95" s="975"/>
      <c r="I95" s="975"/>
      <c r="J95" s="975"/>
      <c r="K95" s="177">
        <v>0.55844155844155841</v>
      </c>
      <c r="L95" s="177">
        <v>0.40454545454545454</v>
      </c>
      <c r="M95" s="184">
        <v>0.40825688073394495</v>
      </c>
      <c r="N95" s="184">
        <v>0.3832199546485261</v>
      </c>
      <c r="O95" s="188">
        <v>0.39195979899497485</v>
      </c>
      <c r="P95" s="184">
        <v>0.34624697336561744</v>
      </c>
      <c r="Q95" s="178">
        <v>0.27033492822966509</v>
      </c>
      <c r="R95" s="178">
        <v>0.26735218508997427</v>
      </c>
      <c r="W95" s="6"/>
    </row>
    <row r="96" spans="2:23" s="69" customFormat="1" ht="20.25" customHeight="1" x14ac:dyDescent="0.25">
      <c r="B96" s="6"/>
      <c r="C96" s="103"/>
      <c r="D96" s="974" t="s">
        <v>271</v>
      </c>
      <c r="E96" s="975"/>
      <c r="F96" s="975"/>
      <c r="G96" s="975"/>
      <c r="H96" s="975"/>
      <c r="I96" s="975"/>
      <c r="J96" s="975"/>
      <c r="K96" s="179">
        <v>0.59099999999999997</v>
      </c>
      <c r="L96" s="193">
        <v>0.50701754385964914</v>
      </c>
      <c r="M96" s="185">
        <v>0.40063091482649843</v>
      </c>
      <c r="N96" s="185">
        <v>0.43016759776536312</v>
      </c>
      <c r="O96" s="189">
        <v>0.40217391304347827</v>
      </c>
      <c r="P96" s="185">
        <v>0.34353741496598639</v>
      </c>
      <c r="Q96" s="180">
        <v>0.32263814616755793</v>
      </c>
      <c r="R96" s="180">
        <v>0.31433506044905007</v>
      </c>
      <c r="W96" s="6"/>
    </row>
    <row r="97" spans="2:23" s="69" customFormat="1" ht="20.25" customHeight="1" x14ac:dyDescent="0.25">
      <c r="B97" s="6"/>
      <c r="C97" s="103"/>
      <c r="D97" s="974" t="s">
        <v>509</v>
      </c>
      <c r="E97" s="975"/>
      <c r="F97" s="975"/>
      <c r="G97" s="975"/>
      <c r="H97" s="975"/>
      <c r="I97" s="975"/>
      <c r="J97" s="975"/>
      <c r="K97" s="177">
        <v>0.59513776337115076</v>
      </c>
      <c r="L97" s="177">
        <v>0.56274340112505405</v>
      </c>
      <c r="M97" s="184">
        <v>0.56806529245579152</v>
      </c>
      <c r="N97" s="184">
        <v>0.57185663247666241</v>
      </c>
      <c r="O97" s="188">
        <v>0.49324606600751986</v>
      </c>
      <c r="P97" s="184">
        <v>0.4716832721552176</v>
      </c>
      <c r="Q97" s="178">
        <v>0.49552438209752842</v>
      </c>
      <c r="R97" s="178">
        <v>0.38761011651037225</v>
      </c>
      <c r="W97" s="6"/>
    </row>
    <row r="98" spans="2:23" s="69" customFormat="1" ht="20.25" customHeight="1" x14ac:dyDescent="0.25">
      <c r="B98" s="6"/>
      <c r="C98" s="103"/>
      <c r="D98" s="974" t="s">
        <v>294</v>
      </c>
      <c r="E98" s="975"/>
      <c r="F98" s="975"/>
      <c r="G98" s="975"/>
      <c r="H98" s="975"/>
      <c r="I98" s="975"/>
      <c r="J98" s="975"/>
      <c r="K98" s="181">
        <v>0.45743165632896854</v>
      </c>
      <c r="L98" s="181">
        <v>0.45729092546298339</v>
      </c>
      <c r="M98" s="191">
        <v>0.45666947521202467</v>
      </c>
      <c r="N98" s="191">
        <v>0.46152359727151515</v>
      </c>
      <c r="O98" s="190">
        <v>0.44600000000000001</v>
      </c>
      <c r="P98" s="186">
        <v>0.441</v>
      </c>
      <c r="Q98" s="182">
        <v>0.437</v>
      </c>
      <c r="R98" s="182">
        <v>0.42899999999999999</v>
      </c>
      <c r="W98" s="6"/>
    </row>
    <row r="99" spans="2:23" s="69" customFormat="1" ht="15" x14ac:dyDescent="0.25">
      <c r="B99" s="6"/>
      <c r="C99" s="103"/>
      <c r="D99" s="973" t="s">
        <v>517</v>
      </c>
      <c r="E99" s="973"/>
      <c r="F99" s="973"/>
      <c r="G99" s="973"/>
      <c r="H99" s="973"/>
      <c r="I99" s="973"/>
      <c r="J99" s="973"/>
      <c r="K99" s="973"/>
      <c r="L99" s="973"/>
      <c r="M99" s="103"/>
      <c r="W99" s="6"/>
    </row>
    <row r="100" spans="2:23" s="69" customFormat="1" ht="15" x14ac:dyDescent="0.25">
      <c r="B100" s="6"/>
      <c r="C100" s="103"/>
      <c r="D100" s="103"/>
      <c r="E100" s="103"/>
      <c r="F100" s="103"/>
      <c r="G100" s="103"/>
      <c r="H100" s="103"/>
      <c r="I100" s="103"/>
      <c r="J100" s="103"/>
      <c r="K100" s="103"/>
      <c r="L100" s="103"/>
      <c r="M100" s="103"/>
      <c r="W100" s="6"/>
    </row>
    <row r="101" spans="2:23" s="69" customFormat="1" ht="15" x14ac:dyDescent="0.25">
      <c r="B101" s="6"/>
      <c r="C101" s="103"/>
      <c r="D101" s="103"/>
      <c r="E101" s="103"/>
      <c r="F101" s="103"/>
      <c r="G101" s="103"/>
      <c r="H101" s="103"/>
      <c r="I101" s="103"/>
      <c r="J101" s="103"/>
      <c r="K101" s="103"/>
      <c r="L101" s="103"/>
      <c r="M101" s="103"/>
      <c r="W101" s="6"/>
    </row>
    <row r="102" spans="2:23" s="69" customFormat="1" ht="15" x14ac:dyDescent="0.25">
      <c r="B102" s="6"/>
      <c r="C102" s="5"/>
      <c r="D102" s="5"/>
      <c r="E102" s="5"/>
      <c r="F102" s="5"/>
      <c r="G102" s="5"/>
      <c r="H102" s="5"/>
      <c r="I102" s="5"/>
      <c r="J102" s="5"/>
      <c r="K102" s="5"/>
      <c r="L102" s="5"/>
      <c r="M102" s="5"/>
      <c r="N102" s="6"/>
      <c r="O102" s="6"/>
      <c r="P102" s="6"/>
      <c r="Q102" s="6"/>
      <c r="R102" s="6"/>
      <c r="S102" s="6"/>
      <c r="T102" s="6"/>
      <c r="U102" s="6"/>
      <c r="V102" s="6"/>
      <c r="W102" s="6"/>
    </row>
    <row r="103" spans="2:23" s="69" customFormat="1" ht="15" x14ac:dyDescent="0.25">
      <c r="B103" s="6"/>
      <c r="C103" s="5"/>
      <c r="D103" s="5"/>
      <c r="E103" s="5"/>
      <c r="F103" s="5"/>
      <c r="G103" s="5"/>
      <c r="H103" s="5"/>
      <c r="I103" s="5"/>
      <c r="J103" s="5"/>
      <c r="K103" s="5"/>
      <c r="L103" s="5"/>
      <c r="M103" s="5"/>
      <c r="N103" s="6"/>
      <c r="O103" s="6"/>
      <c r="P103" s="6"/>
      <c r="Q103" s="6"/>
      <c r="R103" s="6"/>
      <c r="S103" s="6"/>
      <c r="T103" s="6"/>
      <c r="U103" s="6"/>
      <c r="V103" s="6"/>
      <c r="W103" s="6"/>
    </row>
    <row r="104" spans="2:23" ht="15" x14ac:dyDescent="0.25">
      <c r="B104" s="6"/>
      <c r="C104" s="5"/>
      <c r="D104" s="5"/>
      <c r="E104" s="5"/>
      <c r="F104" s="5"/>
      <c r="G104" s="5"/>
      <c r="H104" s="5"/>
      <c r="I104" s="5"/>
      <c r="J104" s="5"/>
      <c r="K104" s="5"/>
      <c r="L104" s="5"/>
      <c r="M104" s="5"/>
      <c r="N104" s="6"/>
      <c r="O104" s="6"/>
      <c r="P104" s="6"/>
      <c r="Q104" s="6"/>
      <c r="R104" s="6"/>
      <c r="S104" s="6"/>
      <c r="T104" s="6"/>
      <c r="U104" s="6"/>
      <c r="V104" s="6"/>
      <c r="W104" s="6"/>
    </row>
    <row r="105" spans="2:23" ht="15" x14ac:dyDescent="0.25">
      <c r="B105" s="6"/>
      <c r="C105" s="165"/>
      <c r="D105" s="165"/>
      <c r="E105" s="165"/>
      <c r="F105" s="165"/>
      <c r="G105" s="165"/>
      <c r="H105" s="165"/>
      <c r="I105" s="165"/>
      <c r="J105" s="165"/>
      <c r="K105" s="165"/>
      <c r="L105" s="165"/>
      <c r="M105" s="165"/>
      <c r="N105" s="69"/>
      <c r="O105" s="69"/>
      <c r="Q105" s="69"/>
      <c r="R105" s="69"/>
      <c r="S105" s="69"/>
      <c r="T105" s="69"/>
      <c r="U105" s="69"/>
      <c r="V105" s="69"/>
      <c r="W105" s="6"/>
    </row>
    <row r="106" spans="2:23" ht="15" x14ac:dyDescent="0.25">
      <c r="B106" s="6"/>
      <c r="C106" s="165"/>
      <c r="D106" s="165"/>
      <c r="E106" s="165"/>
      <c r="F106" s="165"/>
      <c r="G106" s="165"/>
      <c r="H106" s="165"/>
      <c r="I106" s="165"/>
      <c r="J106" s="165"/>
      <c r="K106" s="165"/>
      <c r="L106" s="165"/>
      <c r="M106" s="165"/>
      <c r="N106" s="69"/>
      <c r="O106" s="69"/>
      <c r="Q106" s="69"/>
      <c r="R106" s="69"/>
      <c r="S106" s="69"/>
      <c r="T106" s="69"/>
      <c r="U106" s="69"/>
      <c r="V106" s="69"/>
      <c r="W106" s="6"/>
    </row>
    <row r="107" spans="2:23" ht="15" x14ac:dyDescent="0.25">
      <c r="B107" s="6"/>
      <c r="C107" s="165"/>
      <c r="D107" s="165"/>
      <c r="E107" s="165"/>
      <c r="F107" s="165"/>
      <c r="G107" s="165"/>
      <c r="H107" s="165"/>
      <c r="I107" s="165"/>
      <c r="J107" s="165"/>
      <c r="K107" s="165"/>
      <c r="L107" s="165"/>
      <c r="M107" s="165"/>
      <c r="N107" s="69"/>
      <c r="O107" s="69"/>
      <c r="Q107" s="69"/>
      <c r="R107" s="69"/>
      <c r="S107" s="69"/>
      <c r="T107" s="69"/>
      <c r="U107" s="69"/>
      <c r="V107" s="69"/>
      <c r="W107" s="6"/>
    </row>
    <row r="108" spans="2:23" ht="15" x14ac:dyDescent="0.25">
      <c r="B108" s="6"/>
      <c r="C108" s="165"/>
      <c r="D108" s="165"/>
      <c r="E108" s="165"/>
      <c r="F108" s="165"/>
      <c r="G108" s="165"/>
      <c r="H108" s="165"/>
      <c r="I108" s="165"/>
      <c r="J108" s="165"/>
      <c r="K108" s="165"/>
      <c r="L108" s="165"/>
      <c r="M108" s="165"/>
      <c r="N108" s="69"/>
      <c r="O108" s="69"/>
      <c r="Q108" s="69"/>
      <c r="R108" s="69"/>
      <c r="S108" s="69"/>
      <c r="T108" s="69"/>
      <c r="U108" s="69"/>
      <c r="V108" s="69"/>
      <c r="W108" s="6"/>
    </row>
    <row r="109" spans="2:23" ht="15" x14ac:dyDescent="0.25">
      <c r="B109" s="6"/>
      <c r="C109" s="165"/>
      <c r="D109" s="165"/>
      <c r="E109" s="165"/>
      <c r="F109" s="165"/>
      <c r="G109" s="165"/>
      <c r="H109" s="165"/>
      <c r="I109" s="165"/>
      <c r="J109" s="165"/>
      <c r="K109" s="165"/>
      <c r="L109" s="165"/>
      <c r="M109" s="165"/>
      <c r="N109" s="69"/>
      <c r="O109" s="69"/>
      <c r="Q109" s="69"/>
      <c r="R109" s="69"/>
      <c r="S109" s="69"/>
      <c r="T109" s="69"/>
      <c r="U109" s="69"/>
      <c r="V109" s="69"/>
      <c r="W109" s="6"/>
    </row>
    <row r="110" spans="2:23" ht="15" x14ac:dyDescent="0.25">
      <c r="B110" s="6"/>
      <c r="C110" s="165"/>
      <c r="D110" s="165"/>
      <c r="E110" s="165"/>
      <c r="F110" s="165"/>
      <c r="G110" s="165"/>
      <c r="H110" s="165"/>
      <c r="I110" s="165"/>
      <c r="J110" s="165"/>
      <c r="K110" s="165"/>
      <c r="L110" s="165"/>
      <c r="M110" s="165"/>
      <c r="N110" s="69"/>
      <c r="O110" s="69"/>
      <c r="Q110" s="69"/>
      <c r="R110" s="69"/>
      <c r="S110" s="69"/>
      <c r="T110" s="69"/>
      <c r="U110" s="69"/>
      <c r="V110" s="69"/>
      <c r="W110" s="6"/>
    </row>
    <row r="111" spans="2:23" ht="15" x14ac:dyDescent="0.25">
      <c r="B111" s="6"/>
      <c r="C111" s="165"/>
      <c r="D111" s="165"/>
      <c r="E111" s="165"/>
      <c r="F111" s="165"/>
      <c r="G111" s="165"/>
      <c r="H111" s="165"/>
      <c r="I111" s="165"/>
      <c r="J111" s="165"/>
      <c r="K111" s="165"/>
      <c r="L111" s="165"/>
      <c r="M111" s="165"/>
      <c r="N111" s="69"/>
      <c r="O111" s="69"/>
      <c r="Q111" s="69"/>
      <c r="R111" s="69"/>
      <c r="S111" s="69"/>
      <c r="T111" s="69"/>
      <c r="U111" s="69"/>
      <c r="V111" s="69"/>
      <c r="W111" s="6"/>
    </row>
    <row r="112" spans="2:23" ht="15" x14ac:dyDescent="0.25">
      <c r="B112" s="6"/>
      <c r="C112" s="165"/>
      <c r="D112" s="165"/>
      <c r="E112" s="165"/>
      <c r="F112" s="165"/>
      <c r="G112" s="165"/>
      <c r="H112" s="165"/>
      <c r="I112" s="165"/>
      <c r="J112" s="165"/>
      <c r="K112" s="165"/>
      <c r="L112" s="165"/>
      <c r="M112" s="165"/>
      <c r="N112" s="69"/>
      <c r="O112" s="69"/>
      <c r="Q112" s="69"/>
      <c r="R112" s="69"/>
      <c r="S112" s="69"/>
      <c r="T112" s="69"/>
      <c r="U112" s="69"/>
      <c r="V112" s="69"/>
      <c r="W112" s="6"/>
    </row>
    <row r="113" spans="2:23" x14ac:dyDescent="0.2">
      <c r="B113" s="6"/>
      <c r="C113" s="69"/>
      <c r="D113" s="69"/>
      <c r="E113" s="69"/>
      <c r="F113" s="69"/>
      <c r="G113" s="69"/>
      <c r="H113" s="69"/>
      <c r="I113" s="69"/>
      <c r="J113" s="69"/>
      <c r="K113" s="69"/>
      <c r="L113" s="69"/>
      <c r="M113" s="69"/>
      <c r="N113" s="69"/>
      <c r="O113" s="69"/>
      <c r="Q113" s="69"/>
      <c r="R113" s="69"/>
      <c r="S113" s="69"/>
      <c r="T113" s="69"/>
      <c r="U113" s="69"/>
      <c r="V113" s="69"/>
      <c r="W113" s="6"/>
    </row>
    <row r="114" spans="2:23" x14ac:dyDescent="0.2">
      <c r="B114" s="6"/>
      <c r="C114" s="69"/>
      <c r="D114" s="69"/>
      <c r="E114" s="69"/>
      <c r="F114" s="69"/>
      <c r="G114" s="69"/>
      <c r="H114" s="69"/>
      <c r="I114" s="69"/>
      <c r="J114" s="69"/>
      <c r="K114" s="69"/>
      <c r="L114" s="69"/>
      <c r="M114" s="69"/>
      <c r="N114" s="69"/>
      <c r="O114" s="69"/>
      <c r="Q114" s="69"/>
      <c r="R114" s="69"/>
      <c r="S114" s="69"/>
      <c r="T114" s="69"/>
      <c r="U114" s="69"/>
      <c r="V114" s="69"/>
      <c r="W114" s="6"/>
    </row>
    <row r="115" spans="2:23" x14ac:dyDescent="0.2">
      <c r="B115" s="6"/>
      <c r="C115" s="69"/>
      <c r="D115" s="69"/>
      <c r="E115" s="69"/>
      <c r="F115" s="69"/>
      <c r="G115" s="69"/>
      <c r="H115" s="69"/>
      <c r="I115" s="69"/>
      <c r="J115" s="69"/>
      <c r="K115" s="69"/>
      <c r="L115" s="69"/>
      <c r="M115" s="69"/>
      <c r="N115" s="69"/>
      <c r="O115" s="69"/>
      <c r="Q115" s="69"/>
      <c r="R115" s="69"/>
      <c r="S115" s="69"/>
      <c r="T115" s="69"/>
      <c r="U115" s="69"/>
      <c r="V115" s="69"/>
      <c r="W115" s="6"/>
    </row>
    <row r="116" spans="2:23" x14ac:dyDescent="0.2">
      <c r="B116" s="6"/>
      <c r="C116" s="69"/>
      <c r="D116" s="69"/>
      <c r="E116" s="69"/>
      <c r="F116" s="69"/>
      <c r="G116" s="69"/>
      <c r="H116" s="69"/>
      <c r="I116" s="69"/>
      <c r="J116" s="69"/>
      <c r="K116" s="69"/>
      <c r="L116" s="69"/>
      <c r="M116" s="69"/>
      <c r="N116" s="69"/>
      <c r="O116" s="69"/>
      <c r="Q116" s="69"/>
      <c r="R116" s="69"/>
      <c r="S116" s="69"/>
      <c r="T116" s="69"/>
      <c r="U116" s="69"/>
      <c r="V116" s="69"/>
      <c r="W116" s="6"/>
    </row>
    <row r="117" spans="2:23" x14ac:dyDescent="0.2">
      <c r="B117" s="6"/>
      <c r="C117" s="69"/>
      <c r="D117" s="69"/>
      <c r="E117" s="69"/>
      <c r="F117" s="69"/>
      <c r="G117" s="69"/>
      <c r="H117" s="69"/>
      <c r="I117" s="69"/>
      <c r="J117" s="69"/>
      <c r="K117" s="69"/>
      <c r="L117" s="69"/>
      <c r="M117" s="69"/>
      <c r="N117" s="69"/>
      <c r="O117" s="69"/>
      <c r="Q117" s="69"/>
      <c r="R117" s="69"/>
      <c r="S117" s="69"/>
      <c r="T117" s="69"/>
      <c r="U117" s="69"/>
      <c r="V117" s="69"/>
      <c r="W117" s="6"/>
    </row>
    <row r="118" spans="2:23" x14ac:dyDescent="0.2">
      <c r="B118" s="6"/>
      <c r="C118" s="69"/>
      <c r="D118" s="69"/>
      <c r="E118" s="69"/>
      <c r="F118" s="69"/>
      <c r="G118" s="69"/>
      <c r="H118" s="69"/>
      <c r="I118" s="69"/>
      <c r="J118" s="69"/>
      <c r="K118" s="69"/>
      <c r="L118" s="69"/>
      <c r="M118" s="69"/>
      <c r="N118" s="69"/>
      <c r="O118" s="69"/>
      <c r="Q118" s="69"/>
      <c r="R118" s="69"/>
      <c r="S118" s="69"/>
      <c r="T118" s="69"/>
      <c r="U118" s="69"/>
      <c r="V118" s="69"/>
      <c r="W118" s="6"/>
    </row>
    <row r="119" spans="2:23" x14ac:dyDescent="0.2">
      <c r="B119" s="6"/>
      <c r="C119" s="69"/>
      <c r="D119" s="69"/>
      <c r="E119" s="69"/>
      <c r="F119" s="69"/>
      <c r="G119" s="69"/>
      <c r="H119" s="69"/>
      <c r="I119" s="69"/>
      <c r="J119" s="69"/>
      <c r="K119" s="69"/>
      <c r="L119" s="69"/>
      <c r="M119" s="69"/>
      <c r="N119" s="69"/>
      <c r="O119" s="69"/>
      <c r="Q119" s="69"/>
      <c r="R119" s="69"/>
      <c r="S119" s="69"/>
      <c r="T119" s="69"/>
      <c r="U119" s="69"/>
      <c r="V119" s="69"/>
      <c r="W119" s="6"/>
    </row>
    <row r="120" spans="2:23" x14ac:dyDescent="0.2">
      <c r="B120" s="6"/>
      <c r="C120" s="69"/>
      <c r="D120" s="69"/>
      <c r="E120" s="69"/>
      <c r="F120" s="69"/>
      <c r="G120" s="69"/>
      <c r="H120" s="69"/>
      <c r="I120" s="69"/>
      <c r="J120" s="69"/>
      <c r="K120" s="69"/>
      <c r="L120" s="69"/>
      <c r="M120" s="69"/>
      <c r="N120" s="69"/>
      <c r="O120" s="69"/>
      <c r="Q120" s="69"/>
      <c r="R120" s="69"/>
      <c r="S120" s="69"/>
      <c r="T120" s="69"/>
      <c r="U120" s="69"/>
      <c r="V120" s="69"/>
      <c r="W120" s="6"/>
    </row>
    <row r="121" spans="2:23" x14ac:dyDescent="0.2">
      <c r="B121" s="6"/>
      <c r="C121" s="69"/>
      <c r="D121" s="69"/>
      <c r="E121" s="69"/>
      <c r="F121" s="69"/>
      <c r="G121" s="69"/>
      <c r="H121" s="69"/>
      <c r="I121" s="69"/>
      <c r="J121" s="69"/>
      <c r="K121" s="69"/>
      <c r="L121" s="69"/>
      <c r="M121" s="69"/>
      <c r="N121" s="69"/>
      <c r="O121" s="69"/>
      <c r="Q121" s="69"/>
      <c r="R121" s="69"/>
      <c r="S121" s="69"/>
      <c r="T121" s="69"/>
      <c r="U121" s="69"/>
      <c r="V121" s="69"/>
      <c r="W121" s="6"/>
    </row>
    <row r="122" spans="2:23" s="69" customFormat="1" x14ac:dyDescent="0.2">
      <c r="B122" s="6"/>
      <c r="W122" s="6"/>
    </row>
    <row r="123" spans="2:23" s="69" customFormat="1" x14ac:dyDescent="0.2">
      <c r="B123" s="6"/>
      <c r="W123" s="6"/>
    </row>
    <row r="124" spans="2:23" ht="21" customHeight="1" x14ac:dyDescent="0.25">
      <c r="B124" s="6"/>
      <c r="C124" s="155" t="s">
        <v>520</v>
      </c>
      <c r="D124" s="165"/>
      <c r="E124" s="165"/>
      <c r="F124" s="165"/>
      <c r="G124" s="165"/>
      <c r="H124" s="165"/>
      <c r="I124" s="165"/>
      <c r="J124" s="165"/>
      <c r="K124" s="165"/>
      <c r="L124" s="165"/>
      <c r="M124" s="165"/>
      <c r="N124" s="165"/>
      <c r="O124" s="165"/>
      <c r="P124" s="165"/>
      <c r="Q124" s="165"/>
      <c r="R124" s="165"/>
      <c r="S124" s="165"/>
      <c r="T124" s="165"/>
      <c r="U124" s="165"/>
      <c r="V124" s="165"/>
      <c r="W124" s="6"/>
    </row>
    <row r="125" spans="2:23" ht="49.5" customHeight="1" x14ac:dyDescent="0.25">
      <c r="B125" s="6"/>
      <c r="C125" s="901" t="s">
        <v>521</v>
      </c>
      <c r="D125" s="901"/>
      <c r="E125" s="901"/>
      <c r="F125" s="901"/>
      <c r="G125" s="901"/>
      <c r="H125" s="901"/>
      <c r="I125" s="901"/>
      <c r="J125" s="901"/>
      <c r="K125" s="901"/>
      <c r="L125" s="901"/>
      <c r="M125" s="901"/>
      <c r="N125" s="901"/>
      <c r="O125" s="901"/>
      <c r="P125" s="901"/>
      <c r="Q125" s="901"/>
      <c r="R125" s="901"/>
      <c r="S125" s="901"/>
      <c r="T125" s="293"/>
      <c r="U125" s="293"/>
      <c r="V125" s="165"/>
      <c r="W125" s="6"/>
    </row>
    <row r="126" spans="2:23" ht="33" customHeight="1" x14ac:dyDescent="0.25">
      <c r="B126" s="6"/>
      <c r="C126" s="686" t="s">
        <v>777</v>
      </c>
      <c r="D126" s="686"/>
      <c r="E126" s="686"/>
      <c r="F126" s="686"/>
      <c r="G126" s="686"/>
      <c r="H126" s="686"/>
      <c r="I126" s="686"/>
      <c r="J126" s="686"/>
      <c r="K126" s="686"/>
      <c r="L126" s="686"/>
      <c r="M126" s="686"/>
      <c r="N126" s="686"/>
      <c r="O126" s="686"/>
      <c r="P126" s="686"/>
      <c r="Q126" s="686"/>
      <c r="R126" s="686"/>
      <c r="S126" s="686"/>
      <c r="T126" s="686"/>
      <c r="U126" s="686"/>
      <c r="V126" s="165"/>
      <c r="W126" s="6"/>
    </row>
    <row r="127" spans="2:23" ht="21" customHeight="1" x14ac:dyDescent="0.25">
      <c r="B127" s="6"/>
      <c r="C127" s="686" t="s">
        <v>522</v>
      </c>
      <c r="D127" s="686"/>
      <c r="E127" s="686"/>
      <c r="F127" s="686"/>
      <c r="G127" s="686"/>
      <c r="H127" s="686"/>
      <c r="I127" s="686"/>
      <c r="J127" s="686"/>
      <c r="K127" s="686"/>
      <c r="L127" s="686"/>
      <c r="M127" s="686"/>
      <c r="N127" s="686"/>
      <c r="O127" s="686"/>
      <c r="P127" s="686"/>
      <c r="Q127" s="686"/>
      <c r="R127" s="686"/>
      <c r="S127" s="686"/>
      <c r="T127" s="686"/>
      <c r="U127" s="686"/>
      <c r="V127" s="165"/>
      <c r="W127" s="6"/>
    </row>
    <row r="128" spans="2:23" ht="15" x14ac:dyDescent="0.25">
      <c r="B128" s="6"/>
      <c r="C128" s="165"/>
      <c r="D128" s="165"/>
      <c r="E128" s="165"/>
      <c r="F128" s="165"/>
      <c r="G128" s="165"/>
      <c r="H128" s="165"/>
      <c r="I128" s="165"/>
      <c r="J128" s="165"/>
      <c r="K128" s="165"/>
      <c r="L128" s="165"/>
      <c r="M128" s="165"/>
      <c r="N128" s="165"/>
      <c r="O128" s="165"/>
      <c r="P128" s="165"/>
      <c r="Q128" s="165"/>
      <c r="R128" s="165"/>
      <c r="S128" s="165"/>
      <c r="T128" s="165"/>
      <c r="U128" s="165"/>
      <c r="V128" s="165"/>
      <c r="W128" s="6"/>
    </row>
    <row r="129" spans="2:30" s="69" customFormat="1" ht="15" x14ac:dyDescent="0.25">
      <c r="B129" s="6"/>
      <c r="C129" s="165"/>
      <c r="D129" s="165"/>
      <c r="E129" s="165"/>
      <c r="F129" s="165"/>
      <c r="G129" s="165"/>
      <c r="H129" s="165"/>
      <c r="I129" s="165"/>
      <c r="J129" s="165"/>
      <c r="K129" s="165"/>
      <c r="L129" s="165"/>
      <c r="M129" s="165"/>
      <c r="N129" s="165"/>
      <c r="O129" s="165"/>
      <c r="P129" s="165"/>
      <c r="Q129" s="165"/>
      <c r="R129" s="165"/>
      <c r="S129" s="165"/>
      <c r="T129" s="165"/>
      <c r="U129" s="165"/>
      <c r="V129" s="165"/>
      <c r="W129" s="6"/>
    </row>
    <row r="130" spans="2:30" s="69" customFormat="1" ht="15" x14ac:dyDescent="0.25">
      <c r="B130" s="6"/>
      <c r="C130" s="165"/>
      <c r="D130" s="165"/>
      <c r="E130" s="165"/>
      <c r="F130" s="165"/>
      <c r="G130" s="165"/>
      <c r="H130" s="165"/>
      <c r="I130" s="165"/>
      <c r="J130" s="165"/>
      <c r="K130" s="165"/>
      <c r="L130" s="165"/>
      <c r="M130" s="165"/>
      <c r="N130" s="165"/>
      <c r="O130" s="165"/>
      <c r="P130" s="165"/>
      <c r="Q130" s="165"/>
      <c r="R130" s="165"/>
      <c r="S130" s="165"/>
      <c r="T130" s="165"/>
      <c r="U130" s="165"/>
      <c r="V130" s="165"/>
      <c r="W130" s="6"/>
    </row>
    <row r="131" spans="2:30" s="69" customFormat="1" ht="15" x14ac:dyDescent="0.25">
      <c r="B131" s="6"/>
      <c r="C131" s="165"/>
      <c r="D131" s="165"/>
      <c r="E131" s="165"/>
      <c r="F131" s="165"/>
      <c r="G131" s="165"/>
      <c r="H131" s="165"/>
      <c r="I131" s="165"/>
      <c r="J131" s="165"/>
      <c r="K131" s="165"/>
      <c r="L131" s="165"/>
      <c r="M131" s="165"/>
      <c r="N131" s="165"/>
      <c r="O131" s="165"/>
      <c r="P131" s="165"/>
      <c r="Q131" s="165"/>
      <c r="R131" s="165"/>
      <c r="S131" s="165"/>
      <c r="T131" s="165"/>
      <c r="U131" s="165"/>
      <c r="V131" s="165"/>
      <c r="W131" s="6"/>
    </row>
    <row r="132" spans="2:30" ht="15" x14ac:dyDescent="0.25">
      <c r="B132" s="6"/>
      <c r="C132" s="165"/>
      <c r="D132" s="165"/>
      <c r="E132" s="165"/>
      <c r="F132" s="165"/>
      <c r="G132" s="165"/>
      <c r="H132" s="165"/>
      <c r="I132" s="165"/>
      <c r="J132" s="165"/>
      <c r="K132" s="165"/>
      <c r="L132" s="165"/>
      <c r="M132" s="165"/>
      <c r="N132" s="165"/>
      <c r="O132" s="165"/>
      <c r="P132" s="165"/>
      <c r="Q132" s="165"/>
      <c r="R132" s="165"/>
      <c r="S132" s="165"/>
      <c r="T132" s="165"/>
      <c r="U132" s="165"/>
      <c r="V132" s="165"/>
      <c r="W132" s="6"/>
      <c r="X132" s="69"/>
      <c r="Y132" s="69"/>
      <c r="Z132" s="69"/>
      <c r="AA132" s="69"/>
      <c r="AB132" s="69"/>
      <c r="AC132" s="69"/>
      <c r="AD132" s="69"/>
    </row>
    <row r="133" spans="2:30" ht="15" x14ac:dyDescent="0.25">
      <c r="B133" s="6"/>
      <c r="C133" s="165"/>
      <c r="D133" s="165"/>
      <c r="E133" s="972" t="s">
        <v>523</v>
      </c>
      <c r="F133" s="972"/>
      <c r="G133" s="972"/>
      <c r="H133" s="972"/>
      <c r="I133" s="635" t="str">
        <f>INDEX(Locations, selection)</f>
        <v>Kingston Buci</v>
      </c>
      <c r="J133" s="635"/>
      <c r="K133" s="635"/>
      <c r="L133" s="637" t="str">
        <f>INDEX(Locations, selection2)</f>
        <v>Stepping Stones</v>
      </c>
      <c r="M133" s="637"/>
      <c r="N133" s="637"/>
      <c r="O133" s="631" t="s">
        <v>292</v>
      </c>
      <c r="P133" s="631"/>
      <c r="Q133" s="631"/>
      <c r="R133" s="632" t="s">
        <v>294</v>
      </c>
      <c r="S133" s="632"/>
      <c r="T133" s="632"/>
      <c r="U133" s="165"/>
      <c r="V133" s="165"/>
      <c r="W133" s="6"/>
      <c r="X133" s="987"/>
      <c r="Y133" s="987"/>
      <c r="Z133" s="987"/>
      <c r="AA133" s="987"/>
      <c r="AB133" s="987"/>
      <c r="AC133" s="987"/>
      <c r="AD133" s="987"/>
    </row>
    <row r="134" spans="2:30" ht="15" x14ac:dyDescent="0.25">
      <c r="B134" s="6"/>
      <c r="C134" s="165"/>
      <c r="D134" s="165"/>
      <c r="E134" s="972"/>
      <c r="F134" s="972"/>
      <c r="G134" s="972"/>
      <c r="H134" s="972"/>
      <c r="I134" s="635"/>
      <c r="J134" s="635"/>
      <c r="K134" s="635"/>
      <c r="L134" s="637"/>
      <c r="M134" s="637"/>
      <c r="N134" s="637"/>
      <c r="O134" s="631"/>
      <c r="P134" s="631"/>
      <c r="Q134" s="631"/>
      <c r="R134" s="632"/>
      <c r="S134" s="632"/>
      <c r="T134" s="632"/>
      <c r="U134" s="165"/>
      <c r="V134" s="165"/>
      <c r="W134" s="6"/>
      <c r="X134" s="987"/>
      <c r="Y134" s="987"/>
      <c r="Z134" s="987"/>
      <c r="AA134" s="987"/>
      <c r="AB134" s="987"/>
      <c r="AC134" s="987"/>
      <c r="AD134" s="987"/>
    </row>
    <row r="135" spans="2:30" ht="15" x14ac:dyDescent="0.25">
      <c r="B135" s="6"/>
      <c r="C135" s="165"/>
      <c r="D135" s="165"/>
      <c r="E135" s="972"/>
      <c r="F135" s="972"/>
      <c r="G135" s="972"/>
      <c r="H135" s="972"/>
      <c r="I135" s="635"/>
      <c r="J135" s="635"/>
      <c r="K135" s="635"/>
      <c r="L135" s="637"/>
      <c r="M135" s="637"/>
      <c r="N135" s="637"/>
      <c r="O135" s="631"/>
      <c r="P135" s="631"/>
      <c r="Q135" s="631"/>
      <c r="R135" s="632"/>
      <c r="S135" s="632"/>
      <c r="T135" s="632"/>
      <c r="U135" s="165"/>
      <c r="V135" s="165"/>
      <c r="W135" s="6"/>
      <c r="X135" s="987"/>
      <c r="Y135" s="987"/>
      <c r="Z135" s="987"/>
      <c r="AA135" s="987"/>
      <c r="AB135" s="987"/>
      <c r="AC135" s="987"/>
      <c r="AD135" s="987"/>
    </row>
    <row r="136" spans="2:30" ht="15" x14ac:dyDescent="0.25">
      <c r="B136" s="6"/>
      <c r="C136" s="165"/>
      <c r="D136" s="165"/>
      <c r="E136" s="923" t="s">
        <v>756</v>
      </c>
      <c r="F136" s="923"/>
      <c r="G136" s="923"/>
      <c r="H136" s="923"/>
      <c r="I136" s="942">
        <f>HLOOKUP($E136,Obese2009,selection+1, FALSE)</f>
        <v>128</v>
      </c>
      <c r="J136" s="943"/>
      <c r="K136" s="944"/>
      <c r="L136" s="942">
        <f>HLOOKUP($E136,Obese2009, selection2+1, FALSE)</f>
        <v>85</v>
      </c>
      <c r="M136" s="943"/>
      <c r="N136" s="944"/>
      <c r="O136" s="942">
        <f>Data!GK76</f>
        <v>6935</v>
      </c>
      <c r="P136" s="943"/>
      <c r="Q136" s="944"/>
      <c r="R136" s="936">
        <f>Data!GK78</f>
        <v>526499</v>
      </c>
      <c r="S136" s="937"/>
      <c r="T136" s="938"/>
      <c r="U136" s="165"/>
      <c r="V136" s="165"/>
      <c r="W136" s="6"/>
      <c r="X136" s="988"/>
      <c r="Y136" s="988"/>
      <c r="Z136" s="988"/>
      <c r="AA136" s="988"/>
      <c r="AB136" s="988"/>
      <c r="AC136" s="295"/>
      <c r="AD136" s="295"/>
    </row>
    <row r="137" spans="2:30" ht="15" x14ac:dyDescent="0.25">
      <c r="B137" s="6"/>
      <c r="C137" s="165"/>
      <c r="D137" s="165"/>
      <c r="E137" s="923" t="s">
        <v>760</v>
      </c>
      <c r="F137" s="923"/>
      <c r="G137" s="923"/>
      <c r="H137" s="923"/>
      <c r="I137" s="942">
        <f>HLOOKUP($E137,Obese2009,selection+1, FALSE)</f>
        <v>6</v>
      </c>
      <c r="J137" s="943"/>
      <c r="K137" s="944"/>
      <c r="L137" s="942">
        <f>HLOOKUP($E137,Obese2009, selection2+1, FALSE)</f>
        <v>4</v>
      </c>
      <c r="M137" s="943"/>
      <c r="N137" s="944"/>
      <c r="O137" s="942">
        <f>Data!GL76</f>
        <v>540.92999999999995</v>
      </c>
      <c r="P137" s="943"/>
      <c r="Q137" s="944"/>
      <c r="R137" s="936">
        <f>Data!GL78</f>
        <v>51596.902000000002</v>
      </c>
      <c r="S137" s="937"/>
      <c r="T137" s="938"/>
      <c r="U137" s="165"/>
      <c r="V137" s="165"/>
      <c r="W137" s="6"/>
      <c r="X137" s="988"/>
      <c r="Y137" s="988"/>
      <c r="Z137" s="988"/>
      <c r="AA137" s="988"/>
      <c r="AB137" s="988"/>
      <c r="AC137" s="988"/>
      <c r="AD137" s="988"/>
    </row>
    <row r="138" spans="2:30" ht="15" x14ac:dyDescent="0.25">
      <c r="B138" s="6"/>
      <c r="C138" s="165"/>
      <c r="D138" s="165"/>
      <c r="E138" s="935" t="s">
        <v>755</v>
      </c>
      <c r="F138" s="935"/>
      <c r="G138" s="935"/>
      <c r="H138" s="935"/>
      <c r="I138" s="921">
        <f>HLOOKUP($E138,Obese2009,selection+1, FALSE)</f>
        <v>4.6875E-2</v>
      </c>
      <c r="J138" s="945"/>
      <c r="K138" s="922"/>
      <c r="L138" s="921">
        <f>HLOOKUP($E138,Obese2009, selection2+1, FALSE)</f>
        <v>4.7058823529411764E-2</v>
      </c>
      <c r="M138" s="945"/>
      <c r="N138" s="922"/>
      <c r="O138" s="921">
        <f>Data!GM76</f>
        <v>7.8E-2</v>
      </c>
      <c r="P138" s="945"/>
      <c r="Q138" s="922"/>
      <c r="R138" s="921">
        <f>Data!GM78</f>
        <v>9.8000000000000004E-2</v>
      </c>
      <c r="S138" s="945"/>
      <c r="T138" s="922"/>
      <c r="U138" s="165"/>
      <c r="V138" s="165"/>
      <c r="W138" s="6"/>
    </row>
    <row r="139" spans="2:30" ht="15" x14ac:dyDescent="0.25">
      <c r="B139" s="6"/>
      <c r="C139" s="165"/>
      <c r="D139" s="165"/>
      <c r="E139" s="923" t="s">
        <v>757</v>
      </c>
      <c r="F139" s="923"/>
      <c r="G139" s="923"/>
      <c r="H139" s="923"/>
      <c r="I139" s="823" t="str">
        <f>HLOOKUP($E139,Obese2009,selection+1, FALSE)</f>
        <v>No Sig diff</v>
      </c>
      <c r="J139" s="824"/>
      <c r="K139" s="825"/>
      <c r="L139" s="823" t="str">
        <f>HLOOKUP($E139,Obese2009, selection2+1, FALSE)</f>
        <v>No Sig diff</v>
      </c>
      <c r="M139" s="824"/>
      <c r="N139" s="825"/>
      <c r="O139" s="989" t="str">
        <f>Data!GP76</f>
        <v>Sig better than Eng.</v>
      </c>
      <c r="P139" s="824"/>
      <c r="Q139" s="825"/>
      <c r="R139" s="823" t="s">
        <v>287</v>
      </c>
      <c r="S139" s="824"/>
      <c r="T139" s="825"/>
      <c r="U139" s="165"/>
      <c r="V139" s="165"/>
      <c r="W139" s="6"/>
    </row>
    <row r="140" spans="2:30" ht="15" x14ac:dyDescent="0.25">
      <c r="B140" s="6"/>
      <c r="C140" s="73" t="s">
        <v>537</v>
      </c>
      <c r="D140" s="73" t="s">
        <v>538</v>
      </c>
      <c r="E140" s="923" t="s">
        <v>758</v>
      </c>
      <c r="F140" s="923"/>
      <c r="G140" s="923"/>
      <c r="H140" s="923"/>
      <c r="I140" s="294">
        <f>HLOOKUP(C140,Obese2009,selection+1,FALSE)</f>
        <v>2.1657844171923776E-2</v>
      </c>
      <c r="J140" s="278" t="s">
        <v>762</v>
      </c>
      <c r="K140" s="294">
        <f>HLOOKUP(D140,Obese2009,selection+1,FALSE)</f>
        <v>9.8497522450943217E-2</v>
      </c>
      <c r="L140" s="294">
        <f>HLOOKUP(C140,Obese2009,selection2+1,FALSE)</f>
        <v>1.8450260833070709E-2</v>
      </c>
      <c r="M140" s="278" t="s">
        <v>762</v>
      </c>
      <c r="N140" s="294">
        <f>HLOOKUP(D140,Obese2009,selection2+1,FALSE)</f>
        <v>0.11483727156318768</v>
      </c>
      <c r="O140" s="294">
        <f>Data!GN76</f>
        <v>7.1999999999999995E-2</v>
      </c>
      <c r="P140" s="278" t="s">
        <v>762</v>
      </c>
      <c r="Q140" s="294">
        <f>Data!GO76</f>
        <v>8.4000000000000005E-2</v>
      </c>
      <c r="R140" s="294">
        <f>Data!GN78</f>
        <v>9.7000000000000003E-2</v>
      </c>
      <c r="S140" s="278" t="s">
        <v>762</v>
      </c>
      <c r="T140" s="294">
        <f>Data!GO78</f>
        <v>9.9000000000000005E-2</v>
      </c>
      <c r="U140" s="165"/>
      <c r="V140" s="165"/>
      <c r="W140" s="6"/>
    </row>
    <row r="141" spans="2:30" ht="15" x14ac:dyDescent="0.25">
      <c r="B141" s="6"/>
      <c r="C141" s="165"/>
      <c r="D141" s="165"/>
      <c r="E141" s="972" t="s">
        <v>524</v>
      </c>
      <c r="F141" s="972"/>
      <c r="G141" s="972"/>
      <c r="H141" s="972"/>
      <c r="I141" s="635" t="str">
        <f>INDEX(Locations, selection)</f>
        <v>Kingston Buci</v>
      </c>
      <c r="J141" s="635"/>
      <c r="K141" s="635"/>
      <c r="L141" s="637" t="str">
        <f>INDEX(Locations, selection2)</f>
        <v>Stepping Stones</v>
      </c>
      <c r="M141" s="637"/>
      <c r="N141" s="637"/>
      <c r="O141" s="631" t="s">
        <v>292</v>
      </c>
      <c r="P141" s="631"/>
      <c r="Q141" s="631"/>
      <c r="R141" s="632" t="s">
        <v>294</v>
      </c>
      <c r="S141" s="632"/>
      <c r="T141" s="632"/>
      <c r="U141" s="165"/>
      <c r="V141" s="165"/>
      <c r="W141" s="6"/>
    </row>
    <row r="142" spans="2:30" ht="15" x14ac:dyDescent="0.25">
      <c r="B142" s="6"/>
      <c r="C142" s="165"/>
      <c r="D142" s="165"/>
      <c r="E142" s="972"/>
      <c r="F142" s="972"/>
      <c r="G142" s="972"/>
      <c r="H142" s="972"/>
      <c r="I142" s="635"/>
      <c r="J142" s="635"/>
      <c r="K142" s="635"/>
      <c r="L142" s="637"/>
      <c r="M142" s="637"/>
      <c r="N142" s="637"/>
      <c r="O142" s="631"/>
      <c r="P142" s="631"/>
      <c r="Q142" s="631"/>
      <c r="R142" s="632"/>
      <c r="S142" s="632"/>
      <c r="T142" s="632"/>
      <c r="U142" s="165"/>
      <c r="V142" s="165"/>
      <c r="W142" s="6"/>
    </row>
    <row r="143" spans="2:30" ht="15" x14ac:dyDescent="0.25">
      <c r="B143" s="6"/>
      <c r="C143" s="165"/>
      <c r="D143" s="165"/>
      <c r="E143" s="972"/>
      <c r="F143" s="972"/>
      <c r="G143" s="972"/>
      <c r="H143" s="972"/>
      <c r="I143" s="635"/>
      <c r="J143" s="635"/>
      <c r="K143" s="635"/>
      <c r="L143" s="637"/>
      <c r="M143" s="637"/>
      <c r="N143" s="637"/>
      <c r="O143" s="631"/>
      <c r="P143" s="631"/>
      <c r="Q143" s="631"/>
      <c r="R143" s="632"/>
      <c r="S143" s="632"/>
      <c r="T143" s="632"/>
      <c r="U143" s="165"/>
      <c r="V143" s="165"/>
      <c r="W143" s="6"/>
    </row>
    <row r="144" spans="2:30" ht="15" x14ac:dyDescent="0.25">
      <c r="B144" s="6"/>
      <c r="C144" s="165"/>
      <c r="D144" s="165"/>
      <c r="E144" s="923" t="s">
        <v>756</v>
      </c>
      <c r="F144" s="923"/>
      <c r="G144" s="923"/>
      <c r="H144" s="923"/>
      <c r="I144" s="942">
        <f>HLOOKUP($E144,Obese2010,selection+1, FALSE)</f>
        <v>156</v>
      </c>
      <c r="J144" s="943"/>
      <c r="K144" s="944"/>
      <c r="L144" s="942">
        <f>HLOOKUP($E144, Obese2010, selection2+1, FALSE)</f>
        <v>120</v>
      </c>
      <c r="M144" s="943"/>
      <c r="N144" s="944"/>
      <c r="O144" s="966">
        <f>Data!GQ76</f>
        <v>7601</v>
      </c>
      <c r="P144" s="967"/>
      <c r="Q144" s="968"/>
      <c r="R144" s="966">
        <f>Data!GQ78</f>
        <v>540228</v>
      </c>
      <c r="S144" s="967"/>
      <c r="T144" s="968"/>
      <c r="U144" s="165"/>
      <c r="V144" s="165"/>
      <c r="W144" s="6"/>
    </row>
    <row r="145" spans="2:23" ht="15" x14ac:dyDescent="0.25">
      <c r="B145" s="6"/>
      <c r="C145" s="165"/>
      <c r="D145" s="165"/>
      <c r="E145" s="923" t="s">
        <v>760</v>
      </c>
      <c r="F145" s="923"/>
      <c r="G145" s="923"/>
      <c r="H145" s="923"/>
      <c r="I145" s="942">
        <f>HLOOKUP($E145,Obese2010,selection+1, FALSE)</f>
        <v>9</v>
      </c>
      <c r="J145" s="943"/>
      <c r="K145" s="944"/>
      <c r="L145" s="942">
        <f>HLOOKUP($E145, Obese2010, selection2+1, FALSE)</f>
        <v>6</v>
      </c>
      <c r="M145" s="943"/>
      <c r="N145" s="944"/>
      <c r="O145" s="966">
        <f>Data!GR76</f>
        <v>608.08000000000004</v>
      </c>
      <c r="P145" s="967"/>
      <c r="Q145" s="968"/>
      <c r="R145" s="966">
        <f>Data!GR78</f>
        <v>50781.432000000001</v>
      </c>
      <c r="S145" s="967"/>
      <c r="T145" s="968"/>
      <c r="U145" s="165"/>
      <c r="V145" s="165"/>
      <c r="W145" s="6"/>
    </row>
    <row r="146" spans="2:23" ht="15" x14ac:dyDescent="0.25">
      <c r="B146" s="6"/>
      <c r="C146" s="165"/>
      <c r="D146" s="165"/>
      <c r="E146" s="935" t="s">
        <v>755</v>
      </c>
      <c r="F146" s="935"/>
      <c r="G146" s="935"/>
      <c r="H146" s="935"/>
      <c r="I146" s="921">
        <f>HLOOKUP($E146,Obese2010,selection+1, FALSE)</f>
        <v>5.7692307692307696E-2</v>
      </c>
      <c r="J146" s="945"/>
      <c r="K146" s="922"/>
      <c r="L146" s="921">
        <f>HLOOKUP($E146, Obese2010, selection2+1, FALSE)</f>
        <v>0.05</v>
      </c>
      <c r="M146" s="945"/>
      <c r="N146" s="922"/>
      <c r="O146" s="969">
        <f>Data!GS76</f>
        <v>0.08</v>
      </c>
      <c r="P146" s="970"/>
      <c r="Q146" s="971"/>
      <c r="R146" s="969">
        <f>Data!GS78</f>
        <v>9.4E-2</v>
      </c>
      <c r="S146" s="970"/>
      <c r="T146" s="971"/>
      <c r="U146" s="165"/>
      <c r="V146" s="165"/>
      <c r="W146" s="6"/>
    </row>
    <row r="147" spans="2:23" ht="15" x14ac:dyDescent="0.25">
      <c r="B147" s="6"/>
      <c r="C147" s="165"/>
      <c r="D147" s="165"/>
      <c r="E147" s="923" t="s">
        <v>757</v>
      </c>
      <c r="F147" s="923"/>
      <c r="G147" s="923"/>
      <c r="H147" s="923"/>
      <c r="I147" s="936" t="str">
        <f>HLOOKUP($E147,Obese2010,selection+1, FALSE)</f>
        <v>No Sig diff</v>
      </c>
      <c r="J147" s="937"/>
      <c r="K147" s="938"/>
      <c r="L147" s="936" t="str">
        <f>HLOOKUP($E147, Obese2010, selection2+1, FALSE)</f>
        <v>No Sig diff</v>
      </c>
      <c r="M147" s="937"/>
      <c r="N147" s="938"/>
      <c r="O147" s="823" t="str">
        <f>Data!GV76</f>
        <v>Sig better than Eng.</v>
      </c>
      <c r="P147" s="824"/>
      <c r="Q147" s="825"/>
      <c r="R147" s="823" t="s">
        <v>287</v>
      </c>
      <c r="S147" s="824"/>
      <c r="T147" s="825"/>
      <c r="U147" s="165"/>
      <c r="V147" s="165"/>
      <c r="W147" s="6"/>
    </row>
    <row r="148" spans="2:23" ht="15" x14ac:dyDescent="0.25">
      <c r="B148" s="6"/>
      <c r="C148" s="73" t="s">
        <v>537</v>
      </c>
      <c r="D148" s="73" t="s">
        <v>538</v>
      </c>
      <c r="E148" s="923" t="s">
        <v>758</v>
      </c>
      <c r="F148" s="923"/>
      <c r="G148" s="923"/>
      <c r="H148" s="923"/>
      <c r="I148" s="294">
        <f>HLOOKUP(C148,Obese2010, selection+1, FALSE)</f>
        <v>3.0645742163795515E-2</v>
      </c>
      <c r="J148" s="294" t="s">
        <v>762</v>
      </c>
      <c r="K148" s="294">
        <f>HLOOKUP(D148,Obese2010,selection+1, FALSE)</f>
        <v>0.10599877410776384</v>
      </c>
      <c r="L148" s="294">
        <f>HLOOKUP(C148,Obese2010,selection2+1, FALSE)</f>
        <v>2.3114364414465797E-2</v>
      </c>
      <c r="M148" s="294" t="s">
        <v>762</v>
      </c>
      <c r="N148" s="294">
        <f>HLOOKUP(D148,Obese2010, selection2+1,FALSE)</f>
        <v>0.10480288536236734</v>
      </c>
      <c r="O148" s="294">
        <f>Data!GT76</f>
        <v>7.3999999999999996E-2</v>
      </c>
      <c r="P148" s="294" t="s">
        <v>762</v>
      </c>
      <c r="Q148" s="294">
        <f>Data!GU76</f>
        <v>8.6000000000000007E-2</v>
      </c>
      <c r="R148" s="294">
        <f>Data!GT78</f>
        <v>9.2999999999999999E-2</v>
      </c>
      <c r="S148" s="294" t="s">
        <v>762</v>
      </c>
      <c r="T148" s="294">
        <f>Data!GU78</f>
        <v>9.5000000000000001E-2</v>
      </c>
      <c r="U148" s="165"/>
      <c r="V148" s="165"/>
      <c r="W148" s="6"/>
    </row>
    <row r="149" spans="2:23" ht="15" x14ac:dyDescent="0.25">
      <c r="B149" s="6"/>
      <c r="C149" s="165"/>
      <c r="D149" s="165"/>
      <c r="E149" s="946" t="s">
        <v>525</v>
      </c>
      <c r="F149" s="947"/>
      <c r="G149" s="947"/>
      <c r="H149" s="948"/>
      <c r="I149" s="746" t="str">
        <f>INDEX(Locations, selection)</f>
        <v>Kingston Buci</v>
      </c>
      <c r="J149" s="809"/>
      <c r="K149" s="747"/>
      <c r="L149" s="752" t="str">
        <f>INDEX(Locations, selection2)</f>
        <v>Stepping Stones</v>
      </c>
      <c r="M149" s="798"/>
      <c r="N149" s="753"/>
      <c r="O149" s="957" t="s">
        <v>292</v>
      </c>
      <c r="P149" s="958"/>
      <c r="Q149" s="959"/>
      <c r="R149" s="926" t="s">
        <v>294</v>
      </c>
      <c r="S149" s="927"/>
      <c r="T149" s="928"/>
      <c r="U149" s="165"/>
      <c r="V149" s="165"/>
      <c r="W149" s="6"/>
    </row>
    <row r="150" spans="2:23" ht="15" x14ac:dyDescent="0.25">
      <c r="B150" s="6"/>
      <c r="C150" s="165"/>
      <c r="D150" s="165"/>
      <c r="E150" s="949"/>
      <c r="F150" s="950"/>
      <c r="G150" s="950"/>
      <c r="H150" s="951"/>
      <c r="I150" s="748"/>
      <c r="J150" s="810"/>
      <c r="K150" s="749"/>
      <c r="L150" s="754"/>
      <c r="M150" s="799"/>
      <c r="N150" s="755"/>
      <c r="O150" s="960"/>
      <c r="P150" s="961"/>
      <c r="Q150" s="962"/>
      <c r="R150" s="929"/>
      <c r="S150" s="930"/>
      <c r="T150" s="931"/>
      <c r="U150" s="165"/>
      <c r="V150" s="165"/>
      <c r="W150" s="6"/>
    </row>
    <row r="151" spans="2:23" ht="15" x14ac:dyDescent="0.25">
      <c r="B151" s="6"/>
      <c r="C151" s="165"/>
      <c r="D151" s="165"/>
      <c r="E151" s="952"/>
      <c r="F151" s="953"/>
      <c r="G151" s="953"/>
      <c r="H151" s="954"/>
      <c r="I151" s="750"/>
      <c r="J151" s="955"/>
      <c r="K151" s="751"/>
      <c r="L151" s="756"/>
      <c r="M151" s="956"/>
      <c r="N151" s="757"/>
      <c r="O151" s="963"/>
      <c r="P151" s="964"/>
      <c r="Q151" s="965"/>
      <c r="R151" s="932"/>
      <c r="S151" s="933"/>
      <c r="T151" s="934"/>
      <c r="U151" s="165"/>
      <c r="V151" s="165"/>
      <c r="W151" s="6"/>
    </row>
    <row r="152" spans="2:23" ht="15" x14ac:dyDescent="0.25">
      <c r="B152" s="6"/>
      <c r="C152" s="165"/>
      <c r="D152" s="165"/>
      <c r="E152" s="923" t="s">
        <v>756</v>
      </c>
      <c r="F152" s="923"/>
      <c r="G152" s="923"/>
      <c r="H152" s="923"/>
      <c r="I152" s="942">
        <f>HLOOKUP($E152,Obese2011,selection+1, FALSE)</f>
        <v>132</v>
      </c>
      <c r="J152" s="943"/>
      <c r="K152" s="944"/>
      <c r="L152" s="942">
        <f>HLOOKUP($E152, Obese2011, selection2+1, FALSE)</f>
        <v>92</v>
      </c>
      <c r="M152" s="943"/>
      <c r="N152" s="944"/>
      <c r="O152" s="966">
        <f>Data!GW76</f>
        <v>6858</v>
      </c>
      <c r="P152" s="967"/>
      <c r="Q152" s="968"/>
      <c r="R152" s="966">
        <f>Data!GW78</f>
        <v>565662</v>
      </c>
      <c r="S152" s="967"/>
      <c r="T152" s="968"/>
      <c r="U152" s="165"/>
      <c r="V152" s="165"/>
      <c r="W152" s="6"/>
    </row>
    <row r="153" spans="2:23" ht="15" x14ac:dyDescent="0.25">
      <c r="B153" s="6"/>
      <c r="C153" s="165"/>
      <c r="D153" s="165"/>
      <c r="E153" s="923" t="s">
        <v>760</v>
      </c>
      <c r="F153" s="923"/>
      <c r="G153" s="923"/>
      <c r="H153" s="923"/>
      <c r="I153" s="942">
        <f>HLOOKUP($E153,Obese2011,selection+1, FALSE)</f>
        <v>9</v>
      </c>
      <c r="J153" s="943"/>
      <c r="K153" s="944"/>
      <c r="L153" s="942">
        <f>HLOOKUP($E153, Obese2011, selection2+1, FALSE)</f>
        <v>13</v>
      </c>
      <c r="M153" s="943"/>
      <c r="N153" s="944"/>
      <c r="O153" s="966">
        <f>Data!GX76</f>
        <v>541.78200000000004</v>
      </c>
      <c r="P153" s="967"/>
      <c r="Q153" s="968"/>
      <c r="R153" s="966">
        <f>Data!GX78</f>
        <v>53737.89</v>
      </c>
      <c r="S153" s="967"/>
      <c r="T153" s="968"/>
      <c r="U153" s="165"/>
      <c r="V153" s="165"/>
      <c r="W153" s="6"/>
    </row>
    <row r="154" spans="2:23" ht="15" x14ac:dyDescent="0.25">
      <c r="B154" s="6"/>
      <c r="C154" s="165"/>
      <c r="D154" s="165"/>
      <c r="E154" s="935" t="s">
        <v>755</v>
      </c>
      <c r="F154" s="935"/>
      <c r="G154" s="935"/>
      <c r="H154" s="935"/>
      <c r="I154" s="921">
        <f>HLOOKUP($E154,Obese2011,selection+1, FALSE)</f>
        <v>6.8181818181818177E-2</v>
      </c>
      <c r="J154" s="945"/>
      <c r="K154" s="922"/>
      <c r="L154" s="921">
        <f>HLOOKUP($E154, Obese2011, selection2+1, FALSE)</f>
        <v>0.14130434782608695</v>
      </c>
      <c r="M154" s="945"/>
      <c r="N154" s="922"/>
      <c r="O154" s="969">
        <f>Data!GY76</f>
        <v>7.9000000000000001E-2</v>
      </c>
      <c r="P154" s="970"/>
      <c r="Q154" s="971"/>
      <c r="R154" s="969">
        <f>Data!GY78</f>
        <v>9.5000000000000001E-2</v>
      </c>
      <c r="S154" s="970"/>
      <c r="T154" s="971"/>
      <c r="U154" s="165"/>
      <c r="V154" s="165"/>
      <c r="W154" s="6"/>
    </row>
    <row r="155" spans="2:23" ht="15" x14ac:dyDescent="0.25">
      <c r="B155" s="6"/>
      <c r="C155" s="165"/>
      <c r="D155" s="165"/>
      <c r="E155" s="923" t="s">
        <v>757</v>
      </c>
      <c r="F155" s="923"/>
      <c r="G155" s="923"/>
      <c r="H155" s="923"/>
      <c r="I155" s="936" t="str">
        <f>HLOOKUP($E155,Obese2011,selection+1, FALSE)</f>
        <v>No Sig diff</v>
      </c>
      <c r="J155" s="937"/>
      <c r="K155" s="938"/>
      <c r="L155" s="936" t="str">
        <f>HLOOKUP($E155, Obese2011, selection2+1, FALSE)</f>
        <v>No Sig diff</v>
      </c>
      <c r="M155" s="937"/>
      <c r="N155" s="938"/>
      <c r="O155" s="823" t="str">
        <f>Data!HB76</f>
        <v>Sig better than Eng.</v>
      </c>
      <c r="P155" s="824"/>
      <c r="Q155" s="825"/>
      <c r="R155" s="823" t="s">
        <v>287</v>
      </c>
      <c r="S155" s="824"/>
      <c r="T155" s="825"/>
      <c r="U155" s="165"/>
      <c r="V155" s="165"/>
      <c r="W155" s="6"/>
    </row>
    <row r="156" spans="2:23" ht="15" x14ac:dyDescent="0.25">
      <c r="B156" s="6"/>
      <c r="C156" s="73" t="s">
        <v>537</v>
      </c>
      <c r="D156" s="73" t="s">
        <v>538</v>
      </c>
      <c r="E156" s="923" t="s">
        <v>758</v>
      </c>
      <c r="F156" s="923"/>
      <c r="G156" s="923"/>
      <c r="H156" s="923"/>
      <c r="I156" s="294">
        <f>HLOOKUP(C156,Obese2011, selection+1, FALSE)</f>
        <v>3.6282334854811568E-2</v>
      </c>
      <c r="J156" s="294" t="s">
        <v>762</v>
      </c>
      <c r="K156" s="294">
        <f>HLOOKUP(D156,Obese2011,selection+1, FALSE)</f>
        <v>0.12450406283489571</v>
      </c>
      <c r="L156" s="294">
        <f>HLOOKUP(C156,Obese2011,selection2+1, FALSE)</f>
        <v>8.4476933783828992E-2</v>
      </c>
      <c r="M156" s="294" t="s">
        <v>762</v>
      </c>
      <c r="N156" s="294">
        <f>HLOOKUP(D156,Obese2011, selection2+1,FALSE)</f>
        <v>0.22688580200803002</v>
      </c>
      <c r="O156" s="294">
        <f>Data!GZ76</f>
        <v>7.2999999999999995E-2</v>
      </c>
      <c r="P156" s="294" t="s">
        <v>762</v>
      </c>
      <c r="Q156" s="294">
        <f>Data!HA76</f>
        <v>8.5000000000000006E-2</v>
      </c>
      <c r="R156" s="294">
        <f>Data!GZ78</f>
        <v>9.4E-2</v>
      </c>
      <c r="S156" s="294" t="s">
        <v>762</v>
      </c>
      <c r="T156" s="294">
        <f>Data!HA78</f>
        <v>9.6000000000000002E-2</v>
      </c>
      <c r="U156" s="165"/>
      <c r="V156" s="165"/>
      <c r="W156" s="6"/>
    </row>
    <row r="157" spans="2:23" ht="15" x14ac:dyDescent="0.25">
      <c r="B157" s="6"/>
      <c r="C157" s="165"/>
      <c r="D157" s="165"/>
      <c r="E157" s="946" t="s">
        <v>526</v>
      </c>
      <c r="F157" s="947"/>
      <c r="G157" s="947"/>
      <c r="H157" s="948"/>
      <c r="I157" s="746" t="str">
        <f>INDEX(Locations, selection)</f>
        <v>Kingston Buci</v>
      </c>
      <c r="J157" s="809"/>
      <c r="K157" s="747"/>
      <c r="L157" s="752" t="str">
        <f>INDEX(Locations, selection2)</f>
        <v>Stepping Stones</v>
      </c>
      <c r="M157" s="798"/>
      <c r="N157" s="753"/>
      <c r="O157" s="957" t="s">
        <v>292</v>
      </c>
      <c r="P157" s="958"/>
      <c r="Q157" s="959"/>
      <c r="R157" s="926" t="s">
        <v>294</v>
      </c>
      <c r="S157" s="927"/>
      <c r="T157" s="928"/>
      <c r="U157" s="165"/>
      <c r="V157" s="165"/>
      <c r="W157" s="6"/>
    </row>
    <row r="158" spans="2:23" ht="15" x14ac:dyDescent="0.25">
      <c r="B158" s="6"/>
      <c r="C158" s="165"/>
      <c r="D158" s="165"/>
      <c r="E158" s="949"/>
      <c r="F158" s="950"/>
      <c r="G158" s="950"/>
      <c r="H158" s="951"/>
      <c r="I158" s="748"/>
      <c r="J158" s="810"/>
      <c r="K158" s="749"/>
      <c r="L158" s="754"/>
      <c r="M158" s="799"/>
      <c r="N158" s="755"/>
      <c r="O158" s="960"/>
      <c r="P158" s="961"/>
      <c r="Q158" s="962"/>
      <c r="R158" s="929"/>
      <c r="S158" s="930"/>
      <c r="T158" s="931"/>
      <c r="U158" s="165"/>
      <c r="V158" s="165"/>
      <c r="W158" s="6"/>
    </row>
    <row r="159" spans="2:23" ht="15" x14ac:dyDescent="0.25">
      <c r="B159" s="6"/>
      <c r="C159" s="165"/>
      <c r="D159" s="165"/>
      <c r="E159" s="952"/>
      <c r="F159" s="953"/>
      <c r="G159" s="953"/>
      <c r="H159" s="954"/>
      <c r="I159" s="750"/>
      <c r="J159" s="955"/>
      <c r="K159" s="751"/>
      <c r="L159" s="756"/>
      <c r="M159" s="956"/>
      <c r="N159" s="757"/>
      <c r="O159" s="963"/>
      <c r="P159" s="964"/>
      <c r="Q159" s="965"/>
      <c r="R159" s="932"/>
      <c r="S159" s="933"/>
      <c r="T159" s="934"/>
      <c r="U159" s="165"/>
      <c r="V159" s="165"/>
      <c r="W159" s="6"/>
    </row>
    <row r="160" spans="2:23" ht="15" x14ac:dyDescent="0.25">
      <c r="B160" s="6"/>
      <c r="C160" s="165"/>
      <c r="D160" s="165"/>
      <c r="E160" s="923" t="s">
        <v>756</v>
      </c>
      <c r="F160" s="923"/>
      <c r="G160" s="923"/>
      <c r="H160" s="923"/>
      <c r="I160" s="942">
        <f>HLOOKUP($E160,Obese2012,selection+1, FALSE)</f>
        <v>165</v>
      </c>
      <c r="J160" s="943"/>
      <c r="K160" s="944"/>
      <c r="L160" s="942">
        <f>HLOOKUP($E160, Obese2012, selection2+1, FALSE)</f>
        <v>114</v>
      </c>
      <c r="M160" s="943"/>
      <c r="N160" s="944"/>
      <c r="O160" s="966">
        <f>Data!HC76</f>
        <v>7939</v>
      </c>
      <c r="P160" s="967"/>
      <c r="Q160" s="968"/>
      <c r="R160" s="966">
        <f>Data!HC78</f>
        <v>586332</v>
      </c>
      <c r="S160" s="967"/>
      <c r="T160" s="968"/>
      <c r="U160" s="165"/>
      <c r="V160" s="165"/>
      <c r="W160" s="6"/>
    </row>
    <row r="161" spans="2:23" ht="15" x14ac:dyDescent="0.25">
      <c r="B161" s="6"/>
      <c r="C161" s="165"/>
      <c r="D161" s="165"/>
      <c r="E161" s="923" t="s">
        <v>760</v>
      </c>
      <c r="F161" s="923"/>
      <c r="G161" s="923"/>
      <c r="H161" s="923"/>
      <c r="I161" s="942">
        <f>HLOOKUP($E161,Obese2012,selection+1, FALSE)</f>
        <v>17</v>
      </c>
      <c r="J161" s="943"/>
      <c r="K161" s="944"/>
      <c r="L161" s="942">
        <f>HLOOKUP($E161, Obese2012, selection2+1, FALSE)</f>
        <v>11</v>
      </c>
      <c r="M161" s="943"/>
      <c r="N161" s="944"/>
      <c r="O161" s="966">
        <f>Data!HD76</f>
        <v>674.81500000000005</v>
      </c>
      <c r="P161" s="967"/>
      <c r="Q161" s="968"/>
      <c r="R161" s="966">
        <f>Data!HD78</f>
        <v>54528.875999999997</v>
      </c>
      <c r="S161" s="967"/>
      <c r="T161" s="968"/>
      <c r="U161" s="165"/>
      <c r="V161" s="165"/>
      <c r="W161" s="6"/>
    </row>
    <row r="162" spans="2:23" ht="15" x14ac:dyDescent="0.25">
      <c r="B162" s="6"/>
      <c r="C162" s="165"/>
      <c r="D162" s="165"/>
      <c r="E162" s="935" t="s">
        <v>755</v>
      </c>
      <c r="F162" s="935"/>
      <c r="G162" s="935"/>
      <c r="H162" s="935"/>
      <c r="I162" s="921">
        <f>HLOOKUP($E162,Obese2012,selection+1, FALSE)</f>
        <v>0.10303030303030303</v>
      </c>
      <c r="J162" s="945"/>
      <c r="K162" s="922"/>
      <c r="L162" s="921">
        <f>HLOOKUP($E162, Obese2012, selection2+1, FALSE)</f>
        <v>9.6491228070175433E-2</v>
      </c>
      <c r="M162" s="945"/>
      <c r="N162" s="922"/>
      <c r="O162" s="969">
        <f>Data!HE76</f>
        <v>8.5000000000000006E-2</v>
      </c>
      <c r="P162" s="970"/>
      <c r="Q162" s="971"/>
      <c r="R162" s="969">
        <f>Data!HE78</f>
        <v>9.2999999999999999E-2</v>
      </c>
      <c r="S162" s="970"/>
      <c r="T162" s="971"/>
      <c r="U162" s="165"/>
      <c r="V162" s="165"/>
      <c r="W162" s="6"/>
    </row>
    <row r="163" spans="2:23" ht="15" x14ac:dyDescent="0.25">
      <c r="B163" s="6"/>
      <c r="C163" s="165"/>
      <c r="D163" s="165"/>
      <c r="E163" s="923" t="s">
        <v>757</v>
      </c>
      <c r="F163" s="923"/>
      <c r="G163" s="923"/>
      <c r="H163" s="923"/>
      <c r="I163" s="936" t="str">
        <f>HLOOKUP($E163,Obese2012,selection+1, FALSE)</f>
        <v>No Sig diff</v>
      </c>
      <c r="J163" s="937"/>
      <c r="K163" s="938"/>
      <c r="L163" s="936" t="str">
        <f>HLOOKUP($E163, Obese2012, selection2+1, FALSE)</f>
        <v>No Sig diff</v>
      </c>
      <c r="M163" s="937"/>
      <c r="N163" s="938"/>
      <c r="O163" s="823" t="str">
        <f>Data!HH76</f>
        <v>Sig better than Eng.</v>
      </c>
      <c r="P163" s="824"/>
      <c r="Q163" s="825"/>
      <c r="R163" s="823" t="s">
        <v>287</v>
      </c>
      <c r="S163" s="824"/>
      <c r="T163" s="825"/>
      <c r="U163" s="165"/>
      <c r="V163" s="165"/>
      <c r="W163" s="6"/>
    </row>
    <row r="164" spans="2:23" ht="15" x14ac:dyDescent="0.25">
      <c r="B164" s="6"/>
      <c r="C164" s="73" t="s">
        <v>537</v>
      </c>
      <c r="D164" s="73" t="s">
        <v>538</v>
      </c>
      <c r="E164" s="923" t="s">
        <v>758</v>
      </c>
      <c r="F164" s="923"/>
      <c r="G164" s="923"/>
      <c r="H164" s="923"/>
      <c r="I164" s="294">
        <f>HLOOKUP(C164,Obese2012, selection+1, FALSE)</f>
        <v>6.5326799711821093E-2</v>
      </c>
      <c r="J164" s="294" t="s">
        <v>762</v>
      </c>
      <c r="K164" s="294">
        <f>HLOOKUP(D164,Obese2012,selection+1, FALSE)</f>
        <v>0.15879741175262088</v>
      </c>
      <c r="L164" s="294">
        <f>HLOOKUP(C164,Obese2012,selection2+1, FALSE)</f>
        <v>5.4736149045213803E-2</v>
      </c>
      <c r="M164" s="294" t="s">
        <v>762</v>
      </c>
      <c r="N164" s="294">
        <f>HLOOKUP(D164,Obese2012, selection2+1,FALSE)</f>
        <v>0.16455389606543028</v>
      </c>
      <c r="O164" s="294">
        <f>Data!HF76</f>
        <v>7.9000000000000001E-2</v>
      </c>
      <c r="P164" s="294" t="s">
        <v>762</v>
      </c>
      <c r="Q164" s="294">
        <f>Data!HG76</f>
        <v>9.1000000000000011E-2</v>
      </c>
      <c r="R164" s="294">
        <f>Data!HF78</f>
        <v>9.1999999999999998E-2</v>
      </c>
      <c r="S164" s="294" t="s">
        <v>762</v>
      </c>
      <c r="T164" s="294">
        <f>Data!HG78</f>
        <v>9.4E-2</v>
      </c>
      <c r="U164" s="165"/>
      <c r="V164" s="165"/>
      <c r="W164" s="6"/>
    </row>
    <row r="165" spans="2:23" ht="15" x14ac:dyDescent="0.25">
      <c r="B165" s="6"/>
      <c r="C165" s="165"/>
      <c r="D165" s="165"/>
      <c r="E165" s="946" t="s">
        <v>527</v>
      </c>
      <c r="F165" s="947"/>
      <c r="G165" s="947"/>
      <c r="H165" s="948"/>
      <c r="I165" s="746" t="str">
        <f>INDEX(Locations, selection)</f>
        <v>Kingston Buci</v>
      </c>
      <c r="J165" s="809"/>
      <c r="K165" s="747"/>
      <c r="L165" s="752" t="str">
        <f>INDEX(Locations, selection2)</f>
        <v>Stepping Stones</v>
      </c>
      <c r="M165" s="798"/>
      <c r="N165" s="753"/>
      <c r="O165" s="957" t="s">
        <v>292</v>
      </c>
      <c r="P165" s="958"/>
      <c r="Q165" s="959"/>
      <c r="R165" s="926" t="s">
        <v>294</v>
      </c>
      <c r="S165" s="927"/>
      <c r="T165" s="928"/>
      <c r="U165" s="165"/>
      <c r="V165" s="165"/>
      <c r="W165" s="6"/>
    </row>
    <row r="166" spans="2:23" ht="15" x14ac:dyDescent="0.25">
      <c r="B166" s="6"/>
      <c r="C166" s="165"/>
      <c r="D166" s="165"/>
      <c r="E166" s="949"/>
      <c r="F166" s="950"/>
      <c r="G166" s="950"/>
      <c r="H166" s="951"/>
      <c r="I166" s="748"/>
      <c r="J166" s="810"/>
      <c r="K166" s="749"/>
      <c r="L166" s="754"/>
      <c r="M166" s="799"/>
      <c r="N166" s="755"/>
      <c r="O166" s="960"/>
      <c r="P166" s="961"/>
      <c r="Q166" s="962"/>
      <c r="R166" s="929"/>
      <c r="S166" s="930"/>
      <c r="T166" s="931"/>
      <c r="U166" s="165"/>
      <c r="V166" s="165"/>
      <c r="W166" s="6"/>
    </row>
    <row r="167" spans="2:23" x14ac:dyDescent="0.2">
      <c r="B167" s="6"/>
      <c r="C167" s="69"/>
      <c r="D167" s="69"/>
      <c r="E167" s="952"/>
      <c r="F167" s="953"/>
      <c r="G167" s="953"/>
      <c r="H167" s="954"/>
      <c r="I167" s="750"/>
      <c r="J167" s="955"/>
      <c r="K167" s="751"/>
      <c r="L167" s="756"/>
      <c r="M167" s="956"/>
      <c r="N167" s="757"/>
      <c r="O167" s="963"/>
      <c r="P167" s="964"/>
      <c r="Q167" s="965"/>
      <c r="R167" s="932"/>
      <c r="S167" s="933"/>
      <c r="T167" s="934"/>
      <c r="U167" s="69"/>
      <c r="V167" s="69"/>
      <c r="W167" s="6"/>
    </row>
    <row r="168" spans="2:23" ht="15" x14ac:dyDescent="0.2">
      <c r="B168" s="6"/>
      <c r="C168" s="69"/>
      <c r="D168" s="69"/>
      <c r="E168" s="923" t="s">
        <v>756</v>
      </c>
      <c r="F168" s="923"/>
      <c r="G168" s="923"/>
      <c r="H168" s="923"/>
      <c r="I168" s="942">
        <f>IF(HLOOKUP($E168,Obese2013,selection+1, FALSE) ="", "", HLOOKUP($E168,Obese2013,selection+1, FALSE))</f>
        <v>115</v>
      </c>
      <c r="J168" s="943"/>
      <c r="K168" s="944"/>
      <c r="L168" s="942">
        <f>IF(HLOOKUP($E168,Obese2013, selection2+1, FALSE) = "", "", HLOOKUP($E168,Obese2013, selection2+1, FALSE))</f>
        <v>83</v>
      </c>
      <c r="M168" s="943"/>
      <c r="N168" s="944"/>
      <c r="O168" s="942">
        <f>Data!HI76</f>
        <v>5584</v>
      </c>
      <c r="P168" s="943"/>
      <c r="Q168" s="944"/>
      <c r="R168" s="936">
        <f>Data!HI78</f>
        <v>587336</v>
      </c>
      <c r="S168" s="937"/>
      <c r="T168" s="938"/>
      <c r="U168" s="69"/>
      <c r="V168" s="69"/>
      <c r="W168" s="6"/>
    </row>
    <row r="169" spans="2:23" ht="15" x14ac:dyDescent="0.2">
      <c r="B169" s="6"/>
      <c r="C169" s="69"/>
      <c r="D169" s="69"/>
      <c r="E169" s="923" t="s">
        <v>760</v>
      </c>
      <c r="F169" s="923"/>
      <c r="G169" s="923"/>
      <c r="H169" s="923"/>
      <c r="I169" s="942">
        <f>IF(HLOOKUP($E169,Obese2013,selection+1, FALSE) ="", "", HLOOKUP($E169,Obese2013,selection+1, FALSE))</f>
        <v>12</v>
      </c>
      <c r="J169" s="943"/>
      <c r="K169" s="944"/>
      <c r="L169" s="942">
        <f>IF(HLOOKUP($E169,Obese2013, selection2+1, FALSE) = "", "", HLOOKUP($E169,Obese2013, selection2+1, FALSE))</f>
        <v>9</v>
      </c>
      <c r="M169" s="943"/>
      <c r="N169" s="944"/>
      <c r="O169" s="942">
        <f>Data!HJ76</f>
        <v>474.99737599999992</v>
      </c>
      <c r="P169" s="943"/>
      <c r="Q169" s="944"/>
      <c r="R169" s="936">
        <f>Data!HJ78</f>
        <v>55672.992103999997</v>
      </c>
      <c r="S169" s="937"/>
      <c r="T169" s="938"/>
      <c r="U169" s="69"/>
      <c r="V169" s="69"/>
      <c r="W169" s="6"/>
    </row>
    <row r="170" spans="2:23" ht="15" x14ac:dyDescent="0.2">
      <c r="B170" s="6"/>
      <c r="C170" s="69"/>
      <c r="D170" s="69"/>
      <c r="E170" s="935" t="s">
        <v>755</v>
      </c>
      <c r="F170" s="935"/>
      <c r="G170" s="935"/>
      <c r="H170" s="935"/>
      <c r="I170" s="921">
        <f>IF(HLOOKUP($E170,Obese2013,selection+1, FALSE) ="", "", HLOOKUP($E170,Obese2013,selection+1, FALSE))</f>
        <v>0.10434782608695652</v>
      </c>
      <c r="J170" s="945"/>
      <c r="K170" s="922"/>
      <c r="L170" s="921">
        <f>IF(HLOOKUP($E170,Obese2013, selection2+1, FALSE) = "", "", HLOOKUP($E170,Obese2013, selection2+1, FALSE))</f>
        <v>0.10843373493975904</v>
      </c>
      <c r="M170" s="945"/>
      <c r="N170" s="922"/>
      <c r="O170" s="921">
        <f>Data!HK76</f>
        <v>8.5063999999999987E-2</v>
      </c>
      <c r="P170" s="945"/>
      <c r="Q170" s="922"/>
      <c r="R170" s="921">
        <f>Data!HK78</f>
        <v>9.4788999999999998E-2</v>
      </c>
      <c r="S170" s="945"/>
      <c r="T170" s="922"/>
      <c r="U170" s="69"/>
      <c r="V170" s="69"/>
      <c r="W170" s="6"/>
    </row>
    <row r="171" spans="2:23" ht="15" x14ac:dyDescent="0.2">
      <c r="B171" s="6"/>
      <c r="C171" s="69"/>
      <c r="D171" s="69"/>
      <c r="E171" s="923" t="s">
        <v>757</v>
      </c>
      <c r="F171" s="923"/>
      <c r="G171" s="923"/>
      <c r="H171" s="923"/>
      <c r="I171" s="936" t="str">
        <f>IF(HLOOKUP($E171,Obese2013,selection+1, FALSE) ="", "", HLOOKUP($E171,Obese2013,selection+1, FALSE))</f>
        <v>No Sig diff</v>
      </c>
      <c r="J171" s="937"/>
      <c r="K171" s="938"/>
      <c r="L171" s="936" t="str">
        <f>IF(HLOOKUP($E171,Obese2013, selection2+1, FALSE) = "", "", HLOOKUP($E171,Obese2013, selection2+1, FALSE))</f>
        <v>No Sig diff</v>
      </c>
      <c r="M171" s="937"/>
      <c r="N171" s="938"/>
      <c r="O171" s="939" t="str">
        <f>Data!HN76</f>
        <v>Sig better than Eng.</v>
      </c>
      <c r="P171" s="940"/>
      <c r="Q171" s="941"/>
      <c r="R171" s="823" t="s">
        <v>287</v>
      </c>
      <c r="S171" s="824"/>
      <c r="T171" s="825"/>
      <c r="U171" s="69"/>
      <c r="V171" s="69"/>
      <c r="W171" s="6"/>
    </row>
    <row r="172" spans="2:23" ht="15" x14ac:dyDescent="0.25">
      <c r="B172" s="6"/>
      <c r="C172" s="73" t="s">
        <v>537</v>
      </c>
      <c r="D172" s="73" t="s">
        <v>538</v>
      </c>
      <c r="E172" s="923" t="s">
        <v>758</v>
      </c>
      <c r="F172" s="923"/>
      <c r="G172" s="923"/>
      <c r="H172" s="923"/>
      <c r="I172" s="294">
        <f>IF(HLOOKUP(C172,Obese2013,selection+1,FALSE)= "", "", HLOOKUP(C172,Obese2013,selection+1,FALSE))</f>
        <v>6.0705034420564269E-2</v>
      </c>
      <c r="J172" s="278" t="s">
        <v>762</v>
      </c>
      <c r="K172" s="294">
        <f>IF(HLOOKUP(D172,Obese2013,selection+1,FALSE) = "","", HLOOKUP(D172,Obese2013,selection+1,FALSE))</f>
        <v>0.17356892263932694</v>
      </c>
      <c r="L172" s="294">
        <f>IF(HLOOKUP(C172,Obese2013,selection2+1,FALSE) = "","", HLOOKUP(C172,Obese2013,selection2+1,FALSE))</f>
        <v>5.8104915192981173E-2</v>
      </c>
      <c r="M172" s="278" t="s">
        <v>762</v>
      </c>
      <c r="N172" s="294">
        <f>IF(HLOOKUP(D172,Obese2013,selection2+1,FALSE) = "", "",HLOOKUP(D172,Obese2013,selection2+1,FALSE))</f>
        <v>0.19340466464711878</v>
      </c>
      <c r="O172" s="294">
        <f>Data!HL76</f>
        <v>7.8029000000000001E-2</v>
      </c>
      <c r="P172" s="278" t="s">
        <v>762</v>
      </c>
      <c r="Q172" s="294">
        <f>Data!HM76</f>
        <v>9.2669999999999988E-2</v>
      </c>
      <c r="R172" s="294">
        <f>Data!HL78</f>
        <v>9.4042999999999988E-2</v>
      </c>
      <c r="S172" s="278" t="s">
        <v>762</v>
      </c>
      <c r="T172" s="294">
        <f>Data!HM78</f>
        <v>9.5541000000000001E-2</v>
      </c>
      <c r="U172" s="69"/>
      <c r="V172" s="69"/>
      <c r="W172" s="6"/>
    </row>
    <row r="173" spans="2:23" s="69" customFormat="1" ht="15" x14ac:dyDescent="0.25">
      <c r="B173" s="6"/>
      <c r="C173" s="73"/>
      <c r="D173" s="73"/>
      <c r="E173" s="946" t="s">
        <v>1036</v>
      </c>
      <c r="F173" s="947"/>
      <c r="G173" s="947"/>
      <c r="H173" s="948"/>
      <c r="I173" s="746" t="str">
        <f>INDEX(Locations, selection)</f>
        <v>Kingston Buci</v>
      </c>
      <c r="J173" s="809"/>
      <c r="K173" s="747"/>
      <c r="L173" s="752" t="str">
        <f>INDEX(Locations, selection2)</f>
        <v>Stepping Stones</v>
      </c>
      <c r="M173" s="798"/>
      <c r="N173" s="753"/>
      <c r="O173" s="957" t="s">
        <v>292</v>
      </c>
      <c r="P173" s="958"/>
      <c r="Q173" s="959"/>
      <c r="R173" s="926" t="s">
        <v>294</v>
      </c>
      <c r="S173" s="927"/>
      <c r="T173" s="928"/>
      <c r="W173" s="6"/>
    </row>
    <row r="174" spans="2:23" s="69" customFormat="1" ht="15" x14ac:dyDescent="0.25">
      <c r="B174" s="6"/>
      <c r="C174" s="73"/>
      <c r="D174" s="73"/>
      <c r="E174" s="949"/>
      <c r="F174" s="950"/>
      <c r="G174" s="950"/>
      <c r="H174" s="951"/>
      <c r="I174" s="748"/>
      <c r="J174" s="810"/>
      <c r="K174" s="749"/>
      <c r="L174" s="754"/>
      <c r="M174" s="799"/>
      <c r="N174" s="755"/>
      <c r="O174" s="960"/>
      <c r="P174" s="961"/>
      <c r="Q174" s="962"/>
      <c r="R174" s="929"/>
      <c r="S174" s="930"/>
      <c r="T174" s="931"/>
      <c r="W174" s="6"/>
    </row>
    <row r="175" spans="2:23" s="69" customFormat="1" ht="15" x14ac:dyDescent="0.25">
      <c r="B175" s="6"/>
      <c r="C175" s="73"/>
      <c r="D175" s="73"/>
      <c r="E175" s="952"/>
      <c r="F175" s="953"/>
      <c r="G175" s="953"/>
      <c r="H175" s="954"/>
      <c r="I175" s="750"/>
      <c r="J175" s="955"/>
      <c r="K175" s="751"/>
      <c r="L175" s="756"/>
      <c r="M175" s="956"/>
      <c r="N175" s="757"/>
      <c r="O175" s="963"/>
      <c r="P175" s="964"/>
      <c r="Q175" s="965"/>
      <c r="R175" s="932"/>
      <c r="S175" s="933"/>
      <c r="T175" s="934"/>
      <c r="W175" s="6"/>
    </row>
    <row r="176" spans="2:23" s="69" customFormat="1" ht="15" x14ac:dyDescent="0.25">
      <c r="B176" s="6"/>
      <c r="C176" s="73"/>
      <c r="D176" s="73"/>
      <c r="E176" s="923" t="s">
        <v>756</v>
      </c>
      <c r="F176" s="923"/>
      <c r="G176" s="923"/>
      <c r="H176" s="923"/>
      <c r="I176" s="942">
        <f>IF(HLOOKUP($E176,Obese2014,selection+1, FALSE) ="", "", HLOOKUP($E176,Obese2014,selection+1, FALSE))</f>
        <v>168</v>
      </c>
      <c r="J176" s="943"/>
      <c r="K176" s="944"/>
      <c r="L176" s="942">
        <f>IF(HLOOKUP($E176,Obese2014, selection2+1, FALSE) = "", "", HLOOKUP($E176,Obese2014, selection2+1, FALSE))</f>
        <v>126</v>
      </c>
      <c r="M176" s="943"/>
      <c r="N176" s="944"/>
      <c r="O176" s="942">
        <f>Data!HO76</f>
        <v>8184</v>
      </c>
      <c r="P176" s="943"/>
      <c r="Q176" s="944"/>
      <c r="R176" s="936">
        <f>Data!HO78</f>
        <v>610636</v>
      </c>
      <c r="S176" s="937"/>
      <c r="T176" s="938"/>
      <c r="W176" s="6"/>
    </row>
    <row r="177" spans="2:23" s="69" customFormat="1" ht="15" x14ac:dyDescent="0.25">
      <c r="B177" s="6"/>
      <c r="C177" s="73"/>
      <c r="D177" s="73"/>
      <c r="E177" s="923" t="s">
        <v>760</v>
      </c>
      <c r="F177" s="923"/>
      <c r="G177" s="923"/>
      <c r="H177" s="923"/>
      <c r="I177" s="942">
        <f>IF(HLOOKUP($E177,Obese2014,selection+1, FALSE) ="", "", HLOOKUP($E177,Obese2014,selection+1, FALSE))</f>
        <v>4</v>
      </c>
      <c r="J177" s="943"/>
      <c r="K177" s="944"/>
      <c r="L177" s="942">
        <f>IF(HLOOKUP($E177,Obese2014, selection2+1, FALSE) = "", "", HLOOKUP($E177,Obese2014, selection2+1, FALSE))</f>
        <v>8</v>
      </c>
      <c r="M177" s="943"/>
      <c r="N177" s="944"/>
      <c r="O177" s="942">
        <f>Data!HP76</f>
        <v>593.99999999999977</v>
      </c>
      <c r="P177" s="943"/>
      <c r="Q177" s="944"/>
      <c r="R177" s="936">
        <f>Data!HP78</f>
        <v>55449</v>
      </c>
      <c r="S177" s="937"/>
      <c r="T177" s="938"/>
      <c r="W177" s="6"/>
    </row>
    <row r="178" spans="2:23" s="69" customFormat="1" ht="15" x14ac:dyDescent="0.25">
      <c r="B178" s="6"/>
      <c r="C178" s="73"/>
      <c r="D178" s="73"/>
      <c r="E178" s="935" t="s">
        <v>755</v>
      </c>
      <c r="F178" s="935"/>
      <c r="G178" s="935"/>
      <c r="H178" s="935"/>
      <c r="I178" s="921">
        <f>IF(HLOOKUP($E178,Obese2014,selection+1, FALSE) ="", "", HLOOKUP($E178,Obese2014,selection+1, FALSE))</f>
        <v>2.3809523809523808E-2</v>
      </c>
      <c r="J178" s="945"/>
      <c r="K178" s="922"/>
      <c r="L178" s="921">
        <f>IF(HLOOKUP($E178,Obese2014, selection2+1, FALSE) = "", "", HLOOKUP($E178,Obese2014, selection2+1, FALSE))</f>
        <v>6.3492063492063489E-2</v>
      </c>
      <c r="M178" s="945"/>
      <c r="N178" s="922"/>
      <c r="O178" s="921">
        <f>Data!HQ76</f>
        <v>7.25806451612903E-2</v>
      </c>
      <c r="P178" s="945"/>
      <c r="Q178" s="922"/>
      <c r="R178" s="921">
        <f>Data!HQ78</f>
        <v>9.0805324284844002E-2</v>
      </c>
      <c r="S178" s="945"/>
      <c r="T178" s="922"/>
      <c r="W178" s="6"/>
    </row>
    <row r="179" spans="2:23" s="69" customFormat="1" ht="15" x14ac:dyDescent="0.25">
      <c r="B179" s="6"/>
      <c r="C179" s="73"/>
      <c r="D179" s="73"/>
      <c r="E179" s="923" t="s">
        <v>757</v>
      </c>
      <c r="F179" s="923"/>
      <c r="G179" s="923"/>
      <c r="H179" s="923"/>
      <c r="I179" s="936" t="str">
        <f>IF(HLOOKUP($E179,Obese2014,selection+1, FALSE) ="", "", HLOOKUP($E179,Obese2014,selection+1, FALSE))</f>
        <v>Sig better than Eng.</v>
      </c>
      <c r="J179" s="937"/>
      <c r="K179" s="938"/>
      <c r="L179" s="936" t="str">
        <f>IF(HLOOKUP($E179,Obese2014, selection2+1, FALSE) = "", "", HLOOKUP($E179,Obese2014, selection2+1, FALSE))</f>
        <v>No Sig diff</v>
      </c>
      <c r="M179" s="937"/>
      <c r="N179" s="938"/>
      <c r="O179" s="939" t="str">
        <f>Data!HT76</f>
        <v>Sig better than Eng.</v>
      </c>
      <c r="P179" s="940"/>
      <c r="Q179" s="941"/>
      <c r="R179" s="823" t="s">
        <v>287</v>
      </c>
      <c r="S179" s="824"/>
      <c r="T179" s="825"/>
      <c r="W179" s="6"/>
    </row>
    <row r="180" spans="2:23" ht="15" x14ac:dyDescent="0.25">
      <c r="B180" s="6"/>
      <c r="C180" s="73" t="s">
        <v>537</v>
      </c>
      <c r="D180" s="73" t="s">
        <v>538</v>
      </c>
      <c r="E180" s="923" t="s">
        <v>758</v>
      </c>
      <c r="F180" s="923"/>
      <c r="G180" s="923"/>
      <c r="H180" s="923"/>
      <c r="I180" s="571">
        <f>IF(HLOOKUP(C180,Obese2014,selection+1,FALSE)= "", "", HLOOKUP(C180,Obese2014,selection+1,FALSE))</f>
        <v>9.2971194913950405E-3</v>
      </c>
      <c r="J180" s="563" t="s">
        <v>762</v>
      </c>
      <c r="K180" s="571">
        <f>IF(HLOOKUP(D180,Obese2014,selection+1,FALSE) = "","", HLOOKUP(D180,Obese2014,selection+1,FALSE))</f>
        <v>5.9612088460860239E-2</v>
      </c>
      <c r="L180" s="571">
        <f>IF(HLOOKUP(C180,Obese2014,selection2+1,FALSE) = "","", HLOOKUP(C180,Obese2014,selection2+1,FALSE))</f>
        <v>3.2520539972782904E-2</v>
      </c>
      <c r="M180" s="563" t="s">
        <v>762</v>
      </c>
      <c r="N180" s="571">
        <f>IF(HLOOKUP(D180,Obese2014,selection2+1,FALSE) = "", "",HLOOKUP(D180,Obese2014,selection2+1,FALSE))</f>
        <v>0.12029242901961254</v>
      </c>
      <c r="O180" s="571">
        <f>Data!HR76</f>
        <v>6.7157915551190397E-2</v>
      </c>
      <c r="P180" s="563" t="s">
        <v>762</v>
      </c>
      <c r="Q180" s="571">
        <f>Data!HS76</f>
        <v>7.8404436237721309E-2</v>
      </c>
      <c r="R180" s="571">
        <f>Data!HR78</f>
        <v>9.008721860664419E-2</v>
      </c>
      <c r="S180" s="563" t="s">
        <v>762</v>
      </c>
      <c r="T180" s="571">
        <f>Data!HS78</f>
        <v>9.1528578348031797E-2</v>
      </c>
      <c r="U180" s="69"/>
      <c r="V180" s="69"/>
      <c r="W180" s="6"/>
    </row>
    <row r="181" spans="2:23" s="69" customFormat="1" ht="15" x14ac:dyDescent="0.2">
      <c r="B181" s="6"/>
      <c r="E181" s="130"/>
      <c r="F181" s="130"/>
      <c r="G181" s="130"/>
      <c r="H181" s="130"/>
      <c r="I181" s="579"/>
      <c r="J181" s="562"/>
      <c r="K181" s="579"/>
      <c r="L181" s="579"/>
      <c r="M181" s="562"/>
      <c r="N181" s="579"/>
      <c r="O181" s="579"/>
      <c r="P181" s="562"/>
      <c r="Q181" s="579"/>
      <c r="R181" s="579"/>
      <c r="S181" s="562"/>
      <c r="T181" s="579"/>
      <c r="W181" s="6"/>
    </row>
    <row r="182" spans="2:23" x14ac:dyDescent="0.2">
      <c r="B182" s="6"/>
      <c r="C182" s="69"/>
      <c r="D182" s="69"/>
      <c r="E182" s="69"/>
      <c r="F182" s="69"/>
      <c r="G182" s="69"/>
      <c r="H182" s="69"/>
      <c r="I182" s="69"/>
      <c r="J182" s="69"/>
      <c r="K182" s="69"/>
      <c r="L182" s="69"/>
      <c r="M182" s="69"/>
      <c r="N182" s="69"/>
      <c r="O182" s="69"/>
      <c r="Q182" s="69"/>
      <c r="R182" s="69"/>
      <c r="S182" s="69"/>
      <c r="T182" s="69"/>
      <c r="U182" s="69"/>
      <c r="V182" s="69"/>
      <c r="W182" s="6"/>
    </row>
    <row r="183" spans="2:23" x14ac:dyDescent="0.2">
      <c r="B183" s="6"/>
      <c r="C183" s="69"/>
      <c r="D183" s="69"/>
      <c r="E183" s="69"/>
      <c r="F183" s="69"/>
      <c r="G183" s="69"/>
      <c r="H183" s="69"/>
      <c r="I183" s="69"/>
      <c r="J183" s="69"/>
      <c r="K183" s="69"/>
      <c r="L183" s="69"/>
      <c r="M183" s="69"/>
      <c r="N183" s="69"/>
      <c r="O183" s="69"/>
      <c r="Q183" s="69"/>
      <c r="R183" s="69"/>
      <c r="S183" s="69"/>
      <c r="T183" s="69"/>
      <c r="U183" s="69"/>
      <c r="V183" s="69"/>
      <c r="W183" s="6"/>
    </row>
    <row r="184" spans="2:23" x14ac:dyDescent="0.2">
      <c r="B184" s="6"/>
      <c r="C184" s="69"/>
      <c r="D184" s="69"/>
      <c r="E184" s="69"/>
      <c r="F184" s="69"/>
      <c r="G184" s="69"/>
      <c r="H184" s="69"/>
      <c r="I184" s="69"/>
      <c r="J184" s="69"/>
      <c r="K184" s="69"/>
      <c r="L184" s="69"/>
      <c r="M184" s="69"/>
      <c r="N184" s="69"/>
      <c r="O184" s="69"/>
      <c r="Q184" s="69"/>
      <c r="R184" s="69"/>
      <c r="S184" s="69"/>
      <c r="T184" s="69"/>
      <c r="U184" s="69"/>
      <c r="V184" s="69"/>
      <c r="W184" s="6"/>
    </row>
    <row r="185" spans="2:23" x14ac:dyDescent="0.2">
      <c r="B185" s="6"/>
      <c r="C185" s="69"/>
      <c r="D185" s="69"/>
      <c r="E185" s="69"/>
      <c r="F185" s="69"/>
      <c r="G185" s="69"/>
      <c r="H185" s="69"/>
      <c r="I185" s="69"/>
      <c r="J185" s="69"/>
      <c r="K185" s="69"/>
      <c r="L185" s="69"/>
      <c r="M185" s="69"/>
      <c r="N185" s="69"/>
      <c r="O185" s="69"/>
      <c r="Q185" s="69"/>
      <c r="R185" s="69"/>
      <c r="S185" s="69"/>
      <c r="T185" s="69"/>
      <c r="U185" s="69"/>
      <c r="V185" s="69"/>
      <c r="W185" s="6"/>
    </row>
    <row r="186" spans="2:23" x14ac:dyDescent="0.2">
      <c r="B186" s="6"/>
      <c r="C186" s="69"/>
      <c r="D186" s="69"/>
      <c r="E186" s="69"/>
      <c r="F186" s="69"/>
      <c r="G186" s="69"/>
      <c r="H186" s="69"/>
      <c r="I186" s="69"/>
      <c r="J186" s="69"/>
      <c r="K186" s="69"/>
      <c r="L186" s="69"/>
      <c r="M186" s="69"/>
      <c r="N186" s="69"/>
      <c r="O186" s="69"/>
      <c r="Q186" s="69"/>
      <c r="R186" s="69"/>
      <c r="S186" s="69"/>
      <c r="T186" s="69"/>
      <c r="U186" s="69"/>
      <c r="V186" s="69"/>
      <c r="W186" s="6"/>
    </row>
    <row r="187" spans="2:23" ht="15" x14ac:dyDescent="0.25">
      <c r="B187" s="6"/>
      <c r="C187" s="277"/>
      <c r="D187" s="277"/>
      <c r="E187" s="972" t="s">
        <v>528</v>
      </c>
      <c r="F187" s="972"/>
      <c r="G187" s="972"/>
      <c r="H187" s="972"/>
      <c r="I187" s="635" t="str">
        <f>INDEX(Locations, selection)</f>
        <v>Kingston Buci</v>
      </c>
      <c r="J187" s="635"/>
      <c r="K187" s="635"/>
      <c r="L187" s="637" t="str">
        <f>INDEX(Locations, selection2)</f>
        <v>Stepping Stones</v>
      </c>
      <c r="M187" s="637"/>
      <c r="N187" s="637"/>
      <c r="O187" s="631" t="s">
        <v>292</v>
      </c>
      <c r="P187" s="631"/>
      <c r="Q187" s="631"/>
      <c r="R187" s="632" t="s">
        <v>294</v>
      </c>
      <c r="S187" s="632"/>
      <c r="T187" s="632"/>
      <c r="U187" s="69"/>
      <c r="V187" s="69"/>
      <c r="W187" s="6"/>
    </row>
    <row r="188" spans="2:23" ht="15" x14ac:dyDescent="0.25">
      <c r="B188" s="6"/>
      <c r="C188" s="277"/>
      <c r="D188" s="277"/>
      <c r="E188" s="972"/>
      <c r="F188" s="972"/>
      <c r="G188" s="972"/>
      <c r="H188" s="972"/>
      <c r="I188" s="635"/>
      <c r="J188" s="635"/>
      <c r="K188" s="635"/>
      <c r="L188" s="637"/>
      <c r="M188" s="637"/>
      <c r="N188" s="637"/>
      <c r="O188" s="631"/>
      <c r="P188" s="631"/>
      <c r="Q188" s="631"/>
      <c r="R188" s="632"/>
      <c r="S188" s="632"/>
      <c r="T188" s="632"/>
      <c r="U188" s="69"/>
      <c r="V188" s="69"/>
      <c r="W188" s="6"/>
    </row>
    <row r="189" spans="2:23" ht="15" x14ac:dyDescent="0.25">
      <c r="B189" s="6"/>
      <c r="C189" s="277"/>
      <c r="D189" s="277"/>
      <c r="E189" s="972"/>
      <c r="F189" s="972"/>
      <c r="G189" s="972"/>
      <c r="H189" s="972"/>
      <c r="I189" s="635"/>
      <c r="J189" s="635"/>
      <c r="K189" s="635"/>
      <c r="L189" s="637"/>
      <c r="M189" s="637"/>
      <c r="N189" s="637"/>
      <c r="O189" s="631"/>
      <c r="P189" s="631"/>
      <c r="Q189" s="631"/>
      <c r="R189" s="632"/>
      <c r="S189" s="632"/>
      <c r="T189" s="632"/>
      <c r="U189" s="69"/>
      <c r="V189" s="69"/>
      <c r="W189" s="6"/>
    </row>
    <row r="190" spans="2:23" ht="15" x14ac:dyDescent="0.25">
      <c r="B190" s="6"/>
      <c r="C190" s="277"/>
      <c r="D190" s="277"/>
      <c r="E190" s="923" t="s">
        <v>756</v>
      </c>
      <c r="F190" s="923"/>
      <c r="G190" s="923"/>
      <c r="H190" s="923"/>
      <c r="I190" s="942">
        <f>HLOOKUP($E190,Y6Obese2009,selection+1, FALSE)</f>
        <v>135</v>
      </c>
      <c r="J190" s="943"/>
      <c r="K190" s="944"/>
      <c r="L190" s="942">
        <f>HLOOKUP($E190,Y6Obese2009, selection2+1, FALSE)</f>
        <v>103</v>
      </c>
      <c r="M190" s="943"/>
      <c r="N190" s="944"/>
      <c r="O190" s="942">
        <f>Data!HU76</f>
        <v>7034</v>
      </c>
      <c r="P190" s="943"/>
      <c r="Q190" s="944"/>
      <c r="R190" s="936">
        <f>Data!HU78</f>
        <v>499867</v>
      </c>
      <c r="S190" s="937"/>
      <c r="T190" s="938"/>
      <c r="U190" s="69"/>
      <c r="V190" s="69"/>
      <c r="W190" s="6"/>
    </row>
    <row r="191" spans="2:23" ht="15" x14ac:dyDescent="0.25">
      <c r="B191" s="6"/>
      <c r="C191" s="277"/>
      <c r="D191" s="277"/>
      <c r="E191" s="923" t="s">
        <v>760</v>
      </c>
      <c r="F191" s="923"/>
      <c r="G191" s="923"/>
      <c r="H191" s="923"/>
      <c r="I191" s="942">
        <f>HLOOKUP($E191,Y6Obese2009,selection+1, FALSE)</f>
        <v>25</v>
      </c>
      <c r="J191" s="943"/>
      <c r="K191" s="944"/>
      <c r="L191" s="942">
        <f>HLOOKUP($E191,Y6Obese2009, selection2+1, FALSE)</f>
        <v>19</v>
      </c>
      <c r="M191" s="943"/>
      <c r="N191" s="944"/>
      <c r="O191" s="942">
        <f>Data!HV76</f>
        <v>1104.338</v>
      </c>
      <c r="P191" s="943"/>
      <c r="Q191" s="944"/>
      <c r="R191" s="936">
        <f>Data!HV78</f>
        <v>93475.129000000001</v>
      </c>
      <c r="S191" s="937"/>
      <c r="T191" s="938"/>
      <c r="U191" s="69"/>
      <c r="V191" s="69"/>
      <c r="W191" s="6"/>
    </row>
    <row r="192" spans="2:23" ht="15" x14ac:dyDescent="0.25">
      <c r="B192" s="6"/>
      <c r="C192" s="277"/>
      <c r="D192" s="277"/>
      <c r="E192" s="935" t="s">
        <v>755</v>
      </c>
      <c r="F192" s="935"/>
      <c r="G192" s="935"/>
      <c r="H192" s="935"/>
      <c r="I192" s="921">
        <f>HLOOKUP($E192,Y6Obese2009,selection+1, FALSE)</f>
        <v>0.18518518518518517</v>
      </c>
      <c r="J192" s="945"/>
      <c r="K192" s="922"/>
      <c r="L192" s="921">
        <f>HLOOKUP($E192,Y6Obese2009, selection2+1, FALSE)</f>
        <v>0.18446601941747573</v>
      </c>
      <c r="M192" s="945"/>
      <c r="N192" s="922"/>
      <c r="O192" s="921">
        <f>Data!HW76</f>
        <v>0.157</v>
      </c>
      <c r="P192" s="945"/>
      <c r="Q192" s="922"/>
      <c r="R192" s="921">
        <f>Data!HW78</f>
        <v>0.187</v>
      </c>
      <c r="S192" s="945"/>
      <c r="T192" s="922"/>
      <c r="U192" s="69"/>
      <c r="V192" s="69"/>
      <c r="W192" s="6"/>
    </row>
    <row r="193" spans="2:23" ht="15" x14ac:dyDescent="0.25">
      <c r="B193" s="6"/>
      <c r="C193" s="277"/>
      <c r="D193" s="277"/>
      <c r="E193" s="923" t="s">
        <v>757</v>
      </c>
      <c r="F193" s="923"/>
      <c r="G193" s="923"/>
      <c r="H193" s="923"/>
      <c r="I193" s="823" t="str">
        <f>HLOOKUP($E193,Y6Obese2009,selection+1, FALSE)</f>
        <v>No Sig diff</v>
      </c>
      <c r="J193" s="824"/>
      <c r="K193" s="825"/>
      <c r="L193" s="823" t="str">
        <f>HLOOKUP($E193,Y6Obese2009, selection2+1, FALSE)</f>
        <v>No Sig diff</v>
      </c>
      <c r="M193" s="824"/>
      <c r="N193" s="825"/>
      <c r="O193" s="939" t="str">
        <f>Data!HZ76</f>
        <v>Sig better than Eng.</v>
      </c>
      <c r="P193" s="940"/>
      <c r="Q193" s="941"/>
      <c r="R193" s="823" t="s">
        <v>287</v>
      </c>
      <c r="S193" s="824"/>
      <c r="T193" s="825"/>
      <c r="U193" s="69"/>
      <c r="V193" s="69"/>
      <c r="W193" s="6"/>
    </row>
    <row r="194" spans="2:23" ht="15" x14ac:dyDescent="0.25">
      <c r="B194" s="6"/>
      <c r="C194" s="73" t="s">
        <v>537</v>
      </c>
      <c r="D194" s="73" t="s">
        <v>538</v>
      </c>
      <c r="E194" s="923" t="s">
        <v>758</v>
      </c>
      <c r="F194" s="923"/>
      <c r="G194" s="923"/>
      <c r="H194" s="923"/>
      <c r="I194" s="294">
        <f>HLOOKUP(C194,Y6Obese2009,selection+1,FALSE)</f>
        <v>0.12869783265528051</v>
      </c>
      <c r="J194" s="278" t="s">
        <v>762</v>
      </c>
      <c r="K194" s="294">
        <f>HLOOKUP(D194,Y6Obese2009,selection+1,FALSE)</f>
        <v>0.25909310009649444</v>
      </c>
      <c r="L194" s="294">
        <f>HLOOKUP(C194,Y6Obese2009,selection2+1,FALSE)</f>
        <v>0.12139537223023854</v>
      </c>
      <c r="M194" s="278" t="s">
        <v>762</v>
      </c>
      <c r="N194" s="294">
        <f>HLOOKUP(D194,Y6Obese2009,selection2+1,FALSE)</f>
        <v>0.27022656257424815</v>
      </c>
      <c r="O194" s="294">
        <f>Data!HX76</f>
        <v>0.14799999999999999</v>
      </c>
      <c r="P194" s="278" t="s">
        <v>762</v>
      </c>
      <c r="Q194" s="294">
        <f>Data!HY76</f>
        <v>0.16600000000000001</v>
      </c>
      <c r="R194" s="294">
        <f>Data!HX78</f>
        <v>0.186</v>
      </c>
      <c r="S194" s="278" t="s">
        <v>762</v>
      </c>
      <c r="T194" s="294">
        <f>Data!HY78</f>
        <v>0.188</v>
      </c>
      <c r="U194" s="69"/>
      <c r="V194" s="69"/>
      <c r="W194" s="6"/>
    </row>
    <row r="195" spans="2:23" ht="15" x14ac:dyDescent="0.25">
      <c r="B195" s="6"/>
      <c r="C195" s="277"/>
      <c r="D195" s="277"/>
      <c r="E195" s="972" t="s">
        <v>529</v>
      </c>
      <c r="F195" s="972"/>
      <c r="G195" s="972"/>
      <c r="H195" s="972"/>
      <c r="I195" s="635" t="str">
        <f>INDEX(Locations, selection)</f>
        <v>Kingston Buci</v>
      </c>
      <c r="J195" s="635"/>
      <c r="K195" s="635"/>
      <c r="L195" s="637" t="str">
        <f>INDEX(Locations, selection2)</f>
        <v>Stepping Stones</v>
      </c>
      <c r="M195" s="637"/>
      <c r="N195" s="637"/>
      <c r="O195" s="631" t="s">
        <v>292</v>
      </c>
      <c r="P195" s="631"/>
      <c r="Q195" s="631"/>
      <c r="R195" s="632" t="s">
        <v>294</v>
      </c>
      <c r="S195" s="632"/>
      <c r="T195" s="632"/>
      <c r="U195" s="69"/>
      <c r="V195" s="69"/>
      <c r="W195" s="6"/>
    </row>
    <row r="196" spans="2:23" ht="15" x14ac:dyDescent="0.25">
      <c r="B196" s="6"/>
      <c r="C196" s="277"/>
      <c r="D196" s="277"/>
      <c r="E196" s="972"/>
      <c r="F196" s="972"/>
      <c r="G196" s="972"/>
      <c r="H196" s="972"/>
      <c r="I196" s="635"/>
      <c r="J196" s="635"/>
      <c r="K196" s="635"/>
      <c r="L196" s="637"/>
      <c r="M196" s="637"/>
      <c r="N196" s="637"/>
      <c r="O196" s="631"/>
      <c r="P196" s="631"/>
      <c r="Q196" s="631"/>
      <c r="R196" s="632"/>
      <c r="S196" s="632"/>
      <c r="T196" s="632"/>
      <c r="U196" s="69"/>
      <c r="V196" s="69"/>
      <c r="W196" s="6"/>
    </row>
    <row r="197" spans="2:23" ht="15" x14ac:dyDescent="0.25">
      <c r="B197" s="6"/>
      <c r="C197" s="277"/>
      <c r="D197" s="277"/>
      <c r="E197" s="972"/>
      <c r="F197" s="972"/>
      <c r="G197" s="972"/>
      <c r="H197" s="972"/>
      <c r="I197" s="635"/>
      <c r="J197" s="635"/>
      <c r="K197" s="635"/>
      <c r="L197" s="637"/>
      <c r="M197" s="637"/>
      <c r="N197" s="637"/>
      <c r="O197" s="631"/>
      <c r="P197" s="631"/>
      <c r="Q197" s="631"/>
      <c r="R197" s="632"/>
      <c r="S197" s="632"/>
      <c r="T197" s="632"/>
      <c r="U197" s="69"/>
      <c r="V197" s="69"/>
      <c r="W197" s="6"/>
    </row>
    <row r="198" spans="2:23" ht="15" x14ac:dyDescent="0.25">
      <c r="B198" s="6"/>
      <c r="C198" s="277"/>
      <c r="D198" s="277"/>
      <c r="E198" s="923" t="s">
        <v>756</v>
      </c>
      <c r="F198" s="923"/>
      <c r="G198" s="923"/>
      <c r="H198" s="923"/>
      <c r="I198" s="942">
        <f>HLOOKUP($E198,Y6Obese2010,selection+1, FALSE)</f>
        <v>120</v>
      </c>
      <c r="J198" s="943"/>
      <c r="K198" s="944"/>
      <c r="L198" s="942">
        <f>HLOOKUP($E198, Y6Obese2010, selection2+1, FALSE)</f>
        <v>94</v>
      </c>
      <c r="M198" s="943"/>
      <c r="N198" s="944"/>
      <c r="O198" s="966">
        <f>Data!IA76</f>
        <v>7004</v>
      </c>
      <c r="P198" s="967"/>
      <c r="Q198" s="968"/>
      <c r="R198" s="966">
        <f>Data!IA78</f>
        <v>464334</v>
      </c>
      <c r="S198" s="967"/>
      <c r="T198" s="968"/>
      <c r="U198" s="69"/>
      <c r="V198" s="69"/>
      <c r="W198" s="6"/>
    </row>
    <row r="199" spans="2:23" ht="15" x14ac:dyDescent="0.25">
      <c r="B199" s="6"/>
      <c r="C199" s="277"/>
      <c r="D199" s="277"/>
      <c r="E199" s="923" t="s">
        <v>760</v>
      </c>
      <c r="F199" s="923"/>
      <c r="G199" s="923"/>
      <c r="H199" s="923"/>
      <c r="I199" s="942">
        <f>HLOOKUP($E199,Y6Obese2010,selection+1, FALSE)</f>
        <v>27</v>
      </c>
      <c r="J199" s="943"/>
      <c r="K199" s="944"/>
      <c r="L199" s="942">
        <f>HLOOKUP($E199, Y6Obese2010, selection2+1, FALSE)</f>
        <v>19</v>
      </c>
      <c r="M199" s="943"/>
      <c r="N199" s="944"/>
      <c r="O199" s="966">
        <f>Data!IB76</f>
        <v>1113.636</v>
      </c>
      <c r="P199" s="967"/>
      <c r="Q199" s="968"/>
      <c r="R199" s="966">
        <f>Data!IB78</f>
        <v>88223.46</v>
      </c>
      <c r="S199" s="967"/>
      <c r="T199" s="968"/>
      <c r="U199" s="69"/>
      <c r="V199" s="69"/>
      <c r="W199" s="6"/>
    </row>
    <row r="200" spans="2:23" ht="15" x14ac:dyDescent="0.25">
      <c r="B200" s="6"/>
      <c r="C200" s="277"/>
      <c r="D200" s="277"/>
      <c r="E200" s="935" t="s">
        <v>755</v>
      </c>
      <c r="F200" s="935"/>
      <c r="G200" s="935"/>
      <c r="H200" s="935"/>
      <c r="I200" s="921">
        <f>HLOOKUP($E200,Y6Obese2010,selection+1, FALSE)</f>
        <v>0.22500000000000001</v>
      </c>
      <c r="J200" s="945"/>
      <c r="K200" s="922"/>
      <c r="L200" s="921">
        <f>HLOOKUP($E200, Y6Obese2010, selection2+1, FALSE)</f>
        <v>0.20212765957446807</v>
      </c>
      <c r="M200" s="945"/>
      <c r="N200" s="922"/>
      <c r="O200" s="969">
        <f>Data!IC76</f>
        <v>0.159</v>
      </c>
      <c r="P200" s="970"/>
      <c r="Q200" s="971"/>
      <c r="R200" s="969">
        <f>Data!IC78</f>
        <v>0.19</v>
      </c>
      <c r="S200" s="970"/>
      <c r="T200" s="971"/>
      <c r="U200" s="69"/>
      <c r="V200" s="69"/>
      <c r="W200" s="6"/>
    </row>
    <row r="201" spans="2:23" ht="15" x14ac:dyDescent="0.25">
      <c r="B201" s="6"/>
      <c r="C201" s="277"/>
      <c r="D201" s="277"/>
      <c r="E201" s="923" t="s">
        <v>757</v>
      </c>
      <c r="F201" s="923"/>
      <c r="G201" s="923"/>
      <c r="H201" s="923"/>
      <c r="I201" s="936" t="str">
        <f>HLOOKUP($E201,Y6Obese2010,selection+1, FALSE)</f>
        <v>No Sig diff</v>
      </c>
      <c r="J201" s="937"/>
      <c r="K201" s="938"/>
      <c r="L201" s="936" t="str">
        <f>HLOOKUP($E201, Y6Obese2010, selection2+1, FALSE)</f>
        <v>No Sig diff</v>
      </c>
      <c r="M201" s="937"/>
      <c r="N201" s="938"/>
      <c r="O201" s="823" t="str">
        <f>Data!IF76</f>
        <v>Sig better than Eng.</v>
      </c>
      <c r="P201" s="824"/>
      <c r="Q201" s="825"/>
      <c r="R201" s="823" t="s">
        <v>287</v>
      </c>
      <c r="S201" s="824"/>
      <c r="T201" s="825"/>
      <c r="U201" s="69"/>
      <c r="V201" s="69"/>
      <c r="W201" s="6"/>
    </row>
    <row r="202" spans="2:23" ht="15" x14ac:dyDescent="0.25">
      <c r="B202" s="6"/>
      <c r="C202" s="73" t="s">
        <v>537</v>
      </c>
      <c r="D202" s="73" t="s">
        <v>538</v>
      </c>
      <c r="E202" s="923" t="s">
        <v>758</v>
      </c>
      <c r="F202" s="923"/>
      <c r="G202" s="923"/>
      <c r="H202" s="923"/>
      <c r="I202" s="294">
        <f>HLOOKUP(C202,Y6Obese2010, selection+1, FALSE)</f>
        <v>0.15949154668383531</v>
      </c>
      <c r="J202" s="294" t="s">
        <v>762</v>
      </c>
      <c r="K202" s="294">
        <f>HLOOKUP(D202,Y6Obese2010,selection+1, FALSE)</f>
        <v>0.30756899484645162</v>
      </c>
      <c r="L202" s="294">
        <f>HLOOKUP(C202,Y6Obese2010,selection2+1, FALSE)</f>
        <v>0.1333948198921881</v>
      </c>
      <c r="M202" s="294" t="s">
        <v>762</v>
      </c>
      <c r="N202" s="294">
        <f>HLOOKUP(D202,Y6Obese2010, selection2+1,FALSE)</f>
        <v>0.29425067236660452</v>
      </c>
      <c r="O202" s="294">
        <f>Data!IJ76</f>
        <v>0.14699999999999999</v>
      </c>
      <c r="P202" s="294" t="s">
        <v>762</v>
      </c>
      <c r="Q202" s="294">
        <f>Data!IE76</f>
        <v>0.16800000000000001</v>
      </c>
      <c r="R202" s="294">
        <f>Data!ID78</f>
        <v>0.189</v>
      </c>
      <c r="S202" s="294" t="s">
        <v>762</v>
      </c>
      <c r="T202" s="294">
        <f>Data!IE78</f>
        <v>0.191</v>
      </c>
      <c r="U202" s="69"/>
      <c r="V202" s="69"/>
      <c r="W202" s="6"/>
    </row>
    <row r="203" spans="2:23" ht="15" x14ac:dyDescent="0.25">
      <c r="B203" s="6"/>
      <c r="C203" s="277"/>
      <c r="D203" s="277"/>
      <c r="E203" s="946" t="s">
        <v>530</v>
      </c>
      <c r="F203" s="947"/>
      <c r="G203" s="947"/>
      <c r="H203" s="948"/>
      <c r="I203" s="746" t="str">
        <f>INDEX(Locations, selection)</f>
        <v>Kingston Buci</v>
      </c>
      <c r="J203" s="809"/>
      <c r="K203" s="747"/>
      <c r="L203" s="752" t="str">
        <f>INDEX(Locations, selection2)</f>
        <v>Stepping Stones</v>
      </c>
      <c r="M203" s="798"/>
      <c r="N203" s="753"/>
      <c r="O203" s="957" t="s">
        <v>292</v>
      </c>
      <c r="P203" s="958"/>
      <c r="Q203" s="959"/>
      <c r="R203" s="926" t="s">
        <v>294</v>
      </c>
      <c r="S203" s="927"/>
      <c r="T203" s="928"/>
      <c r="U203" s="69"/>
      <c r="V203" s="69"/>
      <c r="W203" s="6"/>
    </row>
    <row r="204" spans="2:23" ht="15" x14ac:dyDescent="0.25">
      <c r="B204" s="6"/>
      <c r="C204" s="277"/>
      <c r="D204" s="277"/>
      <c r="E204" s="949"/>
      <c r="F204" s="950"/>
      <c r="G204" s="950"/>
      <c r="H204" s="951"/>
      <c r="I204" s="748"/>
      <c r="J204" s="810"/>
      <c r="K204" s="749"/>
      <c r="L204" s="754"/>
      <c r="M204" s="799"/>
      <c r="N204" s="755"/>
      <c r="O204" s="960"/>
      <c r="P204" s="961"/>
      <c r="Q204" s="962"/>
      <c r="R204" s="929"/>
      <c r="S204" s="930"/>
      <c r="T204" s="931"/>
      <c r="U204" s="69"/>
      <c r="V204" s="69"/>
      <c r="W204" s="6"/>
    </row>
    <row r="205" spans="2:23" ht="15" x14ac:dyDescent="0.25">
      <c r="B205" s="6"/>
      <c r="C205" s="277"/>
      <c r="D205" s="277"/>
      <c r="E205" s="952"/>
      <c r="F205" s="953"/>
      <c r="G205" s="953"/>
      <c r="H205" s="954"/>
      <c r="I205" s="750"/>
      <c r="J205" s="955"/>
      <c r="K205" s="751"/>
      <c r="L205" s="756"/>
      <c r="M205" s="956"/>
      <c r="N205" s="757"/>
      <c r="O205" s="963"/>
      <c r="P205" s="964"/>
      <c r="Q205" s="965"/>
      <c r="R205" s="932"/>
      <c r="S205" s="933"/>
      <c r="T205" s="934"/>
      <c r="U205" s="69"/>
      <c r="V205" s="69"/>
      <c r="W205" s="6"/>
    </row>
    <row r="206" spans="2:23" ht="15" x14ac:dyDescent="0.25">
      <c r="B206" s="6"/>
      <c r="C206" s="277"/>
      <c r="D206" s="277"/>
      <c r="E206" s="923" t="s">
        <v>756</v>
      </c>
      <c r="F206" s="923"/>
      <c r="G206" s="923"/>
      <c r="H206" s="923"/>
      <c r="I206" s="942">
        <f>HLOOKUP($E206,Y6Obese2011,selection+1, FALSE)</f>
        <v>121</v>
      </c>
      <c r="J206" s="943"/>
      <c r="K206" s="944"/>
      <c r="L206" s="942">
        <f>HLOOKUP($E206, Y6Obese2011, selection2+1, FALSE)</f>
        <v>97</v>
      </c>
      <c r="M206" s="943"/>
      <c r="N206" s="944"/>
      <c r="O206" s="966">
        <f>Data!IG76</f>
        <v>6928</v>
      </c>
      <c r="P206" s="967"/>
      <c r="Q206" s="968"/>
      <c r="R206" s="966">
        <f>Data!IG78</f>
        <v>491118</v>
      </c>
      <c r="S206" s="967"/>
      <c r="T206" s="968"/>
      <c r="U206" s="69"/>
      <c r="V206" s="69"/>
      <c r="W206" s="6"/>
    </row>
    <row r="207" spans="2:23" ht="15" x14ac:dyDescent="0.25">
      <c r="B207" s="6"/>
      <c r="C207" s="277"/>
      <c r="D207" s="277"/>
      <c r="E207" s="923" t="s">
        <v>760</v>
      </c>
      <c r="F207" s="923"/>
      <c r="G207" s="923"/>
      <c r="H207" s="923"/>
      <c r="I207" s="942">
        <f>HLOOKUP($E207,Y6Obese2011,selection+1, FALSE)</f>
        <v>18</v>
      </c>
      <c r="J207" s="943"/>
      <c r="K207" s="944"/>
      <c r="L207" s="942">
        <f>HLOOKUP($E207, Y6Obese2011, selection2+1, FALSE)</f>
        <v>18</v>
      </c>
      <c r="M207" s="943"/>
      <c r="N207" s="944"/>
      <c r="O207" s="966">
        <f>Data!IH76</f>
        <v>1080.768</v>
      </c>
      <c r="P207" s="967"/>
      <c r="Q207" s="968"/>
      <c r="R207" s="966">
        <f>Data!IH78</f>
        <v>94294.656000000003</v>
      </c>
      <c r="S207" s="967"/>
      <c r="T207" s="968"/>
      <c r="U207" s="69"/>
      <c r="V207" s="69"/>
      <c r="W207" s="6"/>
    </row>
    <row r="208" spans="2:23" ht="15" x14ac:dyDescent="0.25">
      <c r="B208" s="6"/>
      <c r="C208" s="277"/>
      <c r="D208" s="277"/>
      <c r="E208" s="935" t="s">
        <v>755</v>
      </c>
      <c r="F208" s="935"/>
      <c r="G208" s="935"/>
      <c r="H208" s="935"/>
      <c r="I208" s="921">
        <f>HLOOKUP($E208,Y6Obese2011,selection+1, FALSE)</f>
        <v>0.1487603305785124</v>
      </c>
      <c r="J208" s="945"/>
      <c r="K208" s="922"/>
      <c r="L208" s="921">
        <f>HLOOKUP($E208, Y6Obese2011, selection2+1, FALSE)</f>
        <v>0.18556701030927836</v>
      </c>
      <c r="M208" s="945"/>
      <c r="N208" s="922"/>
      <c r="O208" s="969">
        <f>Data!II76</f>
        <v>0.156</v>
      </c>
      <c r="P208" s="970"/>
      <c r="Q208" s="971"/>
      <c r="R208" s="969">
        <f>Data!II78</f>
        <v>0.192</v>
      </c>
      <c r="S208" s="970"/>
      <c r="T208" s="971"/>
      <c r="U208" s="69"/>
      <c r="V208" s="69"/>
      <c r="W208" s="6"/>
    </row>
    <row r="209" spans="2:23" ht="15" x14ac:dyDescent="0.25">
      <c r="B209" s="6"/>
      <c r="C209" s="277"/>
      <c r="D209" s="277"/>
      <c r="E209" s="923" t="s">
        <v>757</v>
      </c>
      <c r="F209" s="923"/>
      <c r="G209" s="923"/>
      <c r="H209" s="923"/>
      <c r="I209" s="936" t="str">
        <f>HLOOKUP($E209,Y6Obese2011,selection+1, FALSE)</f>
        <v>No Sig diff</v>
      </c>
      <c r="J209" s="937"/>
      <c r="K209" s="938"/>
      <c r="L209" s="936" t="str">
        <f>HLOOKUP($E209, Y6Obese2011, selection2+1, FALSE)</f>
        <v>No Sig diff</v>
      </c>
      <c r="M209" s="937"/>
      <c r="N209" s="938"/>
      <c r="O209" s="823" t="str">
        <f>Data!IL76</f>
        <v>Sig better than Eng.</v>
      </c>
      <c r="P209" s="824"/>
      <c r="Q209" s="825"/>
      <c r="R209" s="823" t="s">
        <v>287</v>
      </c>
      <c r="S209" s="824"/>
      <c r="T209" s="825"/>
      <c r="U209" s="69"/>
      <c r="V209" s="69"/>
      <c r="W209" s="6"/>
    </row>
    <row r="210" spans="2:23" ht="15" x14ac:dyDescent="0.25">
      <c r="B210" s="6"/>
      <c r="C210" s="73" t="s">
        <v>537</v>
      </c>
      <c r="D210" s="73" t="s">
        <v>538</v>
      </c>
      <c r="E210" s="923" t="s">
        <v>758</v>
      </c>
      <c r="F210" s="923"/>
      <c r="G210" s="923"/>
      <c r="H210" s="923"/>
      <c r="I210" s="294">
        <f>HLOOKUP(C210,Y6Obese2011, selection+1, FALSE)</f>
        <v>9.6217408704644847E-2</v>
      </c>
      <c r="J210" s="294" t="s">
        <v>762</v>
      </c>
      <c r="K210" s="294">
        <f>HLOOKUP(D210,Y6Obese2011,selection+1, FALSE)</f>
        <v>0.22291903200226135</v>
      </c>
      <c r="L210" s="294">
        <f>HLOOKUP(C210,Y6Obese2011,selection2+1, FALSE)</f>
        <v>0.12072903379332831</v>
      </c>
      <c r="M210" s="294" t="s">
        <v>762</v>
      </c>
      <c r="N210" s="294">
        <f>HLOOKUP(D210,Y6Obese2011, selection2+1,FALSE)</f>
        <v>0.27436103418690677</v>
      </c>
      <c r="O210" s="294">
        <f>Data!IJ76</f>
        <v>0.14699999999999999</v>
      </c>
      <c r="P210" s="294" t="s">
        <v>762</v>
      </c>
      <c r="Q210" s="294">
        <f>Data!IK76</f>
        <v>0.16500000000000001</v>
      </c>
      <c r="R210" s="294">
        <f>Data!IJ78</f>
        <v>0.191</v>
      </c>
      <c r="S210" s="294" t="s">
        <v>762</v>
      </c>
      <c r="T210" s="294">
        <f>Data!IK78</f>
        <v>0.193</v>
      </c>
      <c r="U210" s="69"/>
      <c r="V210" s="69"/>
      <c r="W210" s="6"/>
    </row>
    <row r="211" spans="2:23" ht="15" x14ac:dyDescent="0.25">
      <c r="B211" s="6"/>
      <c r="C211" s="277"/>
      <c r="D211" s="277"/>
      <c r="E211" s="946" t="s">
        <v>531</v>
      </c>
      <c r="F211" s="947"/>
      <c r="G211" s="947"/>
      <c r="H211" s="948"/>
      <c r="I211" s="746" t="str">
        <f>INDEX(Locations, selection)</f>
        <v>Kingston Buci</v>
      </c>
      <c r="J211" s="809"/>
      <c r="K211" s="747"/>
      <c r="L211" s="752" t="str">
        <f>INDEX(Locations, selection2)</f>
        <v>Stepping Stones</v>
      </c>
      <c r="M211" s="798"/>
      <c r="N211" s="753"/>
      <c r="O211" s="957" t="s">
        <v>292</v>
      </c>
      <c r="P211" s="958"/>
      <c r="Q211" s="959"/>
      <c r="R211" s="926" t="s">
        <v>294</v>
      </c>
      <c r="S211" s="927"/>
      <c r="T211" s="928"/>
      <c r="U211" s="69"/>
      <c r="V211" s="69"/>
      <c r="W211" s="6"/>
    </row>
    <row r="212" spans="2:23" ht="15" x14ac:dyDescent="0.25">
      <c r="B212" s="6"/>
      <c r="C212" s="277"/>
      <c r="D212" s="277"/>
      <c r="E212" s="949"/>
      <c r="F212" s="950"/>
      <c r="G212" s="950"/>
      <c r="H212" s="951"/>
      <c r="I212" s="748"/>
      <c r="J212" s="810"/>
      <c r="K212" s="749"/>
      <c r="L212" s="754"/>
      <c r="M212" s="799"/>
      <c r="N212" s="755"/>
      <c r="O212" s="960"/>
      <c r="P212" s="961"/>
      <c r="Q212" s="962"/>
      <c r="R212" s="929"/>
      <c r="S212" s="930"/>
      <c r="T212" s="931"/>
      <c r="U212" s="69"/>
      <c r="V212" s="69"/>
      <c r="W212" s="6"/>
    </row>
    <row r="213" spans="2:23" ht="15" x14ac:dyDescent="0.25">
      <c r="B213" s="6"/>
      <c r="C213" s="277"/>
      <c r="D213" s="277"/>
      <c r="E213" s="952"/>
      <c r="F213" s="953"/>
      <c r="G213" s="953"/>
      <c r="H213" s="954"/>
      <c r="I213" s="750"/>
      <c r="J213" s="955"/>
      <c r="K213" s="751"/>
      <c r="L213" s="756"/>
      <c r="M213" s="956"/>
      <c r="N213" s="757"/>
      <c r="O213" s="963"/>
      <c r="P213" s="964"/>
      <c r="Q213" s="965"/>
      <c r="R213" s="932"/>
      <c r="S213" s="933"/>
      <c r="T213" s="934"/>
      <c r="U213" s="69"/>
      <c r="V213" s="69"/>
      <c r="W213" s="6"/>
    </row>
    <row r="214" spans="2:23" ht="15" x14ac:dyDescent="0.25">
      <c r="B214" s="6"/>
      <c r="C214" s="277"/>
      <c r="D214" s="277"/>
      <c r="E214" s="923" t="s">
        <v>756</v>
      </c>
      <c r="F214" s="923"/>
      <c r="G214" s="923"/>
      <c r="H214" s="923"/>
      <c r="I214" s="942">
        <f>HLOOKUP($E214,Y6Obese2012,selection+1, FALSE)</f>
        <v>125</v>
      </c>
      <c r="J214" s="943"/>
      <c r="K214" s="944"/>
      <c r="L214" s="942">
        <f>HLOOKUP($E214, Y6Obese2012, selection2+1, FALSE)</f>
        <v>90</v>
      </c>
      <c r="M214" s="943"/>
      <c r="N214" s="944"/>
      <c r="O214" s="966">
        <f>Data!IM76</f>
        <v>6804</v>
      </c>
      <c r="P214" s="967"/>
      <c r="Q214" s="968"/>
      <c r="R214" s="966">
        <f>Data!IM78</f>
        <v>487817</v>
      </c>
      <c r="S214" s="967"/>
      <c r="T214" s="968"/>
      <c r="U214" s="69"/>
      <c r="V214" s="69"/>
      <c r="W214" s="6"/>
    </row>
    <row r="215" spans="2:23" ht="15" x14ac:dyDescent="0.25">
      <c r="B215" s="6"/>
      <c r="C215" s="277"/>
      <c r="D215" s="277"/>
      <c r="E215" s="923" t="s">
        <v>760</v>
      </c>
      <c r="F215" s="923"/>
      <c r="G215" s="923"/>
      <c r="H215" s="923"/>
      <c r="I215" s="942">
        <f>HLOOKUP($E215,Y6Obese2012,selection+1, FALSE)</f>
        <v>27</v>
      </c>
      <c r="J215" s="943"/>
      <c r="K215" s="944"/>
      <c r="L215" s="942">
        <f>HLOOKUP($E215, Y6Obese2012, selection2+1, FALSE)</f>
        <v>19</v>
      </c>
      <c r="M215" s="943"/>
      <c r="N215" s="944"/>
      <c r="O215" s="966">
        <f>Data!IN76</f>
        <v>1000.188</v>
      </c>
      <c r="P215" s="967"/>
      <c r="Q215" s="968"/>
      <c r="R215" s="966">
        <f>Data!IN78</f>
        <v>92197.413</v>
      </c>
      <c r="S215" s="967"/>
      <c r="T215" s="968"/>
      <c r="U215" s="69"/>
      <c r="V215" s="69"/>
      <c r="W215" s="6"/>
    </row>
    <row r="216" spans="2:23" ht="15" x14ac:dyDescent="0.25">
      <c r="B216" s="6"/>
      <c r="C216" s="277"/>
      <c r="D216" s="277"/>
      <c r="E216" s="935" t="s">
        <v>755</v>
      </c>
      <c r="F216" s="935"/>
      <c r="G216" s="935"/>
      <c r="H216" s="935"/>
      <c r="I216" s="921">
        <f>HLOOKUP($E216,Y6Obese2012,selection+1, FALSE)</f>
        <v>0.216</v>
      </c>
      <c r="J216" s="945"/>
      <c r="K216" s="922"/>
      <c r="L216" s="921">
        <f>HLOOKUP($E216, Y6Obese2012, selection2+1, FALSE)</f>
        <v>0.21111111111111111</v>
      </c>
      <c r="M216" s="945"/>
      <c r="N216" s="922"/>
      <c r="O216" s="969">
        <f>Data!IO76</f>
        <v>0.14699999999999999</v>
      </c>
      <c r="P216" s="970"/>
      <c r="Q216" s="971"/>
      <c r="R216" s="969">
        <f>Data!IO78</f>
        <v>0.189</v>
      </c>
      <c r="S216" s="970"/>
      <c r="T216" s="971"/>
      <c r="U216" s="69"/>
      <c r="V216" s="69"/>
      <c r="W216" s="6"/>
    </row>
    <row r="217" spans="2:23" ht="15" x14ac:dyDescent="0.25">
      <c r="B217" s="6"/>
      <c r="C217" s="277"/>
      <c r="D217" s="277"/>
      <c r="E217" s="923" t="s">
        <v>757</v>
      </c>
      <c r="F217" s="923"/>
      <c r="G217" s="923"/>
      <c r="H217" s="923"/>
      <c r="I217" s="936" t="str">
        <f>HLOOKUP($E217,Y6Obese2012,selection+1, FALSE)</f>
        <v>No Sig diff</v>
      </c>
      <c r="J217" s="937"/>
      <c r="K217" s="938"/>
      <c r="L217" s="936" t="str">
        <f>HLOOKUP($E217, Y6Obese2012, selection2+1, FALSE)</f>
        <v>No Sig diff</v>
      </c>
      <c r="M217" s="937"/>
      <c r="N217" s="938"/>
      <c r="O217" s="823" t="str">
        <f>Data!IR76</f>
        <v>Sig better than Eng.</v>
      </c>
      <c r="P217" s="824"/>
      <c r="Q217" s="825"/>
      <c r="R217" s="823" t="s">
        <v>287</v>
      </c>
      <c r="S217" s="824"/>
      <c r="T217" s="825"/>
      <c r="U217" s="69"/>
      <c r="V217" s="69"/>
      <c r="W217" s="6"/>
    </row>
    <row r="218" spans="2:23" ht="15" x14ac:dyDescent="0.25">
      <c r="B218" s="6"/>
      <c r="C218" s="73" t="s">
        <v>537</v>
      </c>
      <c r="D218" s="73" t="s">
        <v>538</v>
      </c>
      <c r="E218" s="923" t="s">
        <v>758</v>
      </c>
      <c r="F218" s="923"/>
      <c r="G218" s="923"/>
      <c r="H218" s="923"/>
      <c r="I218" s="294">
        <f>HLOOKUP(C218,Y6Obese2012, selection+1, FALSE)</f>
        <v>0.15290810140879452</v>
      </c>
      <c r="J218" s="294" t="s">
        <v>762</v>
      </c>
      <c r="K218" s="294">
        <f>HLOOKUP(D218,Y6Obese2012,selection+1, FALSE)</f>
        <v>0.2960270422175349</v>
      </c>
      <c r="L218" s="294">
        <f>HLOOKUP(C218,Y6Obese2012,selection2+1, FALSE)</f>
        <v>0.13952592118014923</v>
      </c>
      <c r="M218" s="294" t="s">
        <v>762</v>
      </c>
      <c r="N218" s="294">
        <f>HLOOKUP(D218,Y6Obese2012, selection2+1,FALSE)</f>
        <v>0.30634799581257288</v>
      </c>
      <c r="O218" s="294">
        <f>Data!IP76</f>
        <v>0.13899999999999998</v>
      </c>
      <c r="P218" s="294" t="s">
        <v>762</v>
      </c>
      <c r="Q218" s="294">
        <f>Data!IQ76</f>
        <v>0.155</v>
      </c>
      <c r="R218" s="294">
        <f>Data!IP78</f>
        <v>0.188</v>
      </c>
      <c r="S218" s="294" t="s">
        <v>762</v>
      </c>
      <c r="T218" s="294">
        <f>Data!IQ78</f>
        <v>0.19</v>
      </c>
      <c r="U218" s="69"/>
      <c r="V218" s="69"/>
      <c r="W218" s="6"/>
    </row>
    <row r="219" spans="2:23" ht="15" x14ac:dyDescent="0.25">
      <c r="B219" s="6"/>
      <c r="C219" s="277"/>
      <c r="D219" s="277"/>
      <c r="E219" s="946" t="s">
        <v>532</v>
      </c>
      <c r="F219" s="947"/>
      <c r="G219" s="947"/>
      <c r="H219" s="948"/>
      <c r="I219" s="746" t="str">
        <f>INDEX(Locations, selection)</f>
        <v>Kingston Buci</v>
      </c>
      <c r="J219" s="809"/>
      <c r="K219" s="747"/>
      <c r="L219" s="752" t="str">
        <f>INDEX(Locations, selection2)</f>
        <v>Stepping Stones</v>
      </c>
      <c r="M219" s="798"/>
      <c r="N219" s="753"/>
      <c r="O219" s="957" t="s">
        <v>292</v>
      </c>
      <c r="P219" s="958"/>
      <c r="Q219" s="959"/>
      <c r="R219" s="926" t="s">
        <v>294</v>
      </c>
      <c r="S219" s="927"/>
      <c r="T219" s="928"/>
      <c r="U219" s="69"/>
      <c r="V219" s="69"/>
      <c r="W219" s="6"/>
    </row>
    <row r="220" spans="2:23" ht="15" x14ac:dyDescent="0.25">
      <c r="B220" s="6"/>
      <c r="C220" s="277"/>
      <c r="D220" s="277"/>
      <c r="E220" s="949"/>
      <c r="F220" s="950"/>
      <c r="G220" s="950"/>
      <c r="H220" s="951"/>
      <c r="I220" s="748"/>
      <c r="J220" s="810"/>
      <c r="K220" s="749"/>
      <c r="L220" s="754"/>
      <c r="M220" s="799"/>
      <c r="N220" s="755"/>
      <c r="O220" s="960"/>
      <c r="P220" s="961"/>
      <c r="Q220" s="962"/>
      <c r="R220" s="929"/>
      <c r="S220" s="930"/>
      <c r="T220" s="931"/>
      <c r="U220" s="69"/>
      <c r="V220" s="69"/>
      <c r="W220" s="6"/>
    </row>
    <row r="221" spans="2:23" x14ac:dyDescent="0.2">
      <c r="B221" s="6"/>
      <c r="C221" s="69"/>
      <c r="D221" s="69"/>
      <c r="E221" s="952"/>
      <c r="F221" s="953"/>
      <c r="G221" s="953"/>
      <c r="H221" s="954"/>
      <c r="I221" s="750"/>
      <c r="J221" s="955"/>
      <c r="K221" s="751"/>
      <c r="L221" s="756"/>
      <c r="M221" s="956"/>
      <c r="N221" s="757"/>
      <c r="O221" s="963"/>
      <c r="P221" s="964"/>
      <c r="Q221" s="965"/>
      <c r="R221" s="932"/>
      <c r="S221" s="933"/>
      <c r="T221" s="934"/>
      <c r="U221" s="69"/>
      <c r="V221" s="69"/>
      <c r="W221" s="6"/>
    </row>
    <row r="222" spans="2:23" ht="15" x14ac:dyDescent="0.2">
      <c r="B222" s="6"/>
      <c r="C222" s="69"/>
      <c r="D222" s="69"/>
      <c r="E222" s="923" t="s">
        <v>756</v>
      </c>
      <c r="F222" s="923"/>
      <c r="G222" s="923"/>
      <c r="H222" s="923"/>
      <c r="I222" s="942">
        <f>IF(HLOOKUP($E222,Y6Obese2013,selection+1, FALSE) ="", "", HLOOKUP($E222,Y6Obese2013,selection+1, FALSE))</f>
        <v>117</v>
      </c>
      <c r="J222" s="943"/>
      <c r="K222" s="944"/>
      <c r="L222" s="942">
        <f>IF(HLOOKUP($E222,Y6Obese2013, selection2+1, FALSE) = "", "", HLOOKUP($E222,Y6Obese2013, selection2+1, FALSE))</f>
        <v>111</v>
      </c>
      <c r="M222" s="943"/>
      <c r="N222" s="944"/>
      <c r="O222" s="942">
        <f>Data!IS76</f>
        <v>7269</v>
      </c>
      <c r="P222" s="943"/>
      <c r="Q222" s="944"/>
      <c r="R222" s="936">
        <f>Data!IS78</f>
        <v>514275</v>
      </c>
      <c r="S222" s="937"/>
      <c r="T222" s="938"/>
      <c r="U222" s="69"/>
      <c r="V222" s="69"/>
      <c r="W222" s="6"/>
    </row>
    <row r="223" spans="2:23" ht="15" x14ac:dyDescent="0.2">
      <c r="B223" s="6"/>
      <c r="C223" s="69"/>
      <c r="D223" s="69"/>
      <c r="E223" s="923" t="s">
        <v>760</v>
      </c>
      <c r="F223" s="923"/>
      <c r="G223" s="923"/>
      <c r="H223" s="923"/>
      <c r="I223" s="942">
        <f>IF(HLOOKUP($E223,Y6Obese2013,selection+1, FALSE) ="", "", HLOOKUP($E223,Y6Obese2013,selection+1, FALSE))</f>
        <v>22</v>
      </c>
      <c r="J223" s="943"/>
      <c r="K223" s="944"/>
      <c r="L223" s="942">
        <f>IF(HLOOKUP($E223,Y6Obese2013, selection2+1, FALSE) = "", "", HLOOKUP($E223,Y6Obese2013, selection2+1, FALSE))</f>
        <v>9</v>
      </c>
      <c r="M223" s="943"/>
      <c r="N223" s="944"/>
      <c r="O223" s="942">
        <f>Data!IT76</f>
        <v>1162.996386</v>
      </c>
      <c r="P223" s="943"/>
      <c r="Q223" s="944"/>
      <c r="R223" s="936">
        <f>Data!IT78</f>
        <v>98190.011475000007</v>
      </c>
      <c r="S223" s="937"/>
      <c r="T223" s="938"/>
      <c r="U223" s="69"/>
      <c r="V223" s="69"/>
      <c r="W223" s="6"/>
    </row>
    <row r="224" spans="2:23" ht="15" x14ac:dyDescent="0.2">
      <c r="B224" s="6"/>
      <c r="C224" s="69"/>
      <c r="D224" s="69"/>
      <c r="E224" s="935" t="s">
        <v>755</v>
      </c>
      <c r="F224" s="935"/>
      <c r="G224" s="935"/>
      <c r="H224" s="935"/>
      <c r="I224" s="921">
        <f>IF(HLOOKUP($E224,Y6Obese2013,selection+1, FALSE) ="", "", HLOOKUP($E224,Y6Obese2013,selection+1, FALSE))</f>
        <v>0.18803418803418803</v>
      </c>
      <c r="J224" s="945"/>
      <c r="K224" s="922"/>
      <c r="L224" s="921">
        <f>IF(HLOOKUP($E224,Y6Obese2013, selection2+1, FALSE) = "", "", HLOOKUP($E224,Y6Obese2013, selection2+1, FALSE))</f>
        <v>8.1081081081081086E-2</v>
      </c>
      <c r="M224" s="945"/>
      <c r="N224" s="922"/>
      <c r="O224" s="921">
        <f>Data!IU76</f>
        <v>0.159994</v>
      </c>
      <c r="P224" s="945"/>
      <c r="Q224" s="922"/>
      <c r="R224" s="921">
        <f>Data!IU78</f>
        <v>0.19092900000000002</v>
      </c>
      <c r="S224" s="945"/>
      <c r="T224" s="922"/>
      <c r="U224" s="69"/>
      <c r="V224" s="69"/>
      <c r="W224" s="6"/>
    </row>
    <row r="225" spans="2:23" ht="15" x14ac:dyDescent="0.2">
      <c r="B225" s="6"/>
      <c r="C225" s="69"/>
      <c r="D225" s="69"/>
      <c r="E225" s="923" t="s">
        <v>757</v>
      </c>
      <c r="F225" s="923"/>
      <c r="G225" s="923"/>
      <c r="H225" s="923"/>
      <c r="I225" s="936" t="str">
        <f>IF(HLOOKUP($E225,Y6Obese2013,selection+1, FALSE) ="", "", HLOOKUP($E225,Y6Obese2013,selection+1, FALSE))</f>
        <v>No Sig diff</v>
      </c>
      <c r="J225" s="937"/>
      <c r="K225" s="938"/>
      <c r="L225" s="936" t="str">
        <f>IF(HLOOKUP($E225,Y6Obese2013, selection2+1, FALSE) = "", "", HLOOKUP($E225,Y6Obese2013, selection2+1, FALSE))</f>
        <v>Sig better than Eng.</v>
      </c>
      <c r="M225" s="937"/>
      <c r="N225" s="938"/>
      <c r="O225" s="939" t="str">
        <f>Data!IX76</f>
        <v>Sig better than Eng.</v>
      </c>
      <c r="P225" s="940"/>
      <c r="Q225" s="941"/>
      <c r="R225" s="823" t="s">
        <v>287</v>
      </c>
      <c r="S225" s="824"/>
      <c r="T225" s="825"/>
      <c r="U225" s="69"/>
      <c r="V225" s="69"/>
      <c r="W225" s="6"/>
    </row>
    <row r="226" spans="2:23" ht="15" x14ac:dyDescent="0.25">
      <c r="B226" s="6"/>
      <c r="C226" s="73" t="s">
        <v>537</v>
      </c>
      <c r="D226" s="73" t="s">
        <v>538</v>
      </c>
      <c r="E226" s="923" t="s">
        <v>758</v>
      </c>
      <c r="F226" s="923"/>
      <c r="G226" s="923"/>
      <c r="H226" s="923"/>
      <c r="I226" s="294">
        <f>IF(HLOOKUP(C226,Y6Obese2013,selection+1,FALSE)= "", "", HLOOKUP(C226,Y6Obese2013,selection+1,FALSE))</f>
        <v>0.12758198294157502</v>
      </c>
      <c r="J226" s="278" t="s">
        <v>762</v>
      </c>
      <c r="K226" s="294">
        <f>IF(HLOOKUP(D226,Y6Obese2013,selection+1,FALSE) = "","", HLOOKUP(D226,Y6Obese2013,selection+1,FALSE))</f>
        <v>0.2683207087967116</v>
      </c>
      <c r="L226" s="294">
        <f>IF(HLOOKUP(C226,Y6Obese2013,selection2+1,FALSE) = "","", HLOOKUP(C226,Y6Obese2013,selection2+1,FALSE))</f>
        <v>4.3242002584565523E-2</v>
      </c>
      <c r="M226" s="278" t="s">
        <v>762</v>
      </c>
      <c r="N226" s="294">
        <f>IF(HLOOKUP(D226,Y6Obese2013,selection2+1,FALSE) = "", "",HLOOKUP(D226,Y6Obese2013,selection2+1,FALSE))</f>
        <v>0.14694592296935774</v>
      </c>
      <c r="O226" s="294">
        <f>Data!IV76</f>
        <v>0.15174699999999999</v>
      </c>
      <c r="P226" s="278" t="s">
        <v>762</v>
      </c>
      <c r="Q226" s="294">
        <f>Data!IW76</f>
        <v>0.168601</v>
      </c>
      <c r="R226" s="294">
        <f>Data!IV78</f>
        <v>0.18985700000000003</v>
      </c>
      <c r="S226" s="278" t="s">
        <v>762</v>
      </c>
      <c r="T226" s="294">
        <f>Data!IW78</f>
        <v>0.19200500000000001</v>
      </c>
      <c r="U226" s="69"/>
      <c r="V226" s="69"/>
      <c r="W226" s="6"/>
    </row>
    <row r="227" spans="2:23" s="69" customFormat="1" ht="15" x14ac:dyDescent="0.25">
      <c r="B227" s="6"/>
      <c r="C227" s="73"/>
      <c r="D227" s="73"/>
      <c r="E227" s="946" t="s">
        <v>1037</v>
      </c>
      <c r="F227" s="947"/>
      <c r="G227" s="947"/>
      <c r="H227" s="948"/>
      <c r="I227" s="746" t="str">
        <f>INDEX(Locations, selection)</f>
        <v>Kingston Buci</v>
      </c>
      <c r="J227" s="809"/>
      <c r="K227" s="747"/>
      <c r="L227" s="752" t="str">
        <f>INDEX(Locations, selection2)</f>
        <v>Stepping Stones</v>
      </c>
      <c r="M227" s="798"/>
      <c r="N227" s="753"/>
      <c r="O227" s="957" t="s">
        <v>292</v>
      </c>
      <c r="P227" s="958"/>
      <c r="Q227" s="959"/>
      <c r="R227" s="926" t="s">
        <v>294</v>
      </c>
      <c r="S227" s="927"/>
      <c r="T227" s="928"/>
      <c r="W227" s="6"/>
    </row>
    <row r="228" spans="2:23" s="69" customFormat="1" ht="15" x14ac:dyDescent="0.25">
      <c r="B228" s="6"/>
      <c r="C228" s="73"/>
      <c r="D228" s="73"/>
      <c r="E228" s="949"/>
      <c r="F228" s="950"/>
      <c r="G228" s="950"/>
      <c r="H228" s="951"/>
      <c r="I228" s="748"/>
      <c r="J228" s="810"/>
      <c r="K228" s="749"/>
      <c r="L228" s="754"/>
      <c r="M228" s="799"/>
      <c r="N228" s="755"/>
      <c r="O228" s="960"/>
      <c r="P228" s="961"/>
      <c r="Q228" s="962"/>
      <c r="R228" s="929"/>
      <c r="S228" s="930"/>
      <c r="T228" s="931"/>
      <c r="W228" s="6"/>
    </row>
    <row r="229" spans="2:23" s="69" customFormat="1" ht="15" x14ac:dyDescent="0.25">
      <c r="B229" s="6"/>
      <c r="C229" s="73"/>
      <c r="D229" s="73"/>
      <c r="E229" s="952"/>
      <c r="F229" s="953"/>
      <c r="G229" s="953"/>
      <c r="H229" s="954"/>
      <c r="I229" s="750"/>
      <c r="J229" s="955"/>
      <c r="K229" s="751"/>
      <c r="L229" s="756"/>
      <c r="M229" s="956"/>
      <c r="N229" s="757"/>
      <c r="O229" s="963"/>
      <c r="P229" s="964"/>
      <c r="Q229" s="965"/>
      <c r="R229" s="932"/>
      <c r="S229" s="933"/>
      <c r="T229" s="934"/>
      <c r="W229" s="6"/>
    </row>
    <row r="230" spans="2:23" s="69" customFormat="1" ht="15" x14ac:dyDescent="0.25">
      <c r="B230" s="6"/>
      <c r="C230" s="73"/>
      <c r="D230" s="73"/>
      <c r="E230" s="923" t="s">
        <v>756</v>
      </c>
      <c r="F230" s="923"/>
      <c r="G230" s="923"/>
      <c r="H230" s="923"/>
      <c r="I230" s="942">
        <f>IF(HLOOKUP($E230,ObeseY62014,selection+1, FALSE) ="", "", HLOOKUP($E230,ObeseY62014,selection+1, FALSE))</f>
        <v>131</v>
      </c>
      <c r="J230" s="943"/>
      <c r="K230" s="944"/>
      <c r="L230" s="942">
        <f>IF(HLOOKUP($E230,ObeseY62014, selection2+1, FALSE) = "", "", HLOOKUP($E230,ObeseY62014, selection2+1, FALSE))</f>
        <v>102</v>
      </c>
      <c r="M230" s="943"/>
      <c r="N230" s="944"/>
      <c r="O230" s="942">
        <f>Data!IY76</f>
        <v>7429</v>
      </c>
      <c r="P230" s="943"/>
      <c r="Q230" s="944"/>
      <c r="R230" s="936">
        <f>Data!IY78</f>
        <v>531223</v>
      </c>
      <c r="S230" s="937"/>
      <c r="T230" s="938"/>
      <c r="W230" s="6"/>
    </row>
    <row r="231" spans="2:23" s="69" customFormat="1" ht="15" x14ac:dyDescent="0.25">
      <c r="B231" s="6"/>
      <c r="C231" s="73"/>
      <c r="D231" s="73"/>
      <c r="E231" s="923" t="s">
        <v>760</v>
      </c>
      <c r="F231" s="923"/>
      <c r="G231" s="923"/>
      <c r="H231" s="923"/>
      <c r="I231" s="942">
        <f>IF(HLOOKUP($E231,ObeseY62014,selection+1, FALSE) ="", "", HLOOKUP($E231,ObeseY62014,selection+1, FALSE))</f>
        <v>23</v>
      </c>
      <c r="J231" s="943"/>
      <c r="K231" s="944"/>
      <c r="L231" s="942">
        <f>IF(HLOOKUP($E231,ObeseY62014, selection2+1, FALSE) = "", "", HLOOKUP($E231,ObeseY62014, selection2+1, FALSE))</f>
        <v>22</v>
      </c>
      <c r="M231" s="943"/>
      <c r="N231" s="944"/>
      <c r="O231" s="942">
        <f>Data!IZ76</f>
        <v>2183.9999999999977</v>
      </c>
      <c r="P231" s="943"/>
      <c r="Q231" s="944"/>
      <c r="R231" s="936">
        <f>Data!IZ78</f>
        <v>176576.99999999988</v>
      </c>
      <c r="S231" s="937"/>
      <c r="T231" s="938"/>
      <c r="W231" s="6"/>
    </row>
    <row r="232" spans="2:23" s="69" customFormat="1" ht="15" x14ac:dyDescent="0.25">
      <c r="B232" s="6"/>
      <c r="C232" s="73"/>
      <c r="D232" s="73"/>
      <c r="E232" s="935" t="s">
        <v>755</v>
      </c>
      <c r="F232" s="935"/>
      <c r="G232" s="935"/>
      <c r="H232" s="935"/>
      <c r="I232" s="921">
        <f>IF(HLOOKUP($E232,ObeseY62014,selection+1, FALSE) ="", "", HLOOKUP($E232,ObeseY62014,selection+1, FALSE))</f>
        <v>0.17557251908396945</v>
      </c>
      <c r="J232" s="945"/>
      <c r="K232" s="922"/>
      <c r="L232" s="921">
        <f>IF(HLOOKUP($E232,ObeseY62014, selection2+1, FALSE) = "", "", HLOOKUP($E232,ObeseY62014, selection2+1, FALSE))</f>
        <v>0.21568627450980393</v>
      </c>
      <c r="M232" s="945"/>
      <c r="N232" s="922"/>
      <c r="O232" s="921">
        <f>Data!JA76</f>
        <v>0.29398303944003201</v>
      </c>
      <c r="P232" s="945"/>
      <c r="Q232" s="922"/>
      <c r="R232" s="921">
        <f>Data!JA78</f>
        <v>0.33239712888937395</v>
      </c>
      <c r="S232" s="945"/>
      <c r="T232" s="922"/>
      <c r="W232" s="6"/>
    </row>
    <row r="233" spans="2:23" s="69" customFormat="1" ht="15" x14ac:dyDescent="0.25">
      <c r="B233" s="6"/>
      <c r="C233" s="73"/>
      <c r="D233" s="73"/>
      <c r="E233" s="923" t="s">
        <v>757</v>
      </c>
      <c r="F233" s="923"/>
      <c r="G233" s="923"/>
      <c r="H233" s="923"/>
      <c r="I233" s="936" t="str">
        <f>IF(HLOOKUP($E233,ObeseY62014,selection+1, FALSE) ="", "", HLOOKUP($E233,ObeseY62014,selection+1, FALSE))</f>
        <v>Sig better than Eng.</v>
      </c>
      <c r="J233" s="937"/>
      <c r="K233" s="938"/>
      <c r="L233" s="936" t="str">
        <f>IF(HLOOKUP($E233,ObeseY62014, selection2+1, FALSE) = "", "", HLOOKUP($E233,ObeseY62014, selection2+1, FALSE))</f>
        <v>Sig better than Eng.</v>
      </c>
      <c r="M233" s="937"/>
      <c r="N233" s="938"/>
      <c r="O233" s="939" t="str">
        <f>Data!JD76</f>
        <v>Sig better than Eng.</v>
      </c>
      <c r="P233" s="940"/>
      <c r="Q233" s="941"/>
      <c r="R233" s="823" t="s">
        <v>287</v>
      </c>
      <c r="S233" s="824"/>
      <c r="T233" s="825"/>
      <c r="W233" s="6"/>
    </row>
    <row r="234" spans="2:23" s="69" customFormat="1" ht="15" x14ac:dyDescent="0.25">
      <c r="B234" s="6"/>
      <c r="C234" s="73" t="s">
        <v>537</v>
      </c>
      <c r="D234" s="73" t="s">
        <v>538</v>
      </c>
      <c r="E234" s="923" t="s">
        <v>758</v>
      </c>
      <c r="F234" s="923"/>
      <c r="G234" s="923"/>
      <c r="H234" s="923"/>
      <c r="I234" s="571">
        <f>IF(HLOOKUP(C234,ObeseY62014,selection+1,FALSE)= "", "", HLOOKUP(C234,ObeseY62014,selection+1,FALSE))</f>
        <v>0.11993766480499095</v>
      </c>
      <c r="J234" s="563" t="s">
        <v>762</v>
      </c>
      <c r="K234" s="571">
        <f>IF(HLOOKUP(D234,ObeseY62014,selection+1,FALSE) = "","", HLOOKUP(D234,ObeseY62014,selection+1,FALSE))</f>
        <v>0.24969241229889863</v>
      </c>
      <c r="L234" s="571">
        <f>IF(HLOOKUP(C234,ObeseY62014,selection2+1,FALSE) = "","", HLOOKUP(C234,ObeseY62014,selection2+1,FALSE))</f>
        <v>0.1469720019825288</v>
      </c>
      <c r="M234" s="563" t="s">
        <v>762</v>
      </c>
      <c r="N234" s="571">
        <f>IF(HLOOKUP(D234,ObeseY62014,selection2+1,FALSE) = "", "",HLOOKUP(D234,ObeseY62014,selection2+1,FALSE))</f>
        <v>0.30503857453212674</v>
      </c>
      <c r="O234" s="571">
        <f>Data!JB76</f>
        <v>0.28373183791762796</v>
      </c>
      <c r="P234" s="563" t="s">
        <v>762</v>
      </c>
      <c r="Q234" s="571">
        <f>Data!JC76</f>
        <v>0.304447189314622</v>
      </c>
      <c r="R234" s="571">
        <f>Data!JB78</f>
        <v>0.33113157599582299</v>
      </c>
      <c r="S234" s="563" t="s">
        <v>762</v>
      </c>
      <c r="T234" s="571">
        <f>Data!JC78</f>
        <v>0.33366510575504899</v>
      </c>
      <c r="W234" s="6"/>
    </row>
    <row r="235" spans="2:23" x14ac:dyDescent="0.2">
      <c r="B235" s="6"/>
      <c r="C235" s="69"/>
      <c r="D235" s="69"/>
      <c r="E235" s="69"/>
      <c r="F235" s="69"/>
      <c r="G235" s="69"/>
      <c r="H235" s="69"/>
      <c r="I235" s="69"/>
      <c r="J235" s="69"/>
      <c r="K235" s="69"/>
      <c r="L235" s="69"/>
      <c r="M235" s="69"/>
      <c r="N235" s="69"/>
      <c r="O235" s="69"/>
      <c r="Q235" s="69"/>
      <c r="R235" s="69"/>
      <c r="S235" s="69"/>
      <c r="T235" s="69"/>
      <c r="U235" s="69"/>
      <c r="V235" s="69"/>
      <c r="W235" s="6"/>
    </row>
    <row r="236" spans="2:23" x14ac:dyDescent="0.2">
      <c r="B236" s="6"/>
      <c r="C236" s="69"/>
      <c r="D236" s="69"/>
      <c r="E236" s="69"/>
      <c r="F236" s="69"/>
      <c r="G236" s="69"/>
      <c r="H236" s="69"/>
      <c r="I236" s="69"/>
      <c r="J236" s="69"/>
      <c r="K236" s="69"/>
      <c r="L236" s="69"/>
      <c r="M236" s="69"/>
      <c r="N236" s="69"/>
      <c r="O236" s="69"/>
      <c r="Q236" s="69"/>
      <c r="R236" s="69"/>
      <c r="S236" s="69"/>
      <c r="T236" s="69"/>
      <c r="U236" s="69"/>
      <c r="V236" s="69"/>
      <c r="W236" s="6"/>
    </row>
    <row r="237" spans="2:23" x14ac:dyDescent="0.2">
      <c r="B237" s="6"/>
      <c r="C237" s="69"/>
      <c r="D237" s="69"/>
      <c r="E237" s="69"/>
      <c r="F237" s="69"/>
      <c r="G237" s="69"/>
      <c r="H237" s="69"/>
      <c r="I237" s="69"/>
      <c r="J237" s="69"/>
      <c r="K237" s="69"/>
      <c r="L237" s="69"/>
      <c r="M237" s="69"/>
      <c r="N237" s="69"/>
      <c r="O237" s="69"/>
      <c r="Q237" s="69"/>
      <c r="R237" s="69"/>
      <c r="S237" s="69"/>
      <c r="T237" s="69"/>
      <c r="U237" s="69"/>
      <c r="V237" s="69"/>
      <c r="W237" s="6"/>
    </row>
    <row r="238" spans="2:23" ht="22.5" customHeight="1" x14ac:dyDescent="0.2">
      <c r="B238" s="6"/>
      <c r="C238" s="196"/>
      <c r="D238" s="196"/>
      <c r="E238" s="196"/>
      <c r="F238" s="196"/>
      <c r="G238" s="196"/>
      <c r="H238" s="196"/>
      <c r="I238" s="196"/>
      <c r="J238" s="196"/>
      <c r="K238" s="196"/>
      <c r="L238" s="196"/>
      <c r="M238" s="196"/>
      <c r="N238" s="196"/>
      <c r="O238" s="196"/>
      <c r="P238" s="196"/>
      <c r="Q238" s="196"/>
      <c r="R238" s="196"/>
      <c r="S238" s="196"/>
      <c r="T238" s="196"/>
      <c r="U238" s="196"/>
      <c r="V238" s="69"/>
      <c r="W238" s="6"/>
    </row>
    <row r="239" spans="2:23" ht="15" x14ac:dyDescent="0.25">
      <c r="B239" s="6"/>
      <c r="C239" s="302" t="s">
        <v>533</v>
      </c>
      <c r="D239" s="73"/>
      <c r="E239" s="73"/>
      <c r="F239" s="73"/>
      <c r="G239" s="73"/>
      <c r="H239" s="73"/>
      <c r="I239" s="73"/>
      <c r="J239" s="73"/>
      <c r="K239" s="73"/>
      <c r="L239" s="73"/>
      <c r="M239" s="73"/>
      <c r="N239" s="73"/>
      <c r="O239" s="73"/>
      <c r="P239" s="73"/>
      <c r="Q239" s="73"/>
      <c r="R239" s="73"/>
      <c r="S239" s="73"/>
      <c r="T239" s="73"/>
      <c r="U239" s="73"/>
      <c r="V239" s="165"/>
      <c r="W239" s="6"/>
    </row>
    <row r="240" spans="2:23" ht="13.5" customHeight="1" x14ac:dyDescent="0.25">
      <c r="B240" s="6"/>
      <c r="C240" s="924"/>
      <c r="D240" s="924"/>
      <c r="E240" s="924"/>
      <c r="F240" s="924"/>
      <c r="G240" s="924"/>
      <c r="H240" s="924"/>
      <c r="I240" s="924"/>
      <c r="J240" s="924"/>
      <c r="K240" s="924"/>
      <c r="L240" s="924"/>
      <c r="M240" s="924"/>
      <c r="N240" s="924"/>
      <c r="O240" s="924"/>
      <c r="P240" s="924"/>
      <c r="Q240" s="924"/>
      <c r="R240" s="924"/>
      <c r="S240" s="924"/>
      <c r="T240" s="924"/>
      <c r="U240" s="924"/>
      <c r="V240" s="165"/>
      <c r="W240" s="6"/>
    </row>
    <row r="241" spans="2:23" ht="15" x14ac:dyDescent="0.25">
      <c r="B241" s="6"/>
      <c r="C241" s="303" t="s">
        <v>763</v>
      </c>
      <c r="D241" s="303"/>
      <c r="E241" s="303"/>
      <c r="F241" s="303"/>
      <c r="G241" s="303"/>
      <c r="H241" s="303"/>
      <c r="I241" s="303"/>
      <c r="J241" s="303"/>
      <c r="K241" s="303" t="s">
        <v>764</v>
      </c>
      <c r="L241" s="303"/>
      <c r="M241" s="303"/>
      <c r="N241" s="303"/>
      <c r="O241" s="303"/>
      <c r="P241" s="303"/>
      <c r="Q241" s="303"/>
      <c r="R241" s="303"/>
      <c r="S241" s="303"/>
      <c r="T241" s="303"/>
      <c r="U241" s="303"/>
      <c r="V241" s="165"/>
      <c r="W241" s="6"/>
    </row>
    <row r="242" spans="2:23" ht="15" x14ac:dyDescent="0.25">
      <c r="B242" s="6"/>
      <c r="C242" s="73"/>
      <c r="D242" s="73" t="str">
        <f>I219</f>
        <v>Kingston Buci</v>
      </c>
      <c r="E242" s="76" t="str">
        <f>L133</f>
        <v>Stepping Stones</v>
      </c>
      <c r="F242" s="73" t="str">
        <f>O219</f>
        <v>West Sussex</v>
      </c>
      <c r="G242" s="73" t="str">
        <f>R219</f>
        <v>England</v>
      </c>
      <c r="H242" s="73"/>
      <c r="I242" s="73"/>
      <c r="J242" s="73"/>
      <c r="K242" s="73"/>
      <c r="L242" s="73" t="str">
        <f>D242</f>
        <v>Kingston Buci</v>
      </c>
      <c r="M242" s="73" t="str">
        <f>L227</f>
        <v>Stepping Stones</v>
      </c>
      <c r="N242" s="73" t="s">
        <v>292</v>
      </c>
      <c r="O242" s="73" t="s">
        <v>294</v>
      </c>
      <c r="P242" s="73"/>
      <c r="Q242" s="73"/>
      <c r="R242" s="73"/>
      <c r="S242" s="73"/>
      <c r="T242" s="73"/>
      <c r="U242" s="73"/>
      <c r="V242" s="165"/>
      <c r="W242" s="6"/>
    </row>
    <row r="243" spans="2:23" ht="15" x14ac:dyDescent="0.25">
      <c r="B243" s="6"/>
      <c r="C243" s="73" t="s">
        <v>759</v>
      </c>
      <c r="D243" s="77">
        <f>I138</f>
        <v>4.6875E-2</v>
      </c>
      <c r="E243" s="292">
        <f>L138</f>
        <v>4.7058823529411764E-2</v>
      </c>
      <c r="F243" s="77">
        <f>O138</f>
        <v>7.8E-2</v>
      </c>
      <c r="G243" s="77">
        <f>R138</f>
        <v>9.8000000000000004E-2</v>
      </c>
      <c r="H243" s="73"/>
      <c r="I243" s="73"/>
      <c r="J243" s="73"/>
      <c r="K243" s="73" t="s">
        <v>759</v>
      </c>
      <c r="L243" s="291">
        <f>I192</f>
        <v>0.18518518518518517</v>
      </c>
      <c r="M243" s="291">
        <f>L192</f>
        <v>0.18446601941747573</v>
      </c>
      <c r="N243" s="291">
        <f>O192</f>
        <v>0.157</v>
      </c>
      <c r="O243" s="291">
        <f>R192</f>
        <v>0.187</v>
      </c>
      <c r="P243" s="291"/>
      <c r="Q243" s="291"/>
      <c r="R243" s="76"/>
      <c r="S243" s="291"/>
      <c r="T243" s="291"/>
      <c r="U243" s="76"/>
      <c r="V243" s="165"/>
      <c r="W243" s="6"/>
    </row>
    <row r="244" spans="2:23" ht="15" x14ac:dyDescent="0.25">
      <c r="B244" s="6"/>
      <c r="C244" s="76"/>
      <c r="D244" s="77">
        <f>I138-I140</f>
        <v>2.5217155828076224E-2</v>
      </c>
      <c r="E244" s="292">
        <f>L138-L140</f>
        <v>2.8608562696341055E-2</v>
      </c>
      <c r="F244" s="77">
        <f>O138-O140</f>
        <v>6.0000000000000053E-3</v>
      </c>
      <c r="G244" s="77">
        <f>R138-R140</f>
        <v>1.0000000000000009E-3</v>
      </c>
      <c r="H244" s="73"/>
      <c r="I244" s="73"/>
      <c r="J244" s="73"/>
      <c r="K244" s="73"/>
      <c r="L244" s="291">
        <f>K194-I192</f>
        <v>7.3907914911309269E-2</v>
      </c>
      <c r="M244" s="291">
        <f>N194-L192</f>
        <v>8.5760543156772423E-2</v>
      </c>
      <c r="N244" s="291">
        <f>Q194-O192</f>
        <v>9.000000000000008E-3</v>
      </c>
      <c r="O244" s="291">
        <f>T194-R192</f>
        <v>1.0000000000000009E-3</v>
      </c>
      <c r="P244" s="73"/>
      <c r="Q244" s="73"/>
      <c r="R244" s="73"/>
      <c r="S244" s="73"/>
      <c r="T244" s="73"/>
      <c r="U244" s="73"/>
      <c r="V244" s="165"/>
      <c r="W244" s="6"/>
    </row>
    <row r="245" spans="2:23" ht="15" x14ac:dyDescent="0.25">
      <c r="B245" s="6"/>
      <c r="C245" s="76"/>
      <c r="D245" s="77">
        <f>K140-I138</f>
        <v>5.1622522450943217E-2</v>
      </c>
      <c r="E245" s="292">
        <f>N140-L138</f>
        <v>6.7778448033775918E-2</v>
      </c>
      <c r="F245" s="77">
        <f>Q140-O138</f>
        <v>6.0000000000000053E-3</v>
      </c>
      <c r="G245" s="77">
        <f>T140-R138</f>
        <v>1.0000000000000009E-3</v>
      </c>
      <c r="H245" s="73"/>
      <c r="I245" s="73"/>
      <c r="J245" s="73"/>
      <c r="K245" s="73"/>
      <c r="L245" s="291">
        <f>I192-I194</f>
        <v>5.6487352529904666E-2</v>
      </c>
      <c r="M245" s="291">
        <f>L192-L194</f>
        <v>6.3070647187237192E-2</v>
      </c>
      <c r="N245" s="291">
        <f>O192-O194</f>
        <v>9.000000000000008E-3</v>
      </c>
      <c r="O245" s="291">
        <f>R192-R194</f>
        <v>1.0000000000000009E-3</v>
      </c>
      <c r="P245" s="73"/>
      <c r="Q245" s="73"/>
      <c r="R245" s="73"/>
      <c r="S245" s="73"/>
      <c r="T245" s="73"/>
      <c r="U245" s="73"/>
      <c r="V245" s="165"/>
      <c r="W245" s="6"/>
    </row>
    <row r="246" spans="2:23" ht="15" x14ac:dyDescent="0.25">
      <c r="B246" s="6"/>
      <c r="C246" s="73" t="s">
        <v>624</v>
      </c>
      <c r="D246" s="77">
        <f>I146</f>
        <v>5.7692307692307696E-2</v>
      </c>
      <c r="E246" s="292">
        <f>L146</f>
        <v>0.05</v>
      </c>
      <c r="F246" s="77">
        <f>O146</f>
        <v>0.08</v>
      </c>
      <c r="G246" s="77">
        <f>R146</f>
        <v>9.4E-2</v>
      </c>
      <c r="H246" s="73"/>
      <c r="I246" s="73"/>
      <c r="J246" s="73"/>
      <c r="K246" s="73" t="s">
        <v>624</v>
      </c>
      <c r="L246" s="291">
        <f>I200</f>
        <v>0.22500000000000001</v>
      </c>
      <c r="M246" s="291">
        <f>L200</f>
        <v>0.20212765957446807</v>
      </c>
      <c r="N246" s="291">
        <f>O200</f>
        <v>0.159</v>
      </c>
      <c r="O246" s="291">
        <f>R200</f>
        <v>0.19</v>
      </c>
      <c r="P246" s="291"/>
      <c r="Q246" s="291"/>
      <c r="R246" s="76"/>
      <c r="S246" s="291"/>
      <c r="T246" s="291"/>
      <c r="U246" s="76"/>
      <c r="V246" s="165"/>
      <c r="W246" s="6"/>
    </row>
    <row r="247" spans="2:23" ht="15" x14ac:dyDescent="0.25">
      <c r="B247" s="6"/>
      <c r="C247" s="76"/>
      <c r="D247" s="77">
        <f>I146-I148</f>
        <v>2.704656552851218E-2</v>
      </c>
      <c r="E247" s="292">
        <f>L146-L148</f>
        <v>2.6885635585534206E-2</v>
      </c>
      <c r="F247" s="77">
        <f>O146-O148</f>
        <v>6.0000000000000053E-3</v>
      </c>
      <c r="G247" s="77">
        <f>R146-R148</f>
        <v>1.0000000000000009E-3</v>
      </c>
      <c r="H247" s="73"/>
      <c r="I247" s="73"/>
      <c r="J247" s="73"/>
      <c r="K247" s="73"/>
      <c r="L247" s="291">
        <f>K202-I200</f>
        <v>8.256899484645161E-2</v>
      </c>
      <c r="M247" s="291">
        <f>N202-L200</f>
        <v>9.2123012792136444E-2</v>
      </c>
      <c r="N247" s="291">
        <f>Q202-O200</f>
        <v>9.000000000000008E-3</v>
      </c>
      <c r="O247" s="291">
        <f>T202-R200</f>
        <v>1.0000000000000009E-3</v>
      </c>
      <c r="P247" s="73"/>
      <c r="Q247" s="73"/>
      <c r="R247" s="73"/>
      <c r="S247" s="73"/>
      <c r="T247" s="73"/>
      <c r="U247" s="73"/>
      <c r="V247" s="165"/>
      <c r="W247" s="6"/>
    </row>
    <row r="248" spans="2:23" ht="15" x14ac:dyDescent="0.25">
      <c r="B248" s="6"/>
      <c r="C248" s="76"/>
      <c r="D248" s="77">
        <f>K148-I146</f>
        <v>4.8306466415456148E-2</v>
      </c>
      <c r="E248" s="292">
        <f>N148-L146</f>
        <v>5.480288536236734E-2</v>
      </c>
      <c r="F248" s="77">
        <f>Q148-O146</f>
        <v>6.0000000000000053E-3</v>
      </c>
      <c r="G248" s="77">
        <f>T148-R146</f>
        <v>1.0000000000000009E-3</v>
      </c>
      <c r="H248" s="73"/>
      <c r="I248" s="73"/>
      <c r="J248" s="73"/>
      <c r="K248" s="73"/>
      <c r="L248" s="291">
        <f>I200-I202</f>
        <v>6.55084533161647E-2</v>
      </c>
      <c r="M248" s="291">
        <f>L200-L202</f>
        <v>6.8732839682279973E-2</v>
      </c>
      <c r="N248" s="291">
        <f>O200-O202</f>
        <v>1.2000000000000011E-2</v>
      </c>
      <c r="O248" s="291">
        <f>R200-R202</f>
        <v>1.0000000000000009E-3</v>
      </c>
      <c r="P248" s="73"/>
      <c r="Q248" s="73"/>
      <c r="R248" s="73"/>
      <c r="S248" s="73"/>
      <c r="T248" s="73"/>
      <c r="U248" s="73"/>
      <c r="V248" s="165"/>
      <c r="W248" s="6"/>
    </row>
    <row r="249" spans="2:23" ht="15" x14ac:dyDescent="0.25">
      <c r="B249" s="6"/>
      <c r="C249" s="73" t="s">
        <v>628</v>
      </c>
      <c r="D249" s="77">
        <f>I154</f>
        <v>6.8181818181818177E-2</v>
      </c>
      <c r="E249" s="292">
        <f>L154</f>
        <v>0.14130434782608695</v>
      </c>
      <c r="F249" s="77">
        <f>O154</f>
        <v>7.9000000000000001E-2</v>
      </c>
      <c r="G249" s="77">
        <f>R154</f>
        <v>9.5000000000000001E-2</v>
      </c>
      <c r="H249" s="291"/>
      <c r="I249" s="291"/>
      <c r="J249" s="76"/>
      <c r="K249" s="291" t="s">
        <v>628</v>
      </c>
      <c r="L249" s="291">
        <f>I208</f>
        <v>0.1487603305785124</v>
      </c>
      <c r="M249" s="291">
        <f>L208</f>
        <v>0.18556701030927836</v>
      </c>
      <c r="N249" s="291">
        <f>O208</f>
        <v>0.156</v>
      </c>
      <c r="O249" s="291">
        <f>R208</f>
        <v>0.192</v>
      </c>
      <c r="P249" s="291"/>
      <c r="Q249" s="291"/>
      <c r="R249" s="76"/>
      <c r="S249" s="291"/>
      <c r="T249" s="291"/>
      <c r="U249" s="76"/>
      <c r="V249" s="291">
        <f t="shared" ref="V249" si="4">S208</f>
        <v>0</v>
      </c>
      <c r="W249" s="6"/>
    </row>
    <row r="250" spans="2:23" ht="15" x14ac:dyDescent="0.25">
      <c r="B250" s="6"/>
      <c r="C250" s="76"/>
      <c r="D250" s="77">
        <f>I154-I156</f>
        <v>3.1899483327006609E-2</v>
      </c>
      <c r="E250" s="292">
        <f>L154-L156</f>
        <v>5.6827414042257954E-2</v>
      </c>
      <c r="F250" s="77">
        <f>O154-O156</f>
        <v>6.0000000000000053E-3</v>
      </c>
      <c r="G250" s="77">
        <f>R154-R156</f>
        <v>1.0000000000000009E-3</v>
      </c>
      <c r="H250" s="73"/>
      <c r="I250" s="73"/>
      <c r="J250" s="73"/>
      <c r="K250" s="73"/>
      <c r="L250" s="291">
        <f>K210-I208</f>
        <v>7.4158701423748946E-2</v>
      </c>
      <c r="M250" s="291">
        <f>N210-L208</f>
        <v>8.8794023877628414E-2</v>
      </c>
      <c r="N250" s="291">
        <f>Q210-O208</f>
        <v>9.000000000000008E-3</v>
      </c>
      <c r="O250" s="291">
        <f>T210-R208</f>
        <v>1.0000000000000009E-3</v>
      </c>
      <c r="P250" s="73"/>
      <c r="Q250" s="73"/>
      <c r="R250" s="73"/>
      <c r="S250" s="73"/>
      <c r="T250" s="73"/>
      <c r="U250" s="73"/>
      <c r="V250" s="165"/>
      <c r="W250" s="6"/>
    </row>
    <row r="251" spans="2:23" ht="15" x14ac:dyDescent="0.25">
      <c r="B251" s="6"/>
      <c r="C251" s="76"/>
      <c r="D251" s="77">
        <f>K156-I154</f>
        <v>5.632224465307753E-2</v>
      </c>
      <c r="E251" s="292">
        <f>N156-L154</f>
        <v>8.5581454181943073E-2</v>
      </c>
      <c r="F251" s="77">
        <f>Q156-O154</f>
        <v>6.0000000000000053E-3</v>
      </c>
      <c r="G251" s="77">
        <f>T156-R154</f>
        <v>1.0000000000000009E-3</v>
      </c>
      <c r="H251" s="73"/>
      <c r="I251" s="73"/>
      <c r="J251" s="73"/>
      <c r="K251" s="73"/>
      <c r="L251" s="291">
        <f>I208-I210</f>
        <v>5.2542921873867554E-2</v>
      </c>
      <c r="M251" s="291">
        <f>L208-L210</f>
        <v>6.4837976515950052E-2</v>
      </c>
      <c r="N251" s="291">
        <f>O208-O210</f>
        <v>9.000000000000008E-3</v>
      </c>
      <c r="O251" s="291">
        <f>R208-R210</f>
        <v>1.0000000000000009E-3</v>
      </c>
      <c r="P251" s="73"/>
      <c r="Q251" s="73"/>
      <c r="R251" s="73"/>
      <c r="S251" s="73"/>
      <c r="T251" s="73"/>
      <c r="U251" s="73"/>
      <c r="V251" s="165"/>
      <c r="W251" s="6"/>
    </row>
    <row r="252" spans="2:23" ht="15" x14ac:dyDescent="0.25">
      <c r="B252" s="6"/>
      <c r="C252" s="73" t="s">
        <v>629</v>
      </c>
      <c r="D252" s="77">
        <f>I162</f>
        <v>0.10303030303030303</v>
      </c>
      <c r="E252" s="292">
        <f>L162</f>
        <v>9.6491228070175433E-2</v>
      </c>
      <c r="F252" s="77">
        <f>O162</f>
        <v>8.5000000000000006E-2</v>
      </c>
      <c r="G252" s="77">
        <f>R162</f>
        <v>9.2999999999999999E-2</v>
      </c>
      <c r="H252" s="291"/>
      <c r="I252" s="291"/>
      <c r="J252" s="76"/>
      <c r="K252" s="291" t="s">
        <v>629</v>
      </c>
      <c r="L252" s="291">
        <f>I216</f>
        <v>0.216</v>
      </c>
      <c r="M252" s="291">
        <f>L216</f>
        <v>0.21111111111111111</v>
      </c>
      <c r="N252" s="291">
        <f>O216</f>
        <v>0.14699999999999999</v>
      </c>
      <c r="O252" s="291">
        <f>R216</f>
        <v>0.189</v>
      </c>
      <c r="P252" s="291"/>
      <c r="Q252" s="291"/>
      <c r="R252" s="76"/>
      <c r="S252" s="291"/>
      <c r="T252" s="291"/>
      <c r="U252" s="76"/>
      <c r="V252" s="165"/>
      <c r="W252" s="6"/>
    </row>
    <row r="253" spans="2:23" s="69" customFormat="1" ht="15" x14ac:dyDescent="0.25">
      <c r="B253" s="6"/>
      <c r="C253" s="73"/>
      <c r="D253" s="77">
        <f>I162-I164</f>
        <v>3.7703503318481935E-2</v>
      </c>
      <c r="E253" s="292">
        <f>L162-L164</f>
        <v>4.175507902496163E-2</v>
      </c>
      <c r="F253" s="77">
        <f>O162-O164</f>
        <v>6.0000000000000053E-3</v>
      </c>
      <c r="G253" s="77">
        <f>R162-R164</f>
        <v>1.0000000000000009E-3</v>
      </c>
      <c r="H253" s="291"/>
      <c r="I253" s="291"/>
      <c r="J253" s="76"/>
      <c r="K253" s="291"/>
      <c r="L253" s="291">
        <f>K218-I216</f>
        <v>8.0027042217534899E-2</v>
      </c>
      <c r="M253" s="291">
        <f>N218-L216</f>
        <v>9.5236884701461771E-2</v>
      </c>
      <c r="N253" s="291">
        <f>Q218-O216</f>
        <v>8.0000000000000071E-3</v>
      </c>
      <c r="O253" s="291">
        <f>T218-R216</f>
        <v>1.0000000000000009E-3</v>
      </c>
      <c r="P253" s="291"/>
      <c r="Q253" s="291"/>
      <c r="R253" s="76"/>
      <c r="S253" s="291"/>
      <c r="T253" s="291"/>
      <c r="U253" s="76"/>
      <c r="V253" s="277"/>
      <c r="W253" s="6"/>
    </row>
    <row r="254" spans="2:23" s="69" customFormat="1" ht="13.5" customHeight="1" x14ac:dyDescent="0.25">
      <c r="B254" s="6"/>
      <c r="C254" s="73"/>
      <c r="D254" s="77">
        <f>K164-I162</f>
        <v>5.5767108722317854E-2</v>
      </c>
      <c r="E254" s="292">
        <f>N164-L162</f>
        <v>6.8062667995254844E-2</v>
      </c>
      <c r="F254" s="77">
        <f>Q164-O162</f>
        <v>6.0000000000000053E-3</v>
      </c>
      <c r="G254" s="77">
        <f>T164-R162</f>
        <v>1.0000000000000009E-3</v>
      </c>
      <c r="H254" s="291"/>
      <c r="I254" s="291"/>
      <c r="J254" s="76"/>
      <c r="K254" s="291"/>
      <c r="L254" s="291">
        <f>I216-I218</f>
        <v>6.3091898591205481E-2</v>
      </c>
      <c r="M254" s="291">
        <f>L216-L218</f>
        <v>7.1585189930961884E-2</v>
      </c>
      <c r="N254" s="291">
        <f>O216-O218</f>
        <v>8.0000000000000071E-3</v>
      </c>
      <c r="O254" s="291">
        <f>R216-R218</f>
        <v>1.0000000000000009E-3</v>
      </c>
      <c r="P254" s="291"/>
      <c r="Q254" s="291"/>
      <c r="R254" s="76"/>
      <c r="S254" s="291"/>
      <c r="T254" s="291"/>
      <c r="U254" s="76"/>
      <c r="V254" s="277"/>
      <c r="W254" s="6"/>
    </row>
    <row r="255" spans="2:23" ht="15" x14ac:dyDescent="0.25">
      <c r="B255" s="6"/>
      <c r="C255" s="73" t="s">
        <v>510</v>
      </c>
      <c r="D255" s="77">
        <f>I170</f>
        <v>0.10434782608695652</v>
      </c>
      <c r="E255" s="292">
        <f>L170</f>
        <v>0.10843373493975904</v>
      </c>
      <c r="F255" s="77">
        <f>O170</f>
        <v>8.5063999999999987E-2</v>
      </c>
      <c r="G255" s="77">
        <f>R170</f>
        <v>9.4788999999999998E-2</v>
      </c>
      <c r="H255" s="73"/>
      <c r="I255" s="73"/>
      <c r="J255" s="73"/>
      <c r="K255" s="73" t="s">
        <v>510</v>
      </c>
      <c r="L255" s="77">
        <f>I224</f>
        <v>0.18803418803418803</v>
      </c>
      <c r="M255" s="77">
        <f>L224</f>
        <v>8.1081081081081086E-2</v>
      </c>
      <c r="N255" s="77">
        <f>O224</f>
        <v>0.159994</v>
      </c>
      <c r="O255" s="77">
        <f>R224</f>
        <v>0.19092900000000002</v>
      </c>
      <c r="P255" s="73"/>
      <c r="Q255" s="73"/>
      <c r="R255" s="73"/>
      <c r="S255" s="73"/>
      <c r="T255" s="73"/>
      <c r="U255" s="73"/>
      <c r="V255" s="165"/>
      <c r="W255" s="6"/>
    </row>
    <row r="256" spans="2:23" s="69" customFormat="1" ht="15" x14ac:dyDescent="0.25">
      <c r="B256" s="6"/>
      <c r="C256" s="76"/>
      <c r="D256" s="77">
        <f>I170-I172</f>
        <v>4.3642791666392247E-2</v>
      </c>
      <c r="E256" s="292">
        <f>L170-L172</f>
        <v>5.0328819746777866E-2</v>
      </c>
      <c r="F256" s="77">
        <f>O170-O172</f>
        <v>7.0349999999999857E-3</v>
      </c>
      <c r="G256" s="77">
        <f>R170-R172</f>
        <v>7.4600000000001054E-4</v>
      </c>
      <c r="H256" s="73"/>
      <c r="I256" s="73"/>
      <c r="J256" s="73"/>
      <c r="K256" s="73"/>
      <c r="L256" s="77">
        <f>K226-I224</f>
        <v>8.0286520762523572E-2</v>
      </c>
      <c r="M256" s="77">
        <f>N226-L224</f>
        <v>6.5864841888276654E-2</v>
      </c>
      <c r="N256" s="77">
        <f>Q226-O224</f>
        <v>8.6070000000000035E-3</v>
      </c>
      <c r="O256" s="77">
        <f>T226-R224</f>
        <v>1.0759999999999936E-3</v>
      </c>
      <c r="P256" s="73"/>
      <c r="Q256" s="73"/>
      <c r="R256" s="73"/>
      <c r="S256" s="73"/>
      <c r="T256" s="73"/>
      <c r="U256" s="73"/>
      <c r="V256" s="277"/>
      <c r="W256" s="6"/>
    </row>
    <row r="257" spans="2:23" s="69" customFormat="1" ht="15" x14ac:dyDescent="0.25">
      <c r="B257" s="6"/>
      <c r="C257" s="76"/>
      <c r="D257" s="77">
        <f>K172-I170</f>
        <v>6.9221096552370423E-2</v>
      </c>
      <c r="E257" s="292">
        <f>N172-L170</f>
        <v>8.4970929707359741E-2</v>
      </c>
      <c r="F257" s="77">
        <f>Q172-O170</f>
        <v>7.6060000000000016E-3</v>
      </c>
      <c r="G257" s="77">
        <f>T172-R170</f>
        <v>7.5200000000000267E-4</v>
      </c>
      <c r="H257" s="73"/>
      <c r="I257" s="73"/>
      <c r="J257" s="73"/>
      <c r="K257" s="73"/>
      <c r="L257" s="77">
        <f>I224-I226</f>
        <v>6.0452205092613009E-2</v>
      </c>
      <c r="M257" s="77">
        <f>L224-L226</f>
        <v>3.7839078496515563E-2</v>
      </c>
      <c r="N257" s="77">
        <f>O224-O226</f>
        <v>8.2470000000000043E-3</v>
      </c>
      <c r="O257" s="77">
        <f>R224-R226</f>
        <v>1.0719999999999896E-3</v>
      </c>
      <c r="P257" s="73"/>
      <c r="Q257" s="73"/>
      <c r="R257" s="73"/>
      <c r="S257" s="73"/>
      <c r="T257" s="73"/>
      <c r="U257" s="73"/>
      <c r="V257" s="277"/>
      <c r="W257" s="6"/>
    </row>
    <row r="258" spans="2:23" s="69" customFormat="1" ht="15" x14ac:dyDescent="0.25">
      <c r="B258" s="6"/>
      <c r="C258" s="73" t="s">
        <v>511</v>
      </c>
      <c r="D258" s="77">
        <f>I178</f>
        <v>2.3809523809523808E-2</v>
      </c>
      <c r="E258" s="292">
        <f>L178</f>
        <v>6.3492063492063489E-2</v>
      </c>
      <c r="F258" s="77">
        <f>O178</f>
        <v>7.25806451612903E-2</v>
      </c>
      <c r="G258" s="77">
        <f>R178</f>
        <v>9.0805324284844002E-2</v>
      </c>
      <c r="H258" s="73"/>
      <c r="I258" s="73"/>
      <c r="J258" s="73"/>
      <c r="K258" s="73" t="s">
        <v>511</v>
      </c>
      <c r="L258" s="291">
        <f>I232</f>
        <v>0.17557251908396945</v>
      </c>
      <c r="M258" s="291">
        <f>L232</f>
        <v>0.21568627450980393</v>
      </c>
      <c r="N258" s="291">
        <f>O232</f>
        <v>0.29398303944003201</v>
      </c>
      <c r="O258" s="291">
        <f>R232</f>
        <v>0.33239712888937395</v>
      </c>
      <c r="P258" s="73"/>
      <c r="Q258" s="73"/>
      <c r="R258" s="73"/>
      <c r="S258" s="73"/>
      <c r="T258" s="73"/>
      <c r="U258" s="73"/>
      <c r="V258" s="277"/>
      <c r="W258" s="6"/>
    </row>
    <row r="259" spans="2:23" s="69" customFormat="1" ht="15" x14ac:dyDescent="0.25">
      <c r="B259" s="6"/>
      <c r="C259" s="76"/>
      <c r="D259" s="77">
        <f>I178-I180</f>
        <v>1.4512404318128768E-2</v>
      </c>
      <c r="E259" s="292">
        <f>L178-L180</f>
        <v>3.0971523519280585E-2</v>
      </c>
      <c r="F259" s="77">
        <f>O178-O180</f>
        <v>5.4227296100999023E-3</v>
      </c>
      <c r="G259" s="77">
        <f>R178-R180</f>
        <v>7.1810567819981241E-4</v>
      </c>
      <c r="H259" s="73"/>
      <c r="I259" s="73"/>
      <c r="J259" s="73"/>
      <c r="K259" s="73"/>
      <c r="L259" s="291">
        <f>L258-I234</f>
        <v>5.5634854278978504E-2</v>
      </c>
      <c r="M259" s="291">
        <f>M258-L234</f>
        <v>6.8714272527275133E-2</v>
      </c>
      <c r="N259" s="291">
        <f>N258-O234</f>
        <v>1.0251201522404052E-2</v>
      </c>
      <c r="O259" s="291">
        <f>R232-R234</f>
        <v>1.2655528935509586E-3</v>
      </c>
      <c r="P259" s="73"/>
      <c r="Q259" s="73"/>
      <c r="R259" s="73"/>
      <c r="S259" s="73"/>
      <c r="T259" s="73"/>
      <c r="U259" s="73"/>
      <c r="V259" s="277"/>
      <c r="W259" s="6"/>
    </row>
    <row r="260" spans="2:23" ht="15" x14ac:dyDescent="0.25">
      <c r="B260" s="6"/>
      <c r="C260" s="73"/>
      <c r="D260" s="77">
        <f>K180-I178</f>
        <v>3.5802564651336431E-2</v>
      </c>
      <c r="E260" s="292">
        <f>N180-L178</f>
        <v>5.6800365527549052E-2</v>
      </c>
      <c r="F260" s="77">
        <f>Q180-O178</f>
        <v>5.8237910764310091E-3</v>
      </c>
      <c r="G260" s="77">
        <f>T180-R178</f>
        <v>7.2325406318779484E-4</v>
      </c>
      <c r="H260" s="73"/>
      <c r="I260" s="73"/>
      <c r="J260" s="73"/>
      <c r="K260" s="73"/>
      <c r="L260" s="292">
        <f>K234-I232</f>
        <v>7.4119893214929178E-2</v>
      </c>
      <c r="M260" s="292">
        <f>N234-L232</f>
        <v>8.9352300022322806E-2</v>
      </c>
      <c r="N260" s="292">
        <f>Q234-O232</f>
        <v>1.046414987458999E-2</v>
      </c>
      <c r="O260" s="292">
        <f>T234-R232</f>
        <v>1.2679768656750356E-3</v>
      </c>
      <c r="P260" s="73"/>
      <c r="Q260" s="73"/>
      <c r="R260" s="73"/>
      <c r="S260" s="73"/>
      <c r="T260" s="73"/>
      <c r="U260" s="73"/>
      <c r="V260" s="165"/>
      <c r="W260" s="6"/>
    </row>
    <row r="261" spans="2:23" x14ac:dyDescent="0.2">
      <c r="B261" s="6"/>
      <c r="C261" s="76"/>
      <c r="D261" s="76"/>
      <c r="E261" s="76"/>
      <c r="F261" s="76"/>
      <c r="G261" s="76"/>
      <c r="H261" s="76"/>
      <c r="I261" s="76"/>
      <c r="J261" s="76"/>
      <c r="K261" s="76"/>
      <c r="L261" s="76"/>
      <c r="M261" s="76"/>
      <c r="N261" s="76"/>
      <c r="O261" s="76"/>
      <c r="P261" s="76"/>
      <c r="Q261" s="76"/>
      <c r="R261" s="76"/>
      <c r="S261" s="76"/>
      <c r="T261" s="76"/>
      <c r="U261" s="76"/>
      <c r="V261" s="69"/>
      <c r="W261" s="6"/>
    </row>
    <row r="262" spans="2:23" x14ac:dyDescent="0.2">
      <c r="B262" s="6"/>
      <c r="C262" s="543"/>
      <c r="D262" s="543"/>
      <c r="E262" s="543"/>
      <c r="F262" s="543"/>
      <c r="G262" s="543"/>
      <c r="H262" s="543"/>
      <c r="I262" s="543"/>
      <c r="J262" s="543"/>
      <c r="K262" s="543"/>
      <c r="L262" s="543"/>
      <c r="M262" s="543"/>
      <c r="N262" s="543"/>
      <c r="O262" s="543"/>
      <c r="P262" s="543"/>
      <c r="Q262" s="543"/>
      <c r="R262" s="543"/>
      <c r="S262" s="543"/>
      <c r="T262" s="543"/>
      <c r="U262" s="543"/>
      <c r="V262" s="69"/>
      <c r="W262" s="6"/>
    </row>
    <row r="263" spans="2:23" x14ac:dyDescent="0.2">
      <c r="B263" s="197"/>
      <c r="C263" s="543"/>
      <c r="D263" s="543"/>
      <c r="E263" s="543"/>
      <c r="F263" s="543"/>
      <c r="G263" s="543"/>
      <c r="H263" s="543"/>
      <c r="I263" s="543"/>
      <c r="J263" s="543"/>
      <c r="K263" s="543"/>
      <c r="L263" s="543"/>
      <c r="M263" s="543"/>
      <c r="N263" s="543"/>
      <c r="O263" s="543"/>
      <c r="P263" s="543"/>
      <c r="Q263" s="543"/>
      <c r="R263" s="196"/>
      <c r="S263" s="196"/>
      <c r="T263" s="196"/>
      <c r="U263" s="196"/>
      <c r="V263" s="196"/>
      <c r="W263" s="197"/>
    </row>
    <row r="264" spans="2:23" s="69" customFormat="1" x14ac:dyDescent="0.2">
      <c r="B264" s="197"/>
      <c r="C264" s="543"/>
      <c r="D264" s="543"/>
      <c r="E264" s="543"/>
      <c r="F264" s="543"/>
      <c r="G264" s="543"/>
      <c r="H264" s="543"/>
      <c r="I264" s="543"/>
      <c r="J264" s="543"/>
      <c r="K264" s="543"/>
      <c r="L264" s="543"/>
      <c r="M264" s="543"/>
      <c r="N264" s="543"/>
      <c r="O264" s="543"/>
      <c r="P264" s="543"/>
      <c r="Q264" s="543"/>
      <c r="R264" s="196"/>
      <c r="S264" s="196"/>
      <c r="T264" s="196"/>
      <c r="U264" s="196"/>
      <c r="V264" s="196"/>
      <c r="W264" s="197"/>
    </row>
    <row r="265" spans="2:23" s="69" customFormat="1" x14ac:dyDescent="0.2">
      <c r="B265" s="197"/>
      <c r="C265" s="196"/>
      <c r="D265" s="196"/>
      <c r="E265" s="196"/>
      <c r="F265" s="196"/>
      <c r="G265" s="196"/>
      <c r="H265" s="196"/>
      <c r="I265" s="196"/>
      <c r="J265" s="196"/>
      <c r="K265" s="196"/>
      <c r="L265" s="196"/>
      <c r="M265" s="196"/>
      <c r="N265" s="196"/>
      <c r="O265" s="196"/>
      <c r="P265" s="196"/>
      <c r="Q265" s="196"/>
      <c r="R265" s="196"/>
      <c r="S265" s="196"/>
      <c r="T265" s="196"/>
      <c r="U265" s="196"/>
      <c r="V265" s="196"/>
      <c r="W265" s="197"/>
    </row>
    <row r="266" spans="2:23" s="69" customFormat="1" x14ac:dyDescent="0.2">
      <c r="B266" s="197"/>
      <c r="C266" s="196"/>
      <c r="D266" s="196"/>
      <c r="E266" s="196"/>
      <c r="F266" s="196"/>
      <c r="G266" s="196"/>
      <c r="H266" s="196"/>
      <c r="I266" s="196"/>
      <c r="J266" s="196"/>
      <c r="K266" s="196"/>
      <c r="L266" s="196"/>
      <c r="M266" s="196"/>
      <c r="N266" s="196"/>
      <c r="O266" s="196"/>
      <c r="P266" s="196"/>
      <c r="Q266" s="196"/>
      <c r="R266" s="196"/>
      <c r="S266" s="196"/>
      <c r="T266" s="196"/>
      <c r="U266" s="196"/>
      <c r="V266" s="196"/>
      <c r="W266" s="197"/>
    </row>
    <row r="267" spans="2:23" s="69" customFormat="1" x14ac:dyDescent="0.2">
      <c r="B267" s="197"/>
      <c r="C267" s="196"/>
      <c r="D267" s="196"/>
      <c r="E267" s="196"/>
      <c r="F267" s="196"/>
      <c r="G267" s="196"/>
      <c r="H267" s="196"/>
      <c r="I267" s="196"/>
      <c r="J267" s="196"/>
      <c r="K267" s="196"/>
      <c r="L267" s="196"/>
      <c r="M267" s="196"/>
      <c r="N267" s="196"/>
      <c r="O267" s="196"/>
      <c r="P267" s="196"/>
      <c r="Q267" s="196"/>
      <c r="R267" s="196"/>
      <c r="S267" s="196"/>
      <c r="T267" s="196"/>
      <c r="U267" s="196"/>
      <c r="V267" s="196"/>
      <c r="W267" s="197"/>
    </row>
    <row r="268" spans="2:23" s="69" customFormat="1" x14ac:dyDescent="0.2">
      <c r="B268" s="197"/>
      <c r="C268" s="196"/>
      <c r="D268" s="196"/>
      <c r="E268" s="196"/>
      <c r="F268" s="196"/>
      <c r="G268" s="196"/>
      <c r="H268" s="196"/>
      <c r="I268" s="196"/>
      <c r="J268" s="196"/>
      <c r="K268" s="196"/>
      <c r="L268" s="196"/>
      <c r="M268" s="196"/>
      <c r="N268" s="196"/>
      <c r="O268" s="196"/>
      <c r="P268" s="196"/>
      <c r="Q268" s="196"/>
      <c r="R268" s="196"/>
      <c r="S268" s="196"/>
      <c r="T268" s="196"/>
      <c r="U268" s="196"/>
      <c r="V268" s="196"/>
      <c r="W268" s="197"/>
    </row>
    <row r="269" spans="2:23" s="69" customFormat="1" x14ac:dyDescent="0.2">
      <c r="B269" s="197"/>
      <c r="C269" s="196"/>
      <c r="D269" s="196"/>
      <c r="E269" s="196"/>
      <c r="F269" s="196"/>
      <c r="G269" s="196"/>
      <c r="H269" s="196"/>
      <c r="I269" s="196"/>
      <c r="J269" s="196"/>
      <c r="K269" s="196"/>
      <c r="L269" s="196"/>
      <c r="M269" s="196"/>
      <c r="N269" s="196"/>
      <c r="O269" s="196"/>
      <c r="P269" s="196"/>
      <c r="Q269" s="196"/>
      <c r="R269" s="196"/>
      <c r="S269" s="196"/>
      <c r="T269" s="196"/>
      <c r="U269" s="196"/>
      <c r="V269" s="196"/>
      <c r="W269" s="197"/>
    </row>
    <row r="270" spans="2:23" s="69" customFormat="1" x14ac:dyDescent="0.2">
      <c r="B270" s="197"/>
      <c r="C270" s="196"/>
      <c r="D270" s="196"/>
      <c r="E270" s="196"/>
      <c r="F270" s="196"/>
      <c r="G270" s="196"/>
      <c r="H270" s="196"/>
      <c r="I270" s="196"/>
      <c r="J270" s="196"/>
      <c r="K270" s="196"/>
      <c r="L270" s="196"/>
      <c r="M270" s="196"/>
      <c r="N270" s="196"/>
      <c r="O270" s="196"/>
      <c r="P270" s="196"/>
      <c r="Q270" s="196"/>
      <c r="R270" s="196"/>
      <c r="S270" s="196"/>
      <c r="T270" s="196"/>
      <c r="U270" s="196"/>
      <c r="V270" s="196"/>
      <c r="W270" s="197"/>
    </row>
    <row r="271" spans="2:23" s="69" customFormat="1" x14ac:dyDescent="0.2">
      <c r="B271" s="197"/>
      <c r="C271" s="196"/>
      <c r="D271" s="196"/>
      <c r="E271" s="196"/>
      <c r="F271" s="196"/>
      <c r="G271" s="196"/>
      <c r="H271" s="196"/>
      <c r="I271" s="196"/>
      <c r="J271" s="196"/>
      <c r="K271" s="196"/>
      <c r="L271" s="196"/>
      <c r="M271" s="196"/>
      <c r="N271" s="196"/>
      <c r="O271" s="196"/>
      <c r="P271" s="196"/>
      <c r="Q271" s="196"/>
      <c r="R271" s="196"/>
      <c r="S271" s="196"/>
      <c r="T271" s="196"/>
      <c r="U271" s="196"/>
      <c r="V271" s="196"/>
      <c r="W271" s="197"/>
    </row>
    <row r="272" spans="2:23" s="69" customFormat="1" x14ac:dyDescent="0.2">
      <c r="B272" s="197"/>
      <c r="C272" s="196"/>
      <c r="D272" s="196"/>
      <c r="E272" s="196"/>
      <c r="F272" s="196"/>
      <c r="G272" s="196"/>
      <c r="H272" s="196"/>
      <c r="I272" s="196"/>
      <c r="J272" s="196"/>
      <c r="K272" s="196"/>
      <c r="L272" s="196"/>
      <c r="M272" s="196"/>
      <c r="N272" s="196"/>
      <c r="O272" s="196"/>
      <c r="P272" s="196"/>
      <c r="Q272" s="196"/>
      <c r="R272" s="196"/>
      <c r="S272" s="196"/>
      <c r="T272" s="196"/>
      <c r="U272" s="196"/>
      <c r="V272" s="196"/>
      <c r="W272" s="197"/>
    </row>
    <row r="273" spans="2:23" x14ac:dyDescent="0.2">
      <c r="B273" s="197"/>
      <c r="C273" s="196"/>
      <c r="D273" s="196"/>
      <c r="E273" s="196"/>
      <c r="F273" s="196"/>
      <c r="G273" s="196"/>
      <c r="H273" s="196"/>
      <c r="I273" s="196"/>
      <c r="J273" s="196"/>
      <c r="K273" s="196"/>
      <c r="L273" s="196"/>
      <c r="M273" s="196"/>
      <c r="N273" s="196"/>
      <c r="O273" s="196"/>
      <c r="P273" s="196"/>
      <c r="Q273" s="196"/>
      <c r="R273" s="196"/>
      <c r="S273" s="196"/>
      <c r="T273" s="196"/>
      <c r="U273" s="196"/>
      <c r="V273" s="196"/>
      <c r="W273" s="197"/>
    </row>
    <row r="274" spans="2:23" s="69" customFormat="1" x14ac:dyDescent="0.2">
      <c r="B274" s="197"/>
      <c r="C274" s="197"/>
      <c r="D274" s="197"/>
      <c r="E274" s="197"/>
      <c r="F274" s="197"/>
      <c r="G274" s="197"/>
      <c r="H274" s="197"/>
      <c r="I274" s="197"/>
      <c r="J274" s="197"/>
      <c r="K274" s="197"/>
      <c r="L274" s="197"/>
      <c r="M274" s="197"/>
      <c r="N274" s="197"/>
      <c r="O274" s="197"/>
      <c r="P274" s="197"/>
      <c r="Q274" s="197"/>
      <c r="R274" s="197"/>
      <c r="S274" s="197"/>
      <c r="T274" s="197"/>
      <c r="U274" s="197"/>
      <c r="V274" s="197"/>
      <c r="W274" s="197"/>
    </row>
    <row r="275" spans="2:23" x14ac:dyDescent="0.2">
      <c r="B275" s="197"/>
      <c r="C275" s="197"/>
      <c r="D275" s="197"/>
      <c r="E275" s="197"/>
      <c r="F275" s="197"/>
      <c r="G275" s="197"/>
      <c r="H275" s="197"/>
      <c r="I275" s="197"/>
      <c r="J275" s="197"/>
      <c r="K275" s="197"/>
      <c r="L275" s="197"/>
      <c r="M275" s="197"/>
      <c r="N275" s="197"/>
      <c r="O275" s="197"/>
      <c r="P275" s="197"/>
      <c r="Q275" s="197"/>
      <c r="R275" s="197"/>
      <c r="S275" s="197"/>
      <c r="T275" s="197"/>
      <c r="U275" s="197"/>
      <c r="V275" s="197"/>
      <c r="W275" s="197"/>
    </row>
    <row r="276" spans="2:23" x14ac:dyDescent="0.2">
      <c r="B276" s="197"/>
      <c r="C276" s="196"/>
      <c r="D276" s="196"/>
      <c r="E276" s="196"/>
      <c r="F276" s="196"/>
      <c r="G276" s="196"/>
      <c r="H276" s="196"/>
      <c r="I276" s="196"/>
      <c r="J276" s="196"/>
      <c r="K276" s="196"/>
      <c r="L276" s="196"/>
      <c r="M276" s="196"/>
      <c r="N276" s="196"/>
      <c r="O276" s="196"/>
      <c r="P276" s="196"/>
      <c r="Q276" s="196"/>
      <c r="R276" s="196"/>
      <c r="S276" s="196"/>
      <c r="T276" s="196"/>
      <c r="U276" s="196"/>
      <c r="V276" s="196"/>
      <c r="W276" s="197"/>
    </row>
    <row r="277" spans="2:23" x14ac:dyDescent="0.2">
      <c r="B277" s="197"/>
      <c r="C277" s="196"/>
      <c r="D277" s="196"/>
      <c r="E277" s="196"/>
      <c r="F277" s="196"/>
      <c r="G277" s="196"/>
      <c r="H277" s="196"/>
      <c r="I277" s="196"/>
      <c r="J277" s="196"/>
      <c r="K277" s="196"/>
      <c r="L277" s="196"/>
      <c r="M277" s="196"/>
      <c r="N277" s="196"/>
      <c r="O277" s="196"/>
      <c r="P277" s="196"/>
      <c r="Q277" s="196"/>
      <c r="R277" s="196"/>
      <c r="S277" s="196"/>
      <c r="T277" s="196"/>
      <c r="U277" s="196"/>
      <c r="V277" s="196"/>
      <c r="W277" s="197"/>
    </row>
    <row r="278" spans="2:23" x14ac:dyDescent="0.2">
      <c r="B278" s="197"/>
      <c r="C278" s="196"/>
      <c r="D278" s="196"/>
      <c r="E278" s="196"/>
      <c r="F278" s="196"/>
      <c r="G278" s="196"/>
      <c r="H278" s="196"/>
      <c r="I278" s="196"/>
      <c r="J278" s="196"/>
      <c r="K278" s="196"/>
      <c r="L278" s="196"/>
      <c r="M278" s="196"/>
      <c r="N278" s="196"/>
      <c r="O278" s="196"/>
      <c r="P278" s="196"/>
      <c r="Q278" s="196"/>
      <c r="R278" s="196"/>
      <c r="S278" s="196"/>
      <c r="T278" s="196"/>
      <c r="U278" s="196"/>
      <c r="V278" s="196"/>
      <c r="W278" s="197"/>
    </row>
    <row r="279" spans="2:23" x14ac:dyDescent="0.2">
      <c r="B279" s="197"/>
      <c r="C279" s="196"/>
      <c r="D279" s="196"/>
      <c r="E279" s="196"/>
      <c r="F279" s="196"/>
      <c r="G279" s="196"/>
      <c r="H279" s="196"/>
      <c r="I279" s="196"/>
      <c r="J279" s="196"/>
      <c r="K279" s="196"/>
      <c r="L279" s="196"/>
      <c r="M279" s="196"/>
      <c r="N279" s="196"/>
      <c r="O279" s="196"/>
      <c r="P279" s="196"/>
      <c r="Q279" s="196"/>
      <c r="R279" s="196"/>
      <c r="S279" s="196"/>
      <c r="T279" s="196"/>
      <c r="U279" s="196"/>
      <c r="V279" s="196"/>
      <c r="W279" s="197"/>
    </row>
    <row r="280" spans="2:23" x14ac:dyDescent="0.2">
      <c r="B280" s="197"/>
      <c r="C280" s="196"/>
      <c r="D280" s="196"/>
      <c r="E280" s="196"/>
      <c r="F280" s="196"/>
      <c r="G280" s="196"/>
      <c r="H280" s="196"/>
      <c r="I280" s="196"/>
      <c r="J280" s="196"/>
      <c r="K280" s="196"/>
      <c r="L280" s="196"/>
      <c r="M280" s="196"/>
      <c r="N280" s="196"/>
      <c r="O280" s="196"/>
      <c r="P280" s="196"/>
      <c r="Q280" s="196"/>
      <c r="R280" s="196"/>
      <c r="S280" s="196"/>
      <c r="T280" s="196"/>
      <c r="U280" s="196"/>
      <c r="V280" s="196"/>
      <c r="W280" s="197"/>
    </row>
    <row r="281" spans="2:23" x14ac:dyDescent="0.2">
      <c r="B281" s="197"/>
      <c r="C281" s="196"/>
      <c r="D281" s="196"/>
      <c r="E281" s="196"/>
      <c r="F281" s="196"/>
      <c r="G281" s="196"/>
      <c r="H281" s="196"/>
      <c r="I281" s="196"/>
      <c r="J281" s="196"/>
      <c r="K281" s="196"/>
      <c r="L281" s="196"/>
      <c r="M281" s="196"/>
      <c r="N281" s="196"/>
      <c r="O281" s="196"/>
      <c r="P281" s="196"/>
      <c r="Q281" s="196"/>
      <c r="R281" s="196"/>
      <c r="S281" s="196"/>
      <c r="T281" s="196"/>
      <c r="U281" s="196"/>
      <c r="V281" s="196"/>
      <c r="W281" s="197"/>
    </row>
    <row r="282" spans="2:23" x14ac:dyDescent="0.2">
      <c r="B282" s="197"/>
      <c r="C282" s="196"/>
      <c r="D282" s="196"/>
      <c r="E282" s="196"/>
      <c r="F282" s="196"/>
      <c r="G282" s="196"/>
      <c r="H282" s="196"/>
      <c r="I282" s="196"/>
      <c r="J282" s="196"/>
      <c r="K282" s="196"/>
      <c r="L282" s="196"/>
      <c r="M282" s="196"/>
      <c r="N282" s="196"/>
      <c r="O282" s="196"/>
      <c r="P282" s="196"/>
      <c r="Q282" s="196"/>
      <c r="R282" s="196"/>
      <c r="S282" s="196"/>
      <c r="T282" s="196"/>
      <c r="U282" s="196"/>
      <c r="V282" s="196"/>
      <c r="W282" s="197"/>
    </row>
    <row r="283" spans="2:23" x14ac:dyDescent="0.2">
      <c r="B283" s="197"/>
      <c r="C283" s="196"/>
      <c r="D283" s="196"/>
      <c r="E283" s="196"/>
      <c r="F283" s="196"/>
      <c r="G283" s="196"/>
      <c r="H283" s="196"/>
      <c r="I283" s="196"/>
      <c r="J283" s="196"/>
      <c r="K283" s="196"/>
      <c r="L283" s="196"/>
      <c r="M283" s="196"/>
      <c r="N283" s="196"/>
      <c r="O283" s="196"/>
      <c r="P283" s="196"/>
      <c r="Q283" s="196"/>
      <c r="R283" s="196"/>
      <c r="S283" s="196"/>
      <c r="T283" s="196"/>
      <c r="U283" s="196"/>
      <c r="V283" s="196"/>
      <c r="W283" s="197"/>
    </row>
    <row r="284" spans="2:23" x14ac:dyDescent="0.2">
      <c r="B284" s="197"/>
      <c r="C284" s="196"/>
      <c r="D284" s="196"/>
      <c r="E284" s="196"/>
      <c r="F284" s="196"/>
      <c r="G284" s="196"/>
      <c r="H284" s="196"/>
      <c r="I284" s="196"/>
      <c r="J284" s="196"/>
      <c r="K284" s="196"/>
      <c r="L284" s="196"/>
      <c r="M284" s="196"/>
      <c r="N284" s="196"/>
      <c r="O284" s="196"/>
      <c r="P284" s="196"/>
      <c r="Q284" s="196"/>
      <c r="R284" s="196"/>
      <c r="S284" s="196"/>
      <c r="T284" s="196"/>
      <c r="U284" s="196"/>
      <c r="V284" s="196"/>
      <c r="W284" s="197"/>
    </row>
    <row r="285" spans="2:23" x14ac:dyDescent="0.2">
      <c r="B285" s="197"/>
      <c r="C285" s="196"/>
      <c r="D285" s="196"/>
      <c r="E285" s="196"/>
      <c r="F285" s="196"/>
      <c r="G285" s="196"/>
      <c r="H285" s="196"/>
      <c r="I285" s="196"/>
      <c r="J285" s="196"/>
      <c r="K285" s="196"/>
      <c r="L285" s="196"/>
      <c r="M285" s="196"/>
      <c r="N285" s="196"/>
      <c r="O285" s="196"/>
      <c r="P285" s="196"/>
      <c r="Q285" s="196"/>
      <c r="R285" s="196"/>
      <c r="S285" s="196"/>
      <c r="T285" s="196"/>
      <c r="U285" s="196"/>
      <c r="V285" s="196"/>
      <c r="W285" s="197"/>
    </row>
    <row r="286" spans="2:23" x14ac:dyDescent="0.2">
      <c r="B286" s="197"/>
      <c r="C286" s="196"/>
      <c r="D286" s="196"/>
      <c r="E286" s="196"/>
      <c r="F286" s="196"/>
      <c r="G286" s="196"/>
      <c r="H286" s="196"/>
      <c r="I286" s="196"/>
      <c r="J286" s="196"/>
      <c r="K286" s="196"/>
      <c r="L286" s="196"/>
      <c r="M286" s="196"/>
      <c r="N286" s="196"/>
      <c r="O286" s="196"/>
      <c r="P286" s="196"/>
      <c r="Q286" s="196"/>
      <c r="R286" s="196"/>
      <c r="S286" s="196"/>
      <c r="T286" s="196"/>
      <c r="U286" s="196"/>
      <c r="V286" s="196"/>
      <c r="W286" s="197"/>
    </row>
    <row r="287" spans="2:23" x14ac:dyDescent="0.2">
      <c r="B287" s="197"/>
      <c r="C287" s="196"/>
      <c r="D287" s="196"/>
      <c r="E287" s="196"/>
      <c r="F287" s="196"/>
      <c r="G287" s="196"/>
      <c r="H287" s="196"/>
      <c r="I287" s="196"/>
      <c r="J287" s="196"/>
      <c r="K287" s="196"/>
      <c r="L287" s="196"/>
      <c r="M287" s="196"/>
      <c r="N287" s="196"/>
      <c r="O287" s="196"/>
      <c r="P287" s="196"/>
      <c r="Q287" s="196"/>
      <c r="R287" s="196"/>
      <c r="S287" s="196"/>
      <c r="T287" s="196"/>
      <c r="U287" s="196"/>
      <c r="V287" s="196"/>
      <c r="W287" s="197"/>
    </row>
    <row r="288" spans="2:23" x14ac:dyDescent="0.2">
      <c r="B288" s="197"/>
      <c r="C288" s="196"/>
      <c r="D288" s="196"/>
      <c r="E288" s="196"/>
      <c r="F288" s="196"/>
      <c r="G288" s="196"/>
      <c r="H288" s="196"/>
      <c r="I288" s="196"/>
      <c r="J288" s="196"/>
      <c r="K288" s="196"/>
      <c r="L288" s="196"/>
      <c r="M288" s="196"/>
      <c r="N288" s="196"/>
      <c r="O288" s="196"/>
      <c r="P288" s="196"/>
      <c r="Q288" s="196"/>
      <c r="R288" s="196"/>
      <c r="S288" s="196"/>
      <c r="T288" s="196"/>
      <c r="U288" s="196"/>
      <c r="V288" s="196"/>
      <c r="W288" s="197"/>
    </row>
    <row r="289" spans="2:23" x14ac:dyDescent="0.2">
      <c r="B289" s="197"/>
      <c r="C289" s="196"/>
      <c r="D289" s="196"/>
      <c r="E289" s="196"/>
      <c r="F289" s="196"/>
      <c r="G289" s="196"/>
      <c r="H289" s="196"/>
      <c r="I289" s="196"/>
      <c r="J289" s="196"/>
      <c r="K289" s="196"/>
      <c r="L289" s="196"/>
      <c r="M289" s="196"/>
      <c r="N289" s="196"/>
      <c r="O289" s="196"/>
      <c r="P289" s="196"/>
      <c r="Q289" s="196"/>
      <c r="R289" s="196"/>
      <c r="S289" s="196"/>
      <c r="T289" s="196"/>
      <c r="U289" s="196"/>
      <c r="V289" s="196"/>
      <c r="W289" s="197"/>
    </row>
    <row r="290" spans="2:23" x14ac:dyDescent="0.2">
      <c r="B290" s="197"/>
      <c r="C290" s="196"/>
      <c r="D290" s="196"/>
      <c r="E290" s="196"/>
      <c r="F290" s="196"/>
      <c r="G290" s="196"/>
      <c r="H290" s="196"/>
      <c r="I290" s="196"/>
      <c r="J290" s="196"/>
      <c r="K290" s="196"/>
      <c r="L290" s="196"/>
      <c r="M290" s="196"/>
      <c r="N290" s="196"/>
      <c r="O290" s="196"/>
      <c r="P290" s="196"/>
      <c r="Q290" s="196"/>
      <c r="R290" s="196"/>
      <c r="S290" s="196"/>
      <c r="T290" s="196"/>
      <c r="U290" s="196"/>
      <c r="V290" s="196"/>
      <c r="W290" s="197"/>
    </row>
    <row r="291" spans="2:23" x14ac:dyDescent="0.2">
      <c r="B291" s="197"/>
      <c r="C291" s="196"/>
      <c r="D291" s="196"/>
      <c r="E291" s="196"/>
      <c r="F291" s="196"/>
      <c r="G291" s="196"/>
      <c r="H291" s="196"/>
      <c r="I291" s="196"/>
      <c r="J291" s="196"/>
      <c r="K291" s="196"/>
      <c r="L291" s="196"/>
      <c r="M291" s="196"/>
      <c r="N291" s="196"/>
      <c r="O291" s="196"/>
      <c r="P291" s="196"/>
      <c r="Q291" s="196"/>
      <c r="R291" s="196"/>
      <c r="S291" s="196"/>
      <c r="T291" s="196"/>
      <c r="U291" s="196"/>
      <c r="V291" s="196"/>
      <c r="W291" s="197"/>
    </row>
    <row r="292" spans="2:23" x14ac:dyDescent="0.2">
      <c r="B292" s="197"/>
      <c r="C292" s="196"/>
      <c r="D292" s="196"/>
      <c r="E292" s="196"/>
      <c r="F292" s="196"/>
      <c r="G292" s="196"/>
      <c r="H292" s="196"/>
      <c r="I292" s="196"/>
      <c r="J292" s="196"/>
      <c r="K292" s="196"/>
      <c r="L292" s="196"/>
      <c r="M292" s="196"/>
      <c r="N292" s="196"/>
      <c r="O292" s="196"/>
      <c r="P292" s="196"/>
      <c r="Q292" s="196"/>
      <c r="R292" s="196"/>
      <c r="S292" s="196"/>
      <c r="T292" s="196"/>
      <c r="U292" s="196"/>
      <c r="V292" s="196"/>
      <c r="W292" s="197"/>
    </row>
    <row r="293" spans="2:23" x14ac:dyDescent="0.2">
      <c r="B293" s="197"/>
      <c r="C293" s="196"/>
      <c r="D293" s="196"/>
      <c r="E293" s="196"/>
      <c r="F293" s="196"/>
      <c r="G293" s="196"/>
      <c r="H293" s="196"/>
      <c r="I293" s="196"/>
      <c r="J293" s="196"/>
      <c r="K293" s="196"/>
      <c r="L293" s="196"/>
      <c r="M293" s="196"/>
      <c r="N293" s="196"/>
      <c r="O293" s="196"/>
      <c r="P293" s="196"/>
      <c r="Q293" s="196"/>
      <c r="R293" s="196"/>
      <c r="S293" s="196"/>
      <c r="T293" s="196"/>
      <c r="U293" s="196"/>
      <c r="V293" s="196"/>
      <c r="W293" s="197"/>
    </row>
    <row r="294" spans="2:23" x14ac:dyDescent="0.2">
      <c r="B294" s="197"/>
      <c r="C294" s="196"/>
      <c r="D294" s="196"/>
      <c r="E294" s="196"/>
      <c r="F294" s="196"/>
      <c r="G294" s="196"/>
      <c r="H294" s="196"/>
      <c r="I294" s="196"/>
      <c r="J294" s="196"/>
      <c r="K294" s="196"/>
      <c r="L294" s="196"/>
      <c r="M294" s="196"/>
      <c r="N294" s="196"/>
      <c r="O294" s="196"/>
      <c r="P294" s="196"/>
      <c r="Q294" s="196"/>
      <c r="R294" s="196"/>
      <c r="S294" s="196"/>
      <c r="T294" s="196"/>
      <c r="U294" s="196"/>
      <c r="V294" s="196"/>
      <c r="W294" s="197"/>
    </row>
    <row r="295" spans="2:23" ht="21" customHeight="1" x14ac:dyDescent="0.25">
      <c r="B295" s="197"/>
      <c r="C295" s="198" t="s">
        <v>534</v>
      </c>
      <c r="D295" s="72"/>
      <c r="E295" s="72"/>
      <c r="F295" s="72"/>
      <c r="G295" s="72"/>
      <c r="H295" s="72"/>
      <c r="I295" s="72"/>
      <c r="J295" s="72"/>
      <c r="K295" s="72"/>
      <c r="L295" s="72"/>
      <c r="M295" s="72"/>
      <c r="N295" s="72"/>
      <c r="O295" s="72"/>
      <c r="P295" s="72"/>
      <c r="Q295" s="72"/>
      <c r="R295" s="72"/>
      <c r="S295" s="72"/>
      <c r="T295" s="72"/>
      <c r="U295" s="72"/>
      <c r="V295" s="72"/>
      <c r="W295" s="197"/>
    </row>
    <row r="296" spans="2:23" ht="42" customHeight="1" x14ac:dyDescent="0.25">
      <c r="B296" s="197"/>
      <c r="C296" s="598" t="s">
        <v>543</v>
      </c>
      <c r="D296" s="598"/>
      <c r="E296" s="598"/>
      <c r="F296" s="598"/>
      <c r="G296" s="598"/>
      <c r="H296" s="598"/>
      <c r="I296" s="598"/>
      <c r="J296" s="598"/>
      <c r="K296" s="598"/>
      <c r="L296" s="598"/>
      <c r="M296" s="598"/>
      <c r="N296" s="598"/>
      <c r="O296" s="598"/>
      <c r="P296" s="598"/>
      <c r="Q296" s="598"/>
      <c r="R296" s="598"/>
      <c r="S296" s="598"/>
      <c r="T296" s="598"/>
      <c r="U296" s="598"/>
      <c r="V296" s="72"/>
      <c r="W296" s="197"/>
    </row>
    <row r="297" spans="2:23" ht="15" x14ac:dyDescent="0.25">
      <c r="B297" s="197"/>
      <c r="C297" s="72"/>
      <c r="D297" s="72"/>
      <c r="E297" s="72"/>
      <c r="F297" s="72"/>
      <c r="G297" s="72"/>
      <c r="H297" s="72"/>
      <c r="I297" s="72"/>
      <c r="J297" s="72"/>
      <c r="K297" s="72"/>
      <c r="L297" s="72"/>
      <c r="M297" s="72"/>
      <c r="N297" s="72"/>
      <c r="O297" s="72"/>
      <c r="P297" s="72"/>
      <c r="Q297" s="72"/>
      <c r="R297" s="72"/>
      <c r="S297" s="72"/>
      <c r="T297" s="72"/>
      <c r="U297" s="72"/>
      <c r="V297" s="72"/>
      <c r="W297" s="197"/>
    </row>
    <row r="298" spans="2:23" ht="15" x14ac:dyDescent="0.25">
      <c r="B298" s="197"/>
      <c r="C298" s="72"/>
      <c r="D298" s="72"/>
      <c r="E298" s="72"/>
      <c r="F298" s="72"/>
      <c r="G298" s="72"/>
      <c r="H298" s="72"/>
      <c r="I298" s="72"/>
      <c r="J298" s="72"/>
      <c r="K298" s="72"/>
      <c r="L298" s="72"/>
      <c r="M298" s="72"/>
      <c r="N298" s="72"/>
      <c r="O298" s="72"/>
      <c r="P298" s="72"/>
      <c r="Q298" s="72"/>
      <c r="R298" s="72"/>
      <c r="S298" s="72"/>
      <c r="T298" s="72"/>
      <c r="U298" s="72"/>
      <c r="V298" s="72"/>
      <c r="W298" s="197"/>
    </row>
    <row r="299" spans="2:23" ht="15" x14ac:dyDescent="0.25">
      <c r="B299" s="197"/>
      <c r="C299" s="72"/>
      <c r="D299" s="72"/>
      <c r="E299" s="72"/>
      <c r="F299" s="72"/>
      <c r="G299" s="72"/>
      <c r="H299" s="72"/>
      <c r="I299" s="72"/>
      <c r="J299" s="72"/>
      <c r="K299" s="72"/>
      <c r="L299" s="72"/>
      <c r="M299" s="72"/>
      <c r="N299" s="72"/>
      <c r="O299" s="72"/>
      <c r="P299" s="72"/>
      <c r="Q299" s="72"/>
      <c r="R299" s="72"/>
      <c r="S299" s="72"/>
      <c r="T299" s="72"/>
      <c r="U299" s="72"/>
      <c r="V299" s="72"/>
      <c r="W299" s="197"/>
    </row>
    <row r="300" spans="2:23" ht="15" x14ac:dyDescent="0.25">
      <c r="B300" s="197"/>
      <c r="C300" s="72"/>
      <c r="D300" s="72"/>
      <c r="E300" s="72"/>
      <c r="F300" s="72"/>
      <c r="G300" s="72"/>
      <c r="H300" s="72"/>
      <c r="I300" s="72"/>
      <c r="J300" s="72"/>
      <c r="K300" s="72"/>
      <c r="L300" s="72"/>
      <c r="M300" s="72"/>
      <c r="N300" s="72"/>
      <c r="O300" s="72"/>
      <c r="P300" s="72"/>
      <c r="Q300" s="72"/>
      <c r="R300" s="72"/>
      <c r="S300" s="72"/>
      <c r="T300" s="72"/>
      <c r="U300" s="72"/>
      <c r="V300" s="72"/>
      <c r="W300" s="197"/>
    </row>
    <row r="301" spans="2:23" ht="15" x14ac:dyDescent="0.25">
      <c r="B301" s="6"/>
      <c r="C301" s="165"/>
      <c r="D301" s="165"/>
      <c r="E301" s="165"/>
      <c r="F301" s="165"/>
      <c r="G301" s="165"/>
      <c r="H301" s="165"/>
      <c r="I301" s="165"/>
      <c r="J301" s="165"/>
      <c r="K301" s="165"/>
      <c r="L301" s="165"/>
      <c r="M301" s="165"/>
      <c r="N301" s="165"/>
      <c r="O301" s="165"/>
      <c r="P301" s="165"/>
      <c r="Q301" s="165"/>
      <c r="R301" s="165"/>
      <c r="S301" s="165"/>
      <c r="T301" s="165"/>
      <c r="U301" s="165"/>
      <c r="V301" s="165"/>
      <c r="W301" s="6"/>
    </row>
    <row r="302" spans="2:23" ht="15" x14ac:dyDescent="0.25">
      <c r="B302" s="6"/>
      <c r="C302" s="165"/>
      <c r="D302" s="165"/>
      <c r="E302" s="165"/>
      <c r="F302" s="165"/>
      <c r="G302" s="165"/>
      <c r="H302" s="165"/>
      <c r="I302" s="165"/>
      <c r="J302" s="165"/>
      <c r="K302" s="165"/>
      <c r="L302" s="165"/>
      <c r="M302" s="165"/>
      <c r="N302" s="165"/>
      <c r="O302" s="165"/>
      <c r="P302" s="165"/>
      <c r="Q302" s="165"/>
      <c r="R302" s="165"/>
      <c r="S302" s="165"/>
      <c r="T302" s="165"/>
      <c r="U302" s="165"/>
      <c r="V302" s="165"/>
      <c r="W302" s="6"/>
    </row>
    <row r="303" spans="2:23" ht="15" x14ac:dyDescent="0.25">
      <c r="B303" s="6"/>
      <c r="C303" s="165"/>
      <c r="D303" s="165"/>
      <c r="E303" s="165"/>
      <c r="F303" s="165"/>
      <c r="G303" s="165"/>
      <c r="H303" s="165"/>
      <c r="I303" s="165"/>
      <c r="J303" s="165"/>
      <c r="K303" s="165"/>
      <c r="L303" s="165"/>
      <c r="M303" s="165"/>
      <c r="N303" s="165"/>
      <c r="O303" s="165"/>
      <c r="P303" s="165"/>
      <c r="Q303" s="165"/>
      <c r="R303" s="165"/>
      <c r="S303" s="165"/>
      <c r="T303" s="165"/>
      <c r="U303" s="165"/>
      <c r="V303" s="165"/>
      <c r="W303" s="6"/>
    </row>
    <row r="304" spans="2:23" ht="15" x14ac:dyDescent="0.25">
      <c r="B304" s="6"/>
      <c r="C304" s="165"/>
      <c r="D304" s="165"/>
      <c r="E304" s="165"/>
      <c r="F304" s="165"/>
      <c r="G304" s="165"/>
      <c r="H304" s="165"/>
      <c r="I304" s="165"/>
      <c r="J304" s="165"/>
      <c r="K304" s="165"/>
      <c r="L304" s="165"/>
      <c r="M304" s="165"/>
      <c r="N304" s="165"/>
      <c r="O304" s="165"/>
      <c r="P304" s="165"/>
      <c r="Q304" s="165"/>
      <c r="R304" s="165"/>
      <c r="S304" s="165"/>
      <c r="T304" s="165"/>
      <c r="U304" s="165"/>
      <c r="V304" s="165"/>
      <c r="W304" s="6"/>
    </row>
    <row r="305" spans="2:23" ht="32.25" customHeight="1" x14ac:dyDescent="0.25">
      <c r="B305" s="6"/>
      <c r="C305" s="925" t="s">
        <v>535</v>
      </c>
      <c r="D305" s="925"/>
      <c r="E305" s="925"/>
      <c r="F305" s="925"/>
      <c r="G305" s="925"/>
      <c r="H305" s="925"/>
      <c r="I305" s="925"/>
      <c r="J305" s="925"/>
      <c r="K305" s="925"/>
      <c r="L305" s="925"/>
      <c r="M305" s="925"/>
      <c r="N305" s="925"/>
      <c r="O305" s="925"/>
      <c r="P305" s="925"/>
      <c r="Q305" s="925"/>
      <c r="R305" s="925"/>
      <c r="S305" s="925"/>
      <c r="T305" s="925"/>
      <c r="U305" s="925"/>
      <c r="V305" s="165"/>
      <c r="W305" s="6"/>
    </row>
    <row r="306" spans="2:23" s="69" customFormat="1" ht="15" x14ac:dyDescent="0.25">
      <c r="B306" s="6"/>
      <c r="C306" s="195" t="s">
        <v>586</v>
      </c>
      <c r="D306" s="153"/>
      <c r="E306" s="153"/>
      <c r="K306" s="153"/>
      <c r="L306" s="153"/>
      <c r="M306" s="153"/>
      <c r="N306" s="153"/>
      <c r="O306" s="153"/>
      <c r="P306" s="153"/>
      <c r="Q306" s="153"/>
      <c r="R306" s="153"/>
      <c r="S306" s="153"/>
      <c r="T306" s="153"/>
      <c r="U306" s="153"/>
      <c r="V306" s="165"/>
      <c r="W306" s="6"/>
    </row>
    <row r="307" spans="2:23" s="69" customFormat="1" ht="26.25" customHeight="1" x14ac:dyDescent="0.25">
      <c r="B307" s="6"/>
      <c r="C307" s="153"/>
      <c r="D307" s="199" t="s">
        <v>587</v>
      </c>
      <c r="E307" s="200"/>
      <c r="F307" s="153"/>
      <c r="G307" s="153"/>
      <c r="H307" s="912" t="s">
        <v>588</v>
      </c>
      <c r="I307" s="912"/>
      <c r="J307" s="912"/>
      <c r="K307" s="912"/>
      <c r="L307" s="912"/>
      <c r="M307" s="912"/>
      <c r="N307" s="912"/>
      <c r="O307" s="912"/>
      <c r="P307" s="912"/>
      <c r="Q307" s="912"/>
      <c r="R307" s="912"/>
      <c r="S307" s="912"/>
      <c r="T307" s="912"/>
      <c r="U307" s="912"/>
      <c r="V307" s="165"/>
      <c r="W307" s="6"/>
    </row>
    <row r="308" spans="2:23" s="69" customFormat="1" ht="48" customHeight="1" x14ac:dyDescent="0.25">
      <c r="B308" s="6"/>
      <c r="C308" s="153"/>
      <c r="D308" s="199" t="s">
        <v>589</v>
      </c>
      <c r="E308" s="200"/>
      <c r="F308" s="153"/>
      <c r="G308" s="153"/>
      <c r="H308" s="913" t="s">
        <v>590</v>
      </c>
      <c r="I308" s="913"/>
      <c r="J308" s="913"/>
      <c r="K308" s="913"/>
      <c r="L308" s="913"/>
      <c r="M308" s="913"/>
      <c r="N308" s="913"/>
      <c r="O308" s="913"/>
      <c r="P308" s="913"/>
      <c r="Q308" s="913"/>
      <c r="R308" s="913"/>
      <c r="S308" s="913"/>
      <c r="T308" s="913"/>
      <c r="U308" s="913"/>
      <c r="V308" s="165"/>
      <c r="W308" s="6"/>
    </row>
    <row r="309" spans="2:23" s="69" customFormat="1" ht="15" x14ac:dyDescent="0.25">
      <c r="B309" s="6"/>
      <c r="C309" s="153"/>
      <c r="D309" s="153"/>
      <c r="E309" s="153"/>
      <c r="F309" s="153"/>
      <c r="G309" s="153"/>
      <c r="H309" s="153"/>
      <c r="I309" s="153"/>
      <c r="J309" s="153"/>
      <c r="K309" s="153"/>
      <c r="L309" s="153"/>
      <c r="M309" s="153"/>
      <c r="N309" s="153"/>
      <c r="O309" s="153"/>
      <c r="P309" s="153"/>
      <c r="Q309" s="153"/>
      <c r="R309" s="153"/>
      <c r="S309" s="153"/>
      <c r="T309" s="153"/>
      <c r="U309" s="153"/>
      <c r="V309" s="165"/>
      <c r="W309" s="6"/>
    </row>
    <row r="310" spans="2:23" ht="15" x14ac:dyDescent="0.25">
      <c r="B310" s="6"/>
      <c r="C310" s="165"/>
      <c r="D310" s="165"/>
      <c r="E310" s="165"/>
      <c r="F310" s="165"/>
      <c r="G310" s="165"/>
      <c r="H310" s="165"/>
      <c r="I310" s="165"/>
      <c r="J310" s="165"/>
      <c r="K310" s="165"/>
      <c r="L310" s="165"/>
      <c r="M310" s="165"/>
      <c r="N310" s="165"/>
      <c r="O310" s="165"/>
      <c r="P310" s="165"/>
      <c r="Q310" s="165"/>
      <c r="R310" s="165"/>
      <c r="S310" s="165"/>
      <c r="T310" s="165"/>
      <c r="U310" s="165"/>
      <c r="V310" s="165"/>
      <c r="W310" s="6"/>
    </row>
    <row r="311" spans="2:23" ht="15" customHeight="1" x14ac:dyDescent="0.25">
      <c r="B311" s="6"/>
      <c r="C311" s="165"/>
      <c r="D311" s="165"/>
      <c r="G311" s="220"/>
      <c r="H311" s="221"/>
      <c r="I311" s="222"/>
      <c r="J311" s="790" t="s">
        <v>539</v>
      </c>
      <c r="K311" s="804"/>
      <c r="L311" s="804"/>
      <c r="M311" s="791"/>
      <c r="N311" s="790" t="s">
        <v>540</v>
      </c>
      <c r="O311" s="804"/>
      <c r="P311" s="804"/>
      <c r="Q311" s="791"/>
      <c r="R311" s="165"/>
      <c r="S311" s="165"/>
      <c r="T311" s="165"/>
      <c r="U311" s="165"/>
      <c r="V311" s="165"/>
      <c r="W311" s="6"/>
    </row>
    <row r="312" spans="2:23" ht="15" x14ac:dyDescent="0.25">
      <c r="B312" s="6"/>
      <c r="C312" s="165"/>
      <c r="D312" s="165"/>
      <c r="G312" s="223"/>
      <c r="H312" s="224"/>
      <c r="I312" s="225"/>
      <c r="J312" s="794"/>
      <c r="K312" s="806"/>
      <c r="L312" s="806"/>
      <c r="M312" s="795"/>
      <c r="N312" s="794"/>
      <c r="O312" s="806"/>
      <c r="P312" s="806"/>
      <c r="Q312" s="795"/>
      <c r="R312" s="165"/>
      <c r="S312" s="165"/>
      <c r="T312" s="165"/>
      <c r="U312" s="165"/>
      <c r="V312" s="165"/>
      <c r="W312" s="6"/>
    </row>
    <row r="313" spans="2:23" ht="30.75" customHeight="1" x14ac:dyDescent="0.25">
      <c r="B313" s="6"/>
      <c r="C313" s="165"/>
      <c r="D313" s="165"/>
      <c r="G313" s="226"/>
      <c r="H313" s="227"/>
      <c r="I313" s="228"/>
      <c r="J313" s="914" t="s">
        <v>536</v>
      </c>
      <c r="K313" s="915"/>
      <c r="L313" s="229" t="s">
        <v>537</v>
      </c>
      <c r="M313" s="229" t="s">
        <v>538</v>
      </c>
      <c r="N313" s="916" t="s">
        <v>542</v>
      </c>
      <c r="O313" s="917"/>
      <c r="P313" s="229" t="s">
        <v>537</v>
      </c>
      <c r="Q313" s="229" t="s">
        <v>538</v>
      </c>
      <c r="R313" s="165"/>
      <c r="S313" s="165"/>
      <c r="T313" s="165"/>
      <c r="U313" s="165"/>
      <c r="V313" s="165"/>
      <c r="W313" s="6"/>
    </row>
    <row r="314" spans="2:23" ht="16.5" customHeight="1" x14ac:dyDescent="0.25">
      <c r="B314" s="6"/>
      <c r="C314" s="165"/>
      <c r="D314" s="165"/>
      <c r="G314" s="48" t="s">
        <v>399</v>
      </c>
      <c r="H314" s="208"/>
      <c r="I314" s="49"/>
      <c r="J314" s="921">
        <v>0.19400000000000001</v>
      </c>
      <c r="K314" s="922"/>
      <c r="L314" s="402">
        <v>5.8000000000000003E-2</v>
      </c>
      <c r="M314" s="402">
        <v>0.33</v>
      </c>
      <c r="N314" s="897">
        <v>4.03</v>
      </c>
      <c r="O314" s="898"/>
      <c r="P314" s="402">
        <v>1.7999999999999999E-2</v>
      </c>
      <c r="Q314" s="402">
        <v>6.3E-2</v>
      </c>
      <c r="R314" s="165"/>
      <c r="S314" s="165"/>
      <c r="T314" s="165"/>
      <c r="U314" s="165"/>
      <c r="V314" s="165"/>
      <c r="W314" s="6"/>
    </row>
    <row r="315" spans="2:23" ht="16.5" customHeight="1" x14ac:dyDescent="0.25">
      <c r="B315" s="6"/>
      <c r="C315" s="165"/>
      <c r="D315" s="165"/>
      <c r="G315" s="48" t="s">
        <v>83</v>
      </c>
      <c r="H315" s="208"/>
      <c r="I315" s="49"/>
      <c r="J315" s="921">
        <v>0.22800000000000001</v>
      </c>
      <c r="K315" s="922"/>
      <c r="L315" s="402">
        <v>0.09</v>
      </c>
      <c r="M315" s="402">
        <v>0.36599999999999999</v>
      </c>
      <c r="N315" s="897">
        <v>2.86</v>
      </c>
      <c r="O315" s="898"/>
      <c r="P315" s="402">
        <v>1.2E-2</v>
      </c>
      <c r="Q315" s="402">
        <v>4.5999999999999999E-2</v>
      </c>
      <c r="R315" s="165"/>
      <c r="S315" s="165"/>
      <c r="T315" s="165"/>
      <c r="U315" s="165"/>
      <c r="V315" s="165"/>
      <c r="W315" s="6"/>
    </row>
    <row r="316" spans="2:23" ht="16.5" customHeight="1" x14ac:dyDescent="0.25">
      <c r="B316" s="6"/>
      <c r="C316" s="165"/>
      <c r="D316" s="165"/>
      <c r="G316" s="48" t="s">
        <v>44</v>
      </c>
      <c r="H316" s="208"/>
      <c r="I316" s="49"/>
      <c r="J316" s="921">
        <v>8.4000000000000005E-2</v>
      </c>
      <c r="K316" s="922"/>
      <c r="L316" s="402">
        <v>1.2E-2</v>
      </c>
      <c r="M316" s="402">
        <v>0.156</v>
      </c>
      <c r="N316" s="897">
        <v>3.23</v>
      </c>
      <c r="O316" s="898"/>
      <c r="P316" s="402">
        <v>1.7000000000000001E-2</v>
      </c>
      <c r="Q316" s="402">
        <v>4.7E-2</v>
      </c>
      <c r="R316" s="165"/>
      <c r="S316" s="165"/>
      <c r="T316" s="165"/>
      <c r="U316" s="165"/>
      <c r="V316" s="165"/>
      <c r="W316" s="6"/>
    </row>
    <row r="317" spans="2:23" ht="16.5" customHeight="1" x14ac:dyDescent="0.25">
      <c r="B317" s="6"/>
      <c r="C317" s="165"/>
      <c r="D317" s="165"/>
      <c r="G317" s="48" t="s">
        <v>79</v>
      </c>
      <c r="H317" s="208"/>
      <c r="I317" s="49"/>
      <c r="J317" s="921">
        <v>0.17699999999999999</v>
      </c>
      <c r="K317" s="922"/>
      <c r="L317" s="402">
        <v>7.5999999999999998E-2</v>
      </c>
      <c r="M317" s="402">
        <v>0.27900000000000003</v>
      </c>
      <c r="N317" s="897">
        <v>2.36</v>
      </c>
      <c r="O317" s="898"/>
      <c r="P317" s="402">
        <v>1.2E-2</v>
      </c>
      <c r="Q317" s="402">
        <v>3.5000000000000003E-2</v>
      </c>
      <c r="R317" s="165"/>
      <c r="S317" s="165"/>
      <c r="T317" s="165"/>
      <c r="U317" s="165"/>
      <c r="V317" s="165"/>
      <c r="W317" s="6"/>
    </row>
    <row r="318" spans="2:23" ht="16.5" customHeight="1" x14ac:dyDescent="0.25">
      <c r="B318" s="6"/>
      <c r="C318" s="165"/>
      <c r="D318" s="165"/>
      <c r="G318" s="48" t="s">
        <v>84</v>
      </c>
      <c r="H318" s="208"/>
      <c r="I318" s="49"/>
      <c r="J318" s="921">
        <v>8.1000000000000003E-2</v>
      </c>
      <c r="K318" s="922"/>
      <c r="L318" s="402">
        <v>1.2999999999999999E-2</v>
      </c>
      <c r="M318" s="402">
        <v>0.14799999999999999</v>
      </c>
      <c r="N318" s="899">
        <v>1.9</v>
      </c>
      <c r="O318" s="900"/>
      <c r="P318" s="402">
        <v>0.01</v>
      </c>
      <c r="Q318" s="402">
        <v>2.8000000000000001E-2</v>
      </c>
      <c r="R318" s="165"/>
      <c r="S318" s="165"/>
      <c r="T318" s="165"/>
      <c r="U318" s="165"/>
      <c r="V318" s="165"/>
      <c r="W318" s="6"/>
    </row>
    <row r="319" spans="2:23" ht="16.5" customHeight="1" x14ac:dyDescent="0.25">
      <c r="B319" s="6"/>
      <c r="C319" s="165"/>
      <c r="D319" s="165"/>
      <c r="G319" s="48" t="s">
        <v>81</v>
      </c>
      <c r="H319" s="208"/>
      <c r="I319" s="49"/>
      <c r="J319" s="921">
        <v>6.9000000000000006E-2</v>
      </c>
      <c r="K319" s="922"/>
      <c r="L319" s="402">
        <v>0</v>
      </c>
      <c r="M319" s="402">
        <v>0.14399999999999999</v>
      </c>
      <c r="N319" s="899">
        <v>2</v>
      </c>
      <c r="O319" s="900"/>
      <c r="P319" s="402">
        <v>0</v>
      </c>
      <c r="Q319" s="402">
        <v>0.04</v>
      </c>
      <c r="R319" s="165"/>
      <c r="S319" s="165"/>
      <c r="T319" s="165"/>
      <c r="U319" s="165"/>
      <c r="V319" s="165"/>
      <c r="W319" s="6"/>
    </row>
    <row r="320" spans="2:23" ht="16.5" customHeight="1" x14ac:dyDescent="0.25">
      <c r="B320" s="6"/>
      <c r="C320" s="165"/>
      <c r="D320" s="165"/>
      <c r="G320" s="230" t="s">
        <v>82</v>
      </c>
      <c r="H320" s="231"/>
      <c r="I320" s="232"/>
      <c r="J320" s="918" t="s">
        <v>541</v>
      </c>
      <c r="K320" s="919"/>
      <c r="L320" s="919"/>
      <c r="M320" s="919"/>
      <c r="N320" s="919"/>
      <c r="O320" s="919"/>
      <c r="P320" s="919"/>
      <c r="Q320" s="920"/>
      <c r="R320" s="165"/>
      <c r="S320" s="165"/>
      <c r="T320" s="165"/>
      <c r="U320" s="165"/>
      <c r="V320" s="165"/>
      <c r="W320" s="6"/>
    </row>
    <row r="321" spans="2:23" s="69" customFormat="1" ht="16.5" customHeight="1" x14ac:dyDescent="0.25">
      <c r="B321" s="6"/>
      <c r="C321" s="451"/>
      <c r="D321" s="451"/>
      <c r="G321" s="452" t="s">
        <v>292</v>
      </c>
      <c r="H321" s="453"/>
      <c r="I321" s="454"/>
      <c r="J321" s="908">
        <v>0.14199999999999999</v>
      </c>
      <c r="K321" s="909"/>
      <c r="L321" s="455">
        <v>0.10100000000000001</v>
      </c>
      <c r="M321" s="455">
        <v>0.183</v>
      </c>
      <c r="N321" s="910">
        <v>2.93</v>
      </c>
      <c r="O321" s="911"/>
      <c r="P321" s="455">
        <v>2.3E-2</v>
      </c>
      <c r="Q321" s="455">
        <v>3.5999999999999997E-2</v>
      </c>
      <c r="R321" s="451"/>
      <c r="S321" s="451"/>
      <c r="T321" s="451"/>
      <c r="U321" s="451"/>
      <c r="V321" s="451"/>
      <c r="W321" s="6"/>
    </row>
    <row r="322" spans="2:23" ht="16.5" customHeight="1" x14ac:dyDescent="0.25">
      <c r="B322" s="6"/>
      <c r="C322" s="165"/>
      <c r="D322" s="165"/>
      <c r="G322" s="214" t="s">
        <v>294</v>
      </c>
      <c r="H322" s="215"/>
      <c r="I322" s="216"/>
      <c r="J322" s="904">
        <v>0.27900000000000003</v>
      </c>
      <c r="K322" s="905"/>
      <c r="L322" s="403">
        <v>0.27700000000000002</v>
      </c>
      <c r="M322" s="403">
        <v>0.28100000000000003</v>
      </c>
      <c r="N322" s="906">
        <v>3.38</v>
      </c>
      <c r="O322" s="907"/>
      <c r="P322" s="403">
        <v>3.4000000000000002E-2</v>
      </c>
      <c r="Q322" s="403">
        <v>3.4000000000000002E-2</v>
      </c>
      <c r="R322" s="165"/>
      <c r="S322" s="165"/>
      <c r="T322" s="165"/>
      <c r="U322" s="165"/>
      <c r="V322" s="165"/>
      <c r="W322" s="6"/>
    </row>
    <row r="323" spans="2:23" ht="15" x14ac:dyDescent="0.25">
      <c r="B323" s="6"/>
      <c r="C323" s="165"/>
      <c r="D323" s="165"/>
      <c r="E323" s="165"/>
      <c r="F323" s="165"/>
      <c r="G323" s="165"/>
      <c r="H323" s="165"/>
      <c r="I323" s="165"/>
      <c r="J323" s="165"/>
      <c r="K323" s="165"/>
      <c r="L323" s="165"/>
      <c r="M323" s="165"/>
      <c r="N323" s="165"/>
      <c r="O323" s="165"/>
      <c r="P323" s="165"/>
      <c r="Q323" s="165"/>
      <c r="R323" s="165"/>
      <c r="S323" s="165"/>
      <c r="T323" s="165"/>
      <c r="U323" s="165"/>
      <c r="V323" s="165"/>
      <c r="W323" s="6"/>
    </row>
    <row r="324" spans="2:23" ht="15" x14ac:dyDescent="0.25">
      <c r="B324" s="6"/>
      <c r="C324" s="165"/>
      <c r="D324" s="165"/>
      <c r="E324" s="165"/>
      <c r="F324" s="165"/>
      <c r="G324" s="165"/>
      <c r="H324" s="165"/>
      <c r="I324" s="165"/>
      <c r="J324" s="165"/>
      <c r="K324" s="165"/>
      <c r="L324" s="165"/>
      <c r="M324" s="165"/>
      <c r="N324" s="165"/>
      <c r="O324" s="165"/>
      <c r="P324" s="165"/>
      <c r="Q324" s="165"/>
      <c r="R324" s="165"/>
      <c r="S324" s="165"/>
      <c r="T324" s="165"/>
      <c r="U324" s="165"/>
      <c r="V324" s="165"/>
      <c r="W324" s="6"/>
    </row>
    <row r="325" spans="2:23" ht="15" x14ac:dyDescent="0.25">
      <c r="B325" s="6"/>
      <c r="C325" s="195" t="s">
        <v>544</v>
      </c>
      <c r="D325" s="165"/>
      <c r="E325" s="165"/>
      <c r="F325" s="165"/>
      <c r="G325" s="165"/>
      <c r="H325" s="165"/>
      <c r="I325" s="165"/>
      <c r="J325" s="165"/>
      <c r="K325" s="165"/>
      <c r="L325" s="165"/>
      <c r="M325" s="165"/>
      <c r="N325" s="165"/>
      <c r="O325" s="165"/>
      <c r="P325" s="165"/>
      <c r="Q325" s="165"/>
      <c r="R325" s="165"/>
      <c r="S325" s="165"/>
      <c r="T325" s="165"/>
      <c r="U325" s="165"/>
      <c r="V325" s="165"/>
      <c r="W325" s="6"/>
    </row>
    <row r="326" spans="2:23" ht="104.25" customHeight="1" x14ac:dyDescent="0.25">
      <c r="B326" s="6"/>
      <c r="C326" s="711" t="s">
        <v>545</v>
      </c>
      <c r="D326" s="711"/>
      <c r="E326" s="711"/>
      <c r="F326" s="711"/>
      <c r="G326" s="711"/>
      <c r="H326" s="711"/>
      <c r="I326" s="711"/>
      <c r="J326" s="711"/>
      <c r="K326" s="711"/>
      <c r="L326" s="711"/>
      <c r="M326" s="711"/>
      <c r="N326" s="711"/>
      <c r="O326" s="711"/>
      <c r="P326" s="711"/>
      <c r="Q326" s="711"/>
      <c r="R326" s="711"/>
      <c r="S326" s="711"/>
      <c r="T326" s="711"/>
      <c r="U326" s="711"/>
      <c r="V326" s="165"/>
      <c r="W326" s="6"/>
    </row>
    <row r="327" spans="2:23" ht="15" x14ac:dyDescent="0.25">
      <c r="B327" s="6"/>
      <c r="C327" s="165"/>
      <c r="D327" s="165"/>
      <c r="E327" s="165"/>
      <c r="F327" s="165"/>
      <c r="G327" s="165"/>
      <c r="H327" s="165"/>
      <c r="I327" s="165"/>
      <c r="J327" s="165"/>
      <c r="K327" s="165"/>
      <c r="L327" s="165"/>
      <c r="M327" s="165"/>
      <c r="N327" s="165"/>
      <c r="O327" s="165"/>
      <c r="P327" s="165"/>
      <c r="Q327" s="165"/>
      <c r="R327" s="165"/>
      <c r="S327" s="165"/>
      <c r="T327" s="165"/>
      <c r="U327" s="165"/>
      <c r="V327" s="165"/>
      <c r="W327" s="6"/>
    </row>
    <row r="328" spans="2:23" ht="15" x14ac:dyDescent="0.25">
      <c r="B328" s="6"/>
      <c r="C328" s="5"/>
      <c r="D328" s="5"/>
      <c r="E328" s="5"/>
      <c r="F328" s="5"/>
      <c r="G328" s="5"/>
      <c r="H328" s="5"/>
      <c r="I328" s="5"/>
      <c r="J328" s="5"/>
      <c r="K328" s="5"/>
      <c r="L328" s="5"/>
      <c r="M328" s="5"/>
      <c r="N328" s="5"/>
      <c r="O328" s="5"/>
      <c r="P328" s="5"/>
      <c r="Q328" s="5"/>
      <c r="R328" s="5"/>
      <c r="S328" s="5"/>
      <c r="T328" s="5"/>
      <c r="U328" s="5"/>
      <c r="V328" s="5"/>
      <c r="W328" s="6"/>
    </row>
    <row r="329" spans="2:23" ht="15" x14ac:dyDescent="0.25">
      <c r="B329" s="6"/>
      <c r="C329" s="5"/>
      <c r="D329" s="5"/>
      <c r="E329" s="5"/>
      <c r="F329" s="5"/>
      <c r="G329" s="5"/>
      <c r="H329" s="5"/>
      <c r="I329" s="5"/>
      <c r="J329" s="5"/>
      <c r="K329" s="5"/>
      <c r="L329" s="5"/>
      <c r="M329" s="5"/>
      <c r="N329" s="5"/>
      <c r="O329" s="5"/>
      <c r="P329" s="5"/>
      <c r="Q329" s="5"/>
      <c r="R329" s="5"/>
      <c r="S329" s="5"/>
      <c r="T329" s="5"/>
      <c r="U329" s="5"/>
      <c r="V329" s="5"/>
      <c r="W329" s="6"/>
    </row>
    <row r="330" spans="2:23" ht="15" x14ac:dyDescent="0.25">
      <c r="B330" s="6"/>
      <c r="C330" s="5"/>
      <c r="D330" s="5"/>
      <c r="E330" s="5"/>
      <c r="F330" s="5"/>
      <c r="G330" s="5"/>
      <c r="H330" s="5"/>
      <c r="I330" s="5"/>
      <c r="J330" s="5"/>
      <c r="K330" s="5"/>
      <c r="L330" s="5"/>
      <c r="M330" s="5"/>
      <c r="N330" s="5"/>
      <c r="O330" s="5"/>
      <c r="P330" s="5"/>
      <c r="Q330" s="5"/>
      <c r="R330" s="5"/>
      <c r="S330" s="5"/>
      <c r="T330" s="5"/>
      <c r="U330" s="5"/>
      <c r="V330" s="5"/>
      <c r="W330" s="6"/>
    </row>
    <row r="331" spans="2:23" ht="15" x14ac:dyDescent="0.25">
      <c r="B331" s="6"/>
      <c r="C331" s="165"/>
      <c r="D331" s="165"/>
      <c r="E331" s="165"/>
      <c r="F331" s="165"/>
      <c r="G331" s="165"/>
      <c r="H331" s="165"/>
      <c r="I331" s="165"/>
      <c r="J331" s="165"/>
      <c r="K331" s="165"/>
      <c r="L331" s="165"/>
      <c r="M331" s="165"/>
      <c r="N331" s="165"/>
      <c r="O331" s="165"/>
      <c r="P331" s="165"/>
      <c r="Q331" s="165"/>
      <c r="R331" s="165"/>
      <c r="S331" s="165"/>
      <c r="T331" s="165"/>
      <c r="U331" s="165"/>
      <c r="V331" s="165"/>
      <c r="W331" s="6"/>
    </row>
    <row r="332" spans="2:23" ht="15" x14ac:dyDescent="0.25">
      <c r="B332" s="6"/>
      <c r="C332" s="153"/>
      <c r="D332" s="165"/>
      <c r="E332" s="165"/>
      <c r="F332" s="165"/>
      <c r="G332" s="165"/>
      <c r="H332" s="165"/>
      <c r="I332" s="165"/>
      <c r="J332" s="165"/>
      <c r="K332" s="165"/>
      <c r="L332" s="165"/>
      <c r="M332" s="165"/>
      <c r="N332" s="165"/>
      <c r="O332" s="165"/>
      <c r="P332" s="165"/>
      <c r="Q332" s="165"/>
      <c r="R332" s="165"/>
      <c r="S332" s="165"/>
      <c r="T332" s="165"/>
      <c r="U332" s="165"/>
      <c r="V332" s="165"/>
      <c r="W332" s="6"/>
    </row>
    <row r="333" spans="2:23" ht="15" x14ac:dyDescent="0.25">
      <c r="B333" s="6"/>
      <c r="C333" s="165"/>
      <c r="D333" s="165"/>
      <c r="E333" s="165"/>
      <c r="F333" s="165"/>
      <c r="G333" s="165"/>
      <c r="H333" s="165"/>
      <c r="I333" s="165"/>
      <c r="J333" s="165"/>
      <c r="K333" s="165"/>
      <c r="L333" s="165"/>
      <c r="M333" s="165"/>
      <c r="N333" s="165"/>
      <c r="O333" s="165"/>
      <c r="P333" s="165"/>
      <c r="Q333" s="165"/>
      <c r="R333" s="165"/>
      <c r="S333" s="165"/>
      <c r="T333" s="165"/>
      <c r="U333" s="165"/>
      <c r="V333" s="165"/>
      <c r="W333" s="6"/>
    </row>
    <row r="334" spans="2:23" ht="15" x14ac:dyDescent="0.25">
      <c r="B334" s="6"/>
      <c r="C334" s="165"/>
      <c r="D334" s="165"/>
      <c r="E334" s="165"/>
      <c r="F334" s="165"/>
      <c r="G334" s="165"/>
      <c r="H334" s="165"/>
      <c r="I334" s="165"/>
      <c r="J334" s="165"/>
      <c r="K334" s="165"/>
      <c r="L334" s="165"/>
      <c r="M334" s="165"/>
      <c r="N334" s="165"/>
      <c r="O334" s="165"/>
      <c r="P334" s="165"/>
      <c r="Q334" s="165"/>
      <c r="R334" s="165"/>
      <c r="S334" s="165"/>
      <c r="T334" s="165"/>
      <c r="U334" s="165"/>
      <c r="V334" s="165"/>
      <c r="W334" s="6"/>
    </row>
    <row r="335" spans="2:23" ht="15" x14ac:dyDescent="0.25">
      <c r="B335" s="6"/>
      <c r="C335" s="165"/>
      <c r="D335" s="165"/>
      <c r="E335" s="165"/>
      <c r="F335" s="165"/>
      <c r="G335" s="165"/>
      <c r="H335" s="165"/>
      <c r="I335" s="165"/>
      <c r="J335" s="165"/>
      <c r="K335" s="165"/>
      <c r="L335" s="165"/>
      <c r="M335" s="165"/>
      <c r="N335" s="165"/>
      <c r="O335" s="165"/>
      <c r="P335" s="165"/>
      <c r="Q335" s="165"/>
      <c r="R335" s="165"/>
      <c r="S335" s="165"/>
      <c r="T335" s="165"/>
      <c r="U335" s="165"/>
      <c r="V335" s="165"/>
      <c r="W335" s="6"/>
    </row>
    <row r="336" spans="2:23" ht="15" x14ac:dyDescent="0.25">
      <c r="B336" s="6"/>
      <c r="C336" s="165"/>
      <c r="D336" s="165"/>
      <c r="E336" s="165"/>
      <c r="F336" s="165"/>
      <c r="G336" s="165"/>
      <c r="H336" s="165"/>
      <c r="I336" s="165"/>
      <c r="J336" s="165"/>
      <c r="K336" s="165"/>
      <c r="L336" s="165"/>
      <c r="M336" s="165"/>
      <c r="N336" s="165"/>
      <c r="O336" s="165"/>
      <c r="P336" s="165"/>
      <c r="Q336" s="165"/>
      <c r="R336" s="165"/>
      <c r="S336" s="165"/>
      <c r="T336" s="165"/>
      <c r="U336" s="165"/>
      <c r="V336" s="165"/>
      <c r="W336" s="6"/>
    </row>
    <row r="337" spans="2:23" ht="15" x14ac:dyDescent="0.25">
      <c r="B337" s="6"/>
      <c r="C337" s="165"/>
      <c r="D337" s="165"/>
      <c r="E337" s="165"/>
      <c r="F337" s="165"/>
      <c r="G337" s="165"/>
      <c r="H337" s="165"/>
      <c r="I337" s="165"/>
      <c r="J337" s="165"/>
      <c r="K337" s="165"/>
      <c r="L337" s="165"/>
      <c r="M337" s="165"/>
      <c r="N337" s="165"/>
      <c r="O337" s="165"/>
      <c r="P337" s="165"/>
      <c r="Q337" s="165"/>
      <c r="R337" s="165"/>
      <c r="S337" s="165"/>
      <c r="T337" s="165"/>
      <c r="U337" s="165"/>
      <c r="V337" s="165"/>
      <c r="W337" s="6"/>
    </row>
    <row r="338" spans="2:23" ht="15" x14ac:dyDescent="0.25">
      <c r="B338" s="6"/>
      <c r="C338" s="165"/>
      <c r="D338" s="165"/>
      <c r="E338" s="165"/>
      <c r="F338" s="165"/>
      <c r="G338" s="165"/>
      <c r="H338" s="165"/>
      <c r="I338" s="165"/>
      <c r="J338" s="165"/>
      <c r="K338" s="165"/>
      <c r="L338" s="165"/>
      <c r="M338" s="165"/>
      <c r="N338" s="165"/>
      <c r="O338" s="165"/>
      <c r="P338" s="165"/>
      <c r="Q338" s="165"/>
      <c r="R338" s="165"/>
      <c r="S338" s="165"/>
      <c r="T338" s="165"/>
      <c r="U338" s="165"/>
      <c r="V338" s="165"/>
      <c r="W338" s="6"/>
    </row>
    <row r="339" spans="2:23" ht="15" x14ac:dyDescent="0.25">
      <c r="B339" s="6"/>
      <c r="C339" s="165"/>
      <c r="D339" s="165"/>
      <c r="E339" s="165"/>
      <c r="F339" s="165"/>
      <c r="G339" s="165"/>
      <c r="H339" s="165"/>
      <c r="I339" s="165"/>
      <c r="J339" s="165"/>
      <c r="K339" s="165"/>
      <c r="L339" s="165"/>
      <c r="M339" s="165"/>
      <c r="N339" s="165"/>
      <c r="O339" s="165"/>
      <c r="P339" s="165"/>
      <c r="Q339" s="165"/>
      <c r="R339" s="165"/>
      <c r="S339" s="165"/>
      <c r="T339" s="165"/>
      <c r="U339" s="165"/>
      <c r="V339" s="165"/>
      <c r="W339" s="6"/>
    </row>
    <row r="340" spans="2:23" ht="15" x14ac:dyDescent="0.25">
      <c r="B340" s="6"/>
      <c r="C340" s="165"/>
      <c r="D340" s="165"/>
      <c r="E340" s="165"/>
      <c r="F340" s="165"/>
      <c r="G340" s="165"/>
      <c r="H340" s="165"/>
      <c r="I340" s="165"/>
      <c r="J340" s="165"/>
      <c r="K340" s="165"/>
      <c r="L340" s="165"/>
      <c r="M340" s="165"/>
      <c r="N340" s="165"/>
      <c r="O340" s="165"/>
      <c r="P340" s="165"/>
      <c r="Q340" s="165"/>
      <c r="R340" s="165"/>
      <c r="S340" s="165"/>
      <c r="T340" s="165"/>
      <c r="U340" s="165"/>
      <c r="V340" s="165"/>
      <c r="W340" s="6"/>
    </row>
    <row r="341" spans="2:23" ht="15" x14ac:dyDescent="0.25">
      <c r="B341" s="6"/>
      <c r="C341" s="165"/>
      <c r="D341" s="165"/>
      <c r="E341" s="165"/>
      <c r="F341" s="165"/>
      <c r="G341" s="165"/>
      <c r="H341" s="165"/>
      <c r="I341" s="165"/>
      <c r="J341" s="165"/>
      <c r="K341" s="165"/>
      <c r="L341" s="165"/>
      <c r="M341" s="165"/>
      <c r="N341" s="165"/>
      <c r="O341" s="165"/>
      <c r="P341" s="165"/>
      <c r="Q341" s="165"/>
      <c r="R341" s="165"/>
      <c r="S341" s="165"/>
      <c r="T341" s="165"/>
      <c r="U341" s="165"/>
      <c r="V341" s="165"/>
      <c r="W341" s="6"/>
    </row>
    <row r="342" spans="2:23" ht="15" x14ac:dyDescent="0.25">
      <c r="B342" s="6"/>
      <c r="C342" s="165"/>
      <c r="D342" s="165"/>
      <c r="E342" s="165"/>
      <c r="F342" s="165"/>
      <c r="G342" s="165"/>
      <c r="H342" s="165"/>
      <c r="I342" s="165"/>
      <c r="J342" s="165"/>
      <c r="K342" s="165"/>
      <c r="L342" s="165"/>
      <c r="M342" s="165"/>
      <c r="N342" s="165"/>
      <c r="O342" s="165"/>
      <c r="P342" s="165"/>
      <c r="Q342" s="165"/>
      <c r="R342" s="165"/>
      <c r="S342" s="165"/>
      <c r="T342" s="165"/>
      <c r="U342" s="165"/>
      <c r="V342" s="165"/>
      <c r="W342" s="6"/>
    </row>
    <row r="343" spans="2:23" ht="15" x14ac:dyDescent="0.25">
      <c r="B343" s="6"/>
      <c r="C343" s="165"/>
      <c r="D343" s="165"/>
      <c r="E343" s="165"/>
      <c r="F343" s="165"/>
      <c r="G343" s="165"/>
      <c r="H343" s="165"/>
      <c r="I343" s="165"/>
      <c r="J343" s="165"/>
      <c r="K343" s="165"/>
      <c r="L343" s="165"/>
      <c r="M343" s="165"/>
      <c r="N343" s="165"/>
      <c r="O343" s="165"/>
      <c r="P343" s="165"/>
      <c r="Q343" s="165"/>
      <c r="R343" s="165"/>
      <c r="S343" s="165"/>
      <c r="T343" s="165"/>
      <c r="U343" s="165"/>
      <c r="V343" s="165"/>
      <c r="W343" s="6"/>
    </row>
    <row r="344" spans="2:23" ht="15" x14ac:dyDescent="0.25">
      <c r="B344" s="6"/>
      <c r="C344" s="165"/>
      <c r="D344" s="165"/>
      <c r="E344" s="165"/>
      <c r="F344" s="165"/>
      <c r="G344" s="165"/>
      <c r="H344" s="165"/>
      <c r="I344" s="165"/>
      <c r="J344" s="165"/>
      <c r="K344" s="165"/>
      <c r="L344" s="165"/>
      <c r="M344" s="165"/>
      <c r="N344" s="165"/>
      <c r="O344" s="165"/>
      <c r="P344" s="165"/>
      <c r="Q344" s="165"/>
      <c r="R344" s="165"/>
      <c r="S344" s="165"/>
      <c r="T344" s="165"/>
      <c r="U344" s="165"/>
      <c r="V344" s="165"/>
      <c r="W344" s="6"/>
    </row>
    <row r="345" spans="2:23" ht="15" x14ac:dyDescent="0.25">
      <c r="B345" s="6"/>
      <c r="C345" s="165"/>
      <c r="D345" s="165"/>
      <c r="E345" s="165"/>
      <c r="F345" s="165"/>
      <c r="G345" s="165"/>
      <c r="H345" s="165"/>
      <c r="I345" s="165"/>
      <c r="J345" s="165"/>
      <c r="K345" s="165"/>
      <c r="L345" s="165"/>
      <c r="M345" s="165"/>
      <c r="N345" s="165"/>
      <c r="O345" s="165"/>
      <c r="P345" s="165"/>
      <c r="Q345" s="165"/>
      <c r="R345" s="165"/>
      <c r="S345" s="165"/>
      <c r="T345" s="165"/>
      <c r="U345" s="165"/>
      <c r="V345" s="165"/>
      <c r="W345" s="6"/>
    </row>
    <row r="346" spans="2:23" ht="15" x14ac:dyDescent="0.25">
      <c r="B346" s="6"/>
      <c r="C346" s="165"/>
      <c r="D346" s="165"/>
      <c r="E346" s="165"/>
      <c r="F346" s="165"/>
      <c r="G346" s="165"/>
      <c r="H346" s="165"/>
      <c r="I346" s="165"/>
      <c r="J346" s="165"/>
      <c r="K346" s="165"/>
      <c r="L346" s="165"/>
      <c r="M346" s="165"/>
      <c r="N346" s="165"/>
      <c r="O346" s="165"/>
      <c r="P346" s="165"/>
      <c r="Q346" s="165"/>
      <c r="R346" s="165"/>
      <c r="S346" s="165"/>
      <c r="T346" s="165"/>
      <c r="U346" s="165"/>
      <c r="V346" s="165"/>
      <c r="W346" s="6"/>
    </row>
    <row r="347" spans="2:23" ht="15" x14ac:dyDescent="0.25">
      <c r="B347" s="6"/>
      <c r="C347" s="165"/>
      <c r="D347" s="165"/>
      <c r="E347" s="165"/>
      <c r="F347" s="165"/>
      <c r="G347" s="165"/>
      <c r="H347" s="165"/>
      <c r="I347" s="165"/>
      <c r="J347" s="165"/>
      <c r="K347" s="165"/>
      <c r="L347" s="165"/>
      <c r="M347" s="165"/>
      <c r="N347" s="165"/>
      <c r="O347" s="165"/>
      <c r="P347" s="165"/>
      <c r="Q347" s="165"/>
      <c r="R347" s="165"/>
      <c r="S347" s="165"/>
      <c r="T347" s="165"/>
      <c r="U347" s="165"/>
      <c r="V347" s="165"/>
      <c r="W347" s="6"/>
    </row>
    <row r="348" spans="2:23" ht="15" x14ac:dyDescent="0.25">
      <c r="B348" s="6"/>
      <c r="C348" s="165"/>
      <c r="D348" s="165"/>
      <c r="E348" s="165"/>
      <c r="F348" s="165"/>
      <c r="G348" s="165"/>
      <c r="H348" s="165"/>
      <c r="I348" s="165"/>
      <c r="J348" s="165"/>
      <c r="K348" s="165"/>
      <c r="L348" s="165"/>
      <c r="M348" s="165"/>
      <c r="N348" s="165"/>
      <c r="O348" s="165"/>
      <c r="P348" s="165"/>
      <c r="Q348" s="165"/>
      <c r="R348" s="165"/>
      <c r="S348" s="165"/>
      <c r="T348" s="165"/>
      <c r="U348" s="165"/>
      <c r="V348" s="165"/>
      <c r="W348" s="6"/>
    </row>
    <row r="349" spans="2:23" ht="15" x14ac:dyDescent="0.25">
      <c r="B349" s="6"/>
      <c r="C349" s="165"/>
      <c r="D349" s="165"/>
      <c r="E349" s="165"/>
      <c r="F349" s="165"/>
      <c r="G349" s="165"/>
      <c r="H349" s="165"/>
      <c r="I349" s="165"/>
      <c r="J349" s="165"/>
      <c r="K349" s="165"/>
      <c r="L349" s="165"/>
      <c r="M349" s="165"/>
      <c r="N349" s="165"/>
      <c r="O349" s="165"/>
      <c r="P349" s="165"/>
      <c r="Q349" s="165"/>
      <c r="R349" s="165"/>
      <c r="S349" s="165"/>
      <c r="T349" s="165"/>
      <c r="U349" s="165"/>
      <c r="V349" s="165"/>
      <c r="W349" s="6"/>
    </row>
    <row r="350" spans="2:23" ht="15" x14ac:dyDescent="0.25">
      <c r="B350" s="6"/>
      <c r="C350" s="165"/>
      <c r="D350" s="165"/>
      <c r="E350" s="165"/>
      <c r="F350" s="165"/>
      <c r="G350" s="165"/>
      <c r="H350" s="165"/>
      <c r="I350" s="165"/>
      <c r="J350" s="165"/>
      <c r="K350" s="165"/>
      <c r="L350" s="165"/>
      <c r="M350" s="165"/>
      <c r="N350" s="165"/>
      <c r="O350" s="165"/>
      <c r="P350" s="165"/>
      <c r="Q350" s="165"/>
      <c r="R350" s="165"/>
      <c r="S350" s="165"/>
      <c r="T350" s="165"/>
      <c r="U350" s="165"/>
      <c r="V350" s="165"/>
      <c r="W350" s="6"/>
    </row>
    <row r="351" spans="2:23" ht="15" x14ac:dyDescent="0.25">
      <c r="B351" s="6"/>
      <c r="C351" s="165"/>
      <c r="D351" s="165"/>
      <c r="E351" s="165"/>
      <c r="F351" s="165"/>
      <c r="G351" s="165"/>
      <c r="H351" s="165"/>
      <c r="I351" s="165"/>
      <c r="J351" s="165"/>
      <c r="K351" s="165"/>
      <c r="L351" s="165"/>
      <c r="M351" s="165"/>
      <c r="N351" s="165"/>
      <c r="O351" s="165"/>
      <c r="P351" s="165"/>
      <c r="Q351" s="165"/>
      <c r="R351" s="165"/>
      <c r="S351" s="165"/>
      <c r="T351" s="165"/>
      <c r="U351" s="165"/>
      <c r="V351" s="165"/>
      <c r="W351" s="6"/>
    </row>
    <row r="352" spans="2:23" ht="15" x14ac:dyDescent="0.25">
      <c r="B352" s="6"/>
      <c r="C352" s="165"/>
      <c r="D352" s="165"/>
      <c r="E352" s="165"/>
      <c r="F352" s="165"/>
      <c r="G352" s="165"/>
      <c r="H352" s="165"/>
      <c r="I352" s="165"/>
      <c r="J352" s="165"/>
      <c r="K352" s="165"/>
      <c r="L352" s="165"/>
      <c r="M352" s="165"/>
      <c r="N352" s="165"/>
      <c r="O352" s="165"/>
      <c r="P352" s="165"/>
      <c r="Q352" s="165"/>
      <c r="R352" s="165"/>
      <c r="S352" s="165"/>
      <c r="T352" s="165"/>
      <c r="U352" s="165"/>
      <c r="V352" s="165"/>
      <c r="W352" s="6"/>
    </row>
    <row r="353" spans="2:23" ht="15" x14ac:dyDescent="0.25">
      <c r="B353" s="6"/>
      <c r="C353" s="165"/>
      <c r="D353" s="165"/>
      <c r="E353" s="165"/>
      <c r="F353" s="165"/>
      <c r="G353" s="165"/>
      <c r="H353" s="165"/>
      <c r="I353" s="165"/>
      <c r="J353" s="165"/>
      <c r="K353" s="165"/>
      <c r="L353" s="165"/>
      <c r="M353" s="165"/>
      <c r="N353" s="165"/>
      <c r="O353" s="165"/>
      <c r="P353" s="165"/>
      <c r="Q353" s="165"/>
      <c r="R353" s="165"/>
      <c r="S353" s="165"/>
      <c r="T353" s="165"/>
      <c r="U353" s="165"/>
      <c r="V353" s="165"/>
      <c r="W353" s="6"/>
    </row>
    <row r="354" spans="2:23" ht="15" x14ac:dyDescent="0.25">
      <c r="B354" s="6"/>
      <c r="C354" s="165"/>
      <c r="D354" s="165"/>
      <c r="E354" s="165"/>
      <c r="F354" s="165"/>
      <c r="G354" s="165"/>
      <c r="H354" s="165"/>
      <c r="I354" s="165"/>
      <c r="J354" s="165"/>
      <c r="K354" s="165"/>
      <c r="L354" s="165"/>
      <c r="M354" s="165"/>
      <c r="N354" s="165"/>
      <c r="O354" s="165"/>
      <c r="P354" s="165"/>
      <c r="Q354" s="165"/>
      <c r="R354" s="165"/>
      <c r="S354" s="165"/>
      <c r="T354" s="165"/>
      <c r="U354" s="165"/>
      <c r="V354" s="165"/>
      <c r="W354" s="6"/>
    </row>
    <row r="355" spans="2:23" ht="15" x14ac:dyDescent="0.25">
      <c r="B355" s="6"/>
      <c r="C355" s="165"/>
      <c r="D355" s="165"/>
      <c r="E355" s="165"/>
      <c r="F355" s="165"/>
      <c r="G355" s="165"/>
      <c r="H355" s="165"/>
      <c r="I355" s="165"/>
      <c r="J355" s="165"/>
      <c r="K355" s="165"/>
      <c r="L355" s="165"/>
      <c r="M355" s="165"/>
      <c r="N355" s="165"/>
      <c r="O355" s="165"/>
      <c r="P355" s="165"/>
      <c r="Q355" s="165"/>
      <c r="R355" s="165"/>
      <c r="S355" s="165"/>
      <c r="T355" s="165"/>
      <c r="U355" s="165"/>
      <c r="V355" s="165"/>
      <c r="W355" s="6"/>
    </row>
    <row r="356" spans="2:23" ht="15" x14ac:dyDescent="0.25">
      <c r="B356" s="6"/>
      <c r="C356" s="165"/>
      <c r="D356" s="165"/>
      <c r="E356" s="165"/>
      <c r="F356" s="165"/>
      <c r="G356" s="165"/>
      <c r="H356" s="165"/>
      <c r="I356" s="165"/>
      <c r="J356" s="165"/>
      <c r="K356" s="165"/>
      <c r="L356" s="165"/>
      <c r="M356" s="165"/>
      <c r="N356" s="165"/>
      <c r="O356" s="165"/>
      <c r="P356" s="165"/>
      <c r="Q356" s="165"/>
      <c r="R356" s="165"/>
      <c r="S356" s="165"/>
      <c r="T356" s="165"/>
      <c r="U356" s="165"/>
      <c r="V356" s="165"/>
      <c r="W356" s="6"/>
    </row>
    <row r="357" spans="2:23" ht="15" x14ac:dyDescent="0.25">
      <c r="B357" s="6"/>
      <c r="C357" s="165"/>
      <c r="D357" s="165"/>
      <c r="E357" s="165"/>
      <c r="F357" s="165"/>
      <c r="G357" s="165"/>
      <c r="H357" s="165"/>
      <c r="I357" s="165"/>
      <c r="J357" s="165"/>
      <c r="K357" s="165"/>
      <c r="L357" s="165"/>
      <c r="M357" s="165"/>
      <c r="N357" s="165"/>
      <c r="O357" s="165"/>
      <c r="P357" s="165"/>
      <c r="Q357" s="165"/>
      <c r="R357" s="165"/>
      <c r="S357" s="165"/>
      <c r="T357" s="165"/>
      <c r="U357" s="165"/>
      <c r="V357" s="165"/>
      <c r="W357" s="6"/>
    </row>
    <row r="358" spans="2:23" ht="15" x14ac:dyDescent="0.25">
      <c r="B358" s="6"/>
      <c r="C358" s="165"/>
      <c r="D358" s="165"/>
      <c r="E358" s="165"/>
      <c r="F358" s="165"/>
      <c r="G358" s="165"/>
      <c r="H358" s="165"/>
      <c r="I358" s="165"/>
      <c r="J358" s="165"/>
      <c r="K358" s="165"/>
      <c r="L358" s="165"/>
      <c r="M358" s="165"/>
      <c r="N358" s="165"/>
      <c r="O358" s="165"/>
      <c r="P358" s="165"/>
      <c r="Q358" s="165"/>
      <c r="R358" s="165"/>
      <c r="S358" s="165"/>
      <c r="T358" s="165"/>
      <c r="U358" s="165"/>
      <c r="V358" s="165"/>
      <c r="W358" s="6"/>
    </row>
    <row r="359" spans="2:23" x14ac:dyDescent="0.2">
      <c r="B359" s="6"/>
      <c r="C359" s="69"/>
      <c r="D359" s="69"/>
      <c r="E359" s="69"/>
      <c r="F359" s="69"/>
      <c r="G359" s="69"/>
      <c r="H359" s="69"/>
      <c r="I359" s="69"/>
      <c r="J359" s="69"/>
      <c r="K359" s="69"/>
      <c r="L359" s="69"/>
      <c r="M359" s="69"/>
      <c r="N359" s="69"/>
      <c r="O359" s="69"/>
      <c r="Q359" s="69"/>
      <c r="R359" s="69"/>
      <c r="S359" s="69"/>
      <c r="T359" s="69"/>
      <c r="U359" s="69"/>
      <c r="V359" s="69"/>
      <c r="W359" s="6"/>
    </row>
    <row r="360" spans="2:23" x14ac:dyDescent="0.2">
      <c r="B360" s="6"/>
      <c r="C360" s="69"/>
      <c r="D360" s="69"/>
      <c r="E360" s="69"/>
      <c r="F360" s="69"/>
      <c r="G360" s="69"/>
      <c r="H360" s="69"/>
      <c r="I360" s="69"/>
      <c r="J360" s="69"/>
      <c r="K360" s="69"/>
      <c r="L360" s="69"/>
      <c r="M360" s="69"/>
      <c r="N360" s="69"/>
      <c r="O360" s="69"/>
      <c r="Q360" s="69"/>
      <c r="R360" s="69"/>
      <c r="S360" s="69"/>
      <c r="T360" s="69"/>
      <c r="U360" s="69"/>
      <c r="V360" s="69"/>
      <c r="W360" s="6"/>
    </row>
    <row r="361" spans="2:23" ht="15.75" x14ac:dyDescent="0.25">
      <c r="B361" s="6"/>
      <c r="C361" s="901" t="s">
        <v>546</v>
      </c>
      <c r="D361" s="902"/>
      <c r="E361" s="902"/>
      <c r="F361" s="902"/>
      <c r="G361" s="902"/>
      <c r="H361" s="902"/>
      <c r="I361" s="902"/>
      <c r="J361" s="902"/>
      <c r="K361" s="902"/>
      <c r="L361" s="902"/>
      <c r="M361" s="902"/>
      <c r="N361" s="902"/>
      <c r="O361" s="902"/>
      <c r="P361" s="902"/>
      <c r="Q361" s="902"/>
      <c r="R361" s="902"/>
      <c r="S361" s="902"/>
      <c r="T361" s="902"/>
      <c r="U361" s="902"/>
      <c r="V361" s="69"/>
      <c r="W361" s="6"/>
    </row>
    <row r="362" spans="2:23" ht="54.75" customHeight="1" x14ac:dyDescent="0.2">
      <c r="B362" s="6"/>
      <c r="C362" s="711" t="s">
        <v>834</v>
      </c>
      <c r="D362" s="711"/>
      <c r="E362" s="711"/>
      <c r="F362" s="711"/>
      <c r="G362" s="711"/>
      <c r="H362" s="711"/>
      <c r="I362" s="711"/>
      <c r="J362" s="711"/>
      <c r="K362" s="711"/>
      <c r="L362" s="711"/>
      <c r="M362" s="711"/>
      <c r="N362" s="711"/>
      <c r="O362" s="711"/>
      <c r="P362" s="711"/>
      <c r="Q362" s="711"/>
      <c r="R362" s="711"/>
      <c r="S362" s="711"/>
      <c r="T362" s="711"/>
      <c r="U362" s="711"/>
      <c r="V362" s="69"/>
      <c r="W362" s="6"/>
    </row>
    <row r="363" spans="2:23" ht="15" x14ac:dyDescent="0.25">
      <c r="B363" s="6"/>
      <c r="C363" s="195"/>
      <c r="D363" s="165"/>
      <c r="E363" s="165"/>
      <c r="F363" s="165"/>
      <c r="G363" s="165"/>
      <c r="H363" s="165"/>
      <c r="I363" s="165"/>
      <c r="J363" s="165"/>
      <c r="K363" s="165"/>
      <c r="L363" s="165"/>
      <c r="M363" s="165"/>
      <c r="N363" s="165"/>
      <c r="O363" s="165"/>
      <c r="P363" s="165"/>
      <c r="Q363" s="165"/>
      <c r="R363" s="165"/>
      <c r="S363" s="165"/>
      <c r="T363" s="165"/>
      <c r="U363" s="165"/>
      <c r="V363" s="69"/>
      <c r="W363" s="6"/>
    </row>
    <row r="364" spans="2:23" ht="35.25" customHeight="1" x14ac:dyDescent="0.2">
      <c r="B364" s="6"/>
      <c r="C364" s="711"/>
      <c r="D364" s="711"/>
      <c r="E364" s="711"/>
      <c r="F364" s="711"/>
      <c r="G364" s="711"/>
      <c r="H364" s="711"/>
      <c r="I364" s="711"/>
      <c r="J364" s="711"/>
      <c r="K364" s="711"/>
      <c r="L364" s="711"/>
      <c r="M364" s="711"/>
      <c r="N364" s="711"/>
      <c r="O364" s="711"/>
      <c r="P364" s="711"/>
      <c r="Q364" s="711"/>
      <c r="R364" s="711"/>
      <c r="S364" s="711"/>
      <c r="T364" s="711"/>
      <c r="U364" s="711"/>
      <c r="V364" s="69"/>
      <c r="W364" s="6"/>
    </row>
    <row r="365" spans="2:23" ht="15" x14ac:dyDescent="0.25">
      <c r="B365" s="6"/>
      <c r="C365" s="195"/>
      <c r="D365" s="165"/>
      <c r="E365" s="165"/>
      <c r="F365" s="165"/>
      <c r="G365" s="165"/>
      <c r="H365" s="165"/>
      <c r="I365" s="165"/>
      <c r="J365" s="165"/>
      <c r="K365" s="165"/>
      <c r="L365" s="165"/>
      <c r="M365" s="165"/>
      <c r="N365" s="165"/>
      <c r="O365" s="165"/>
      <c r="P365" s="165"/>
      <c r="Q365" s="165"/>
      <c r="R365" s="165"/>
      <c r="S365" s="165"/>
      <c r="T365" s="165"/>
      <c r="U365" s="165"/>
      <c r="V365" s="69"/>
      <c r="W365" s="6"/>
    </row>
    <row r="366" spans="2:23" ht="15" x14ac:dyDescent="0.25">
      <c r="B366" s="6"/>
      <c r="C366" s="165"/>
      <c r="D366" s="165"/>
      <c r="E366" s="165"/>
      <c r="F366" s="165"/>
      <c r="G366" s="165"/>
      <c r="H366" s="165"/>
      <c r="I366" s="165"/>
      <c r="J366" s="165"/>
      <c r="K366" s="165"/>
      <c r="L366" s="165"/>
      <c r="M366" s="165"/>
      <c r="N366" s="165"/>
      <c r="O366" s="165"/>
      <c r="P366" s="165"/>
      <c r="Q366" s="165"/>
      <c r="R366" s="165"/>
      <c r="S366" s="165"/>
      <c r="T366" s="165"/>
      <c r="U366" s="165"/>
      <c r="V366" s="69"/>
      <c r="W366" s="6"/>
    </row>
    <row r="367" spans="2:23" s="69" customFormat="1" ht="15" x14ac:dyDescent="0.25">
      <c r="B367" s="6"/>
      <c r="C367" s="561"/>
      <c r="D367" s="561"/>
      <c r="E367" s="561"/>
      <c r="F367" s="561"/>
      <c r="G367" s="561"/>
      <c r="H367" s="561"/>
      <c r="I367" s="561"/>
      <c r="J367" s="561"/>
      <c r="K367" s="561"/>
      <c r="L367" s="561"/>
      <c r="M367" s="561"/>
      <c r="N367" s="561"/>
      <c r="O367" s="561"/>
      <c r="P367" s="561"/>
      <c r="Q367" s="561"/>
      <c r="R367" s="561"/>
      <c r="S367" s="561"/>
      <c r="T367" s="561"/>
      <c r="U367" s="561"/>
      <c r="W367" s="6"/>
    </row>
    <row r="368" spans="2:23" ht="15" x14ac:dyDescent="0.25">
      <c r="B368" s="6"/>
      <c r="C368" s="165"/>
      <c r="D368" s="165"/>
      <c r="E368" s="165"/>
      <c r="F368" s="165"/>
      <c r="G368" s="165"/>
      <c r="H368" s="165"/>
      <c r="I368" s="165"/>
      <c r="J368" s="165"/>
      <c r="K368" s="165"/>
      <c r="L368" s="165"/>
      <c r="M368" s="165"/>
      <c r="N368" s="165"/>
      <c r="O368" s="165"/>
      <c r="P368" s="165"/>
      <c r="Q368" s="165"/>
      <c r="R368" s="165"/>
      <c r="S368" s="165"/>
      <c r="T368" s="165"/>
      <c r="U368" s="165"/>
      <c r="V368" s="69"/>
      <c r="W368" s="6"/>
    </row>
    <row r="369" spans="2:23" s="69" customFormat="1" ht="15" x14ac:dyDescent="0.25">
      <c r="B369" s="6"/>
      <c r="C369" s="561"/>
      <c r="D369" s="561"/>
      <c r="E369" s="561"/>
      <c r="F369" s="561"/>
      <c r="G369" s="561"/>
      <c r="H369" s="561"/>
      <c r="I369" s="561"/>
      <c r="J369" s="561"/>
      <c r="K369" s="561"/>
      <c r="L369" s="561"/>
      <c r="M369" s="561"/>
      <c r="N369" s="561"/>
      <c r="O369" s="561"/>
      <c r="P369" s="561"/>
      <c r="Q369" s="561"/>
      <c r="R369" s="561"/>
      <c r="S369" s="561"/>
      <c r="T369" s="561"/>
      <c r="U369" s="561"/>
      <c r="W369" s="6"/>
    </row>
    <row r="370" spans="2:23" ht="18" customHeight="1" x14ac:dyDescent="0.2">
      <c r="B370" s="6"/>
      <c r="C370" s="903" t="s">
        <v>549</v>
      </c>
      <c r="D370" s="903"/>
      <c r="E370" s="903"/>
      <c r="F370" s="903"/>
      <c r="G370" s="903"/>
      <c r="H370" s="903"/>
      <c r="I370" s="903"/>
      <c r="J370" s="903"/>
      <c r="K370" s="903"/>
      <c r="L370" s="903"/>
      <c r="M370" s="903"/>
      <c r="N370" s="903"/>
      <c r="O370" s="903"/>
      <c r="P370" s="903"/>
      <c r="Q370" s="903"/>
      <c r="R370" s="903"/>
      <c r="S370" s="903"/>
      <c r="T370" s="903"/>
      <c r="U370" s="903"/>
      <c r="V370" s="69"/>
      <c r="W370" s="6"/>
    </row>
    <row r="371" spans="2:23" ht="15" x14ac:dyDescent="0.25">
      <c r="B371" s="6"/>
      <c r="C371" s="165"/>
      <c r="D371" s="165"/>
      <c r="E371" s="165"/>
      <c r="F371" s="158" t="s">
        <v>547</v>
      </c>
      <c r="G371" s="165"/>
      <c r="H371" s="165"/>
      <c r="I371" s="165"/>
      <c r="J371" s="165"/>
      <c r="K371" s="165"/>
      <c r="L371" s="165"/>
      <c r="M371" s="165"/>
      <c r="N371" s="165"/>
      <c r="O371" s="165"/>
      <c r="P371" s="165"/>
      <c r="Q371" s="165"/>
      <c r="R371" s="165"/>
      <c r="S371" s="165"/>
      <c r="T371" s="165"/>
      <c r="U371" s="165"/>
      <c r="V371" s="69"/>
      <c r="W371" s="6"/>
    </row>
    <row r="372" spans="2:23" ht="15" x14ac:dyDescent="0.25">
      <c r="B372" s="6"/>
      <c r="C372" s="165"/>
      <c r="D372" s="165"/>
      <c r="E372" s="165"/>
      <c r="F372" s="158" t="s">
        <v>548</v>
      </c>
      <c r="G372" s="165"/>
      <c r="H372" s="165"/>
      <c r="I372" s="165"/>
      <c r="J372" s="165"/>
      <c r="K372" s="165"/>
      <c r="L372" s="165"/>
      <c r="M372" s="165"/>
      <c r="N372" s="165"/>
      <c r="O372" s="165"/>
      <c r="P372" s="165"/>
      <c r="Q372" s="165"/>
      <c r="R372" s="165"/>
      <c r="S372" s="165"/>
      <c r="T372" s="165"/>
      <c r="U372" s="165"/>
      <c r="V372" s="69"/>
      <c r="W372" s="6"/>
    </row>
    <row r="373" spans="2:23" ht="15" x14ac:dyDescent="0.25">
      <c r="B373" s="6"/>
      <c r="C373" s="165"/>
      <c r="D373" s="165"/>
      <c r="E373" s="165"/>
      <c r="F373" s="158" t="s">
        <v>1006</v>
      </c>
      <c r="G373" s="165"/>
      <c r="H373" s="165"/>
      <c r="I373" s="165"/>
      <c r="J373" s="165"/>
      <c r="K373" s="165"/>
      <c r="L373" s="165"/>
      <c r="M373" s="165"/>
      <c r="N373" s="165"/>
      <c r="O373" s="165"/>
      <c r="P373" s="165"/>
      <c r="Q373" s="165"/>
      <c r="R373" s="165"/>
      <c r="S373" s="165"/>
      <c r="T373" s="165"/>
      <c r="U373" s="165"/>
      <c r="V373" s="69"/>
      <c r="W373" s="6"/>
    </row>
    <row r="374" spans="2:23" ht="15" x14ac:dyDescent="0.25">
      <c r="B374" s="6"/>
      <c r="C374" s="165"/>
      <c r="D374" s="165"/>
      <c r="E374" s="165"/>
      <c r="F374" s="158" t="s">
        <v>1003</v>
      </c>
      <c r="G374" s="165"/>
      <c r="H374" s="165"/>
      <c r="I374" s="165"/>
      <c r="J374" s="165"/>
      <c r="K374" s="165"/>
      <c r="L374" s="165"/>
      <c r="M374" s="165"/>
      <c r="N374" s="165"/>
      <c r="O374" s="165"/>
      <c r="P374" s="165"/>
      <c r="Q374" s="165"/>
      <c r="R374" s="165"/>
      <c r="S374" s="165"/>
      <c r="T374" s="165"/>
      <c r="U374" s="165"/>
      <c r="V374" s="69"/>
      <c r="W374" s="6"/>
    </row>
    <row r="375" spans="2:23" ht="15" x14ac:dyDescent="0.25">
      <c r="B375" s="6"/>
      <c r="C375" s="165"/>
      <c r="D375" s="165"/>
      <c r="E375" s="165"/>
      <c r="F375" s="165"/>
      <c r="G375" s="165"/>
      <c r="H375" s="165"/>
      <c r="I375" s="165"/>
      <c r="J375" s="165"/>
      <c r="K375" s="165"/>
      <c r="L375" s="165"/>
      <c r="M375" s="165"/>
      <c r="N375" s="165"/>
      <c r="O375" s="165"/>
      <c r="P375" s="165"/>
      <c r="Q375" s="165"/>
      <c r="R375" s="165"/>
      <c r="S375" s="165"/>
      <c r="T375" s="165"/>
      <c r="U375" s="165"/>
      <c r="V375" s="69"/>
      <c r="W375" s="6"/>
    </row>
    <row r="376" spans="2:23" ht="16.5" customHeight="1" x14ac:dyDescent="0.25">
      <c r="B376" s="6"/>
      <c r="C376" s="165"/>
      <c r="D376" s="165"/>
      <c r="E376" s="165"/>
      <c r="F376" s="165"/>
      <c r="G376" s="165"/>
      <c r="H376" s="165"/>
      <c r="I376" s="165"/>
      <c r="J376" s="165"/>
      <c r="K376" s="165"/>
      <c r="L376" s="165"/>
      <c r="M376" s="165"/>
      <c r="N376" s="165"/>
      <c r="O376" s="165"/>
      <c r="P376" s="165"/>
      <c r="Q376" s="165"/>
      <c r="R376" s="165"/>
      <c r="S376" s="165"/>
      <c r="T376" s="165"/>
      <c r="U376" s="165"/>
      <c r="V376" s="69"/>
      <c r="W376" s="6"/>
    </row>
    <row r="377" spans="2:23" ht="15" x14ac:dyDescent="0.25">
      <c r="B377" s="6"/>
      <c r="C377" s="165"/>
      <c r="D377" s="165"/>
      <c r="E377" s="165"/>
      <c r="F377" s="165"/>
      <c r="G377" s="165"/>
      <c r="H377" s="165"/>
      <c r="I377" s="165"/>
      <c r="J377" s="165"/>
      <c r="K377" s="165"/>
      <c r="L377" s="165"/>
      <c r="M377" s="165"/>
      <c r="N377" s="165"/>
      <c r="O377" s="165"/>
      <c r="P377" s="165"/>
      <c r="Q377" s="165"/>
      <c r="R377" s="165"/>
      <c r="S377" s="165"/>
      <c r="T377" s="165"/>
      <c r="U377" s="165"/>
      <c r="V377" s="69"/>
      <c r="W377" s="6"/>
    </row>
    <row r="378" spans="2:23" ht="15" x14ac:dyDescent="0.25">
      <c r="B378" s="6"/>
      <c r="C378" s="165"/>
      <c r="D378" s="165"/>
      <c r="E378" s="165"/>
      <c r="F378" s="165"/>
      <c r="G378" s="165"/>
      <c r="H378" s="165"/>
      <c r="I378" s="165"/>
      <c r="J378" s="165"/>
      <c r="K378" s="165"/>
      <c r="L378" s="165"/>
      <c r="M378" s="165"/>
      <c r="N378" s="165"/>
      <c r="O378" s="165"/>
      <c r="P378" s="165"/>
      <c r="Q378" s="165"/>
      <c r="R378" s="165"/>
      <c r="S378" s="165"/>
      <c r="T378" s="165"/>
      <c r="U378" s="165"/>
      <c r="V378" s="69"/>
      <c r="W378" s="6"/>
    </row>
    <row r="379" spans="2:23" ht="15" x14ac:dyDescent="0.25">
      <c r="B379" s="6"/>
      <c r="C379" s="165"/>
      <c r="D379" s="165"/>
      <c r="E379" s="165"/>
      <c r="F379" s="165"/>
      <c r="G379" s="165"/>
      <c r="H379" s="165"/>
      <c r="I379" s="165"/>
      <c r="J379" s="165"/>
      <c r="K379" s="165"/>
      <c r="L379" s="165"/>
      <c r="M379" s="165"/>
      <c r="N379" s="165"/>
      <c r="O379" s="165"/>
      <c r="P379" s="165"/>
      <c r="Q379" s="165"/>
      <c r="R379" s="165"/>
      <c r="S379" s="165"/>
      <c r="T379" s="165"/>
      <c r="U379" s="165"/>
      <c r="V379" s="69"/>
      <c r="W379" s="6"/>
    </row>
    <row r="380" spans="2:23" ht="15" x14ac:dyDescent="0.25">
      <c r="B380" s="6"/>
      <c r="C380" s="165"/>
      <c r="D380" s="165"/>
      <c r="E380" s="165"/>
      <c r="F380" s="165"/>
      <c r="G380" s="165"/>
      <c r="H380" s="165"/>
      <c r="I380" s="165"/>
      <c r="J380" s="165"/>
      <c r="K380" s="165"/>
      <c r="L380" s="165"/>
      <c r="M380" s="165"/>
      <c r="N380" s="165"/>
      <c r="O380" s="165"/>
      <c r="P380" s="165"/>
      <c r="Q380" s="165"/>
      <c r="R380" s="165"/>
      <c r="S380" s="165"/>
      <c r="T380" s="165"/>
      <c r="U380" s="165"/>
      <c r="V380" s="69"/>
      <c r="W380" s="6"/>
    </row>
    <row r="381" spans="2:23" ht="15" x14ac:dyDescent="0.25">
      <c r="B381" s="6"/>
      <c r="C381" s="165"/>
      <c r="D381" s="165"/>
      <c r="E381" s="165"/>
      <c r="F381" s="165"/>
      <c r="G381" s="165"/>
      <c r="H381" s="165"/>
      <c r="I381" s="165"/>
      <c r="J381" s="165"/>
      <c r="K381" s="165"/>
      <c r="L381" s="165"/>
      <c r="M381" s="165"/>
      <c r="N381" s="165"/>
      <c r="O381" s="165"/>
      <c r="P381" s="165"/>
      <c r="Q381" s="165"/>
      <c r="R381" s="165"/>
      <c r="S381" s="165"/>
      <c r="T381" s="165"/>
      <c r="U381" s="165"/>
      <c r="V381" s="69"/>
      <c r="W381" s="6"/>
    </row>
    <row r="382" spans="2:23" ht="15" x14ac:dyDescent="0.25">
      <c r="B382" s="6"/>
      <c r="C382" s="165"/>
      <c r="D382" s="165"/>
      <c r="E382" s="165"/>
      <c r="F382" s="165"/>
      <c r="G382" s="165"/>
      <c r="H382" s="165"/>
      <c r="I382" s="165"/>
      <c r="J382" s="165"/>
      <c r="K382" s="165"/>
      <c r="L382" s="165"/>
      <c r="M382" s="165"/>
      <c r="N382" s="165"/>
      <c r="O382" s="165"/>
      <c r="P382" s="165"/>
      <c r="Q382" s="165"/>
      <c r="R382" s="165"/>
      <c r="S382" s="165"/>
      <c r="T382" s="165"/>
      <c r="U382" s="165"/>
      <c r="V382" s="69"/>
      <c r="W382" s="6"/>
    </row>
    <row r="383" spans="2:23" ht="15" x14ac:dyDescent="0.25">
      <c r="B383" s="6"/>
      <c r="C383" s="165"/>
      <c r="D383" s="165"/>
      <c r="E383" s="165"/>
      <c r="F383" s="165"/>
      <c r="G383" s="165"/>
      <c r="H383" s="165"/>
      <c r="I383" s="165"/>
      <c r="J383" s="165"/>
      <c r="K383" s="165"/>
      <c r="L383" s="165"/>
      <c r="M383" s="165"/>
      <c r="N383" s="165"/>
      <c r="O383" s="165"/>
      <c r="P383" s="165"/>
      <c r="Q383" s="165"/>
      <c r="R383" s="165"/>
      <c r="S383" s="165"/>
      <c r="T383" s="165"/>
      <c r="U383" s="165"/>
      <c r="V383" s="69"/>
      <c r="W383" s="6"/>
    </row>
    <row r="384" spans="2:23" ht="15" x14ac:dyDescent="0.25">
      <c r="B384" s="6"/>
      <c r="C384" s="165"/>
      <c r="D384" s="165"/>
      <c r="E384" s="165"/>
      <c r="F384" s="165"/>
      <c r="G384" s="165"/>
      <c r="H384" s="165"/>
      <c r="I384" s="165"/>
      <c r="J384" s="165"/>
      <c r="K384" s="165"/>
      <c r="L384" s="165"/>
      <c r="M384" s="165"/>
      <c r="N384" s="165"/>
      <c r="O384" s="165"/>
      <c r="P384" s="165"/>
      <c r="Q384" s="165"/>
      <c r="R384" s="165"/>
      <c r="S384" s="165"/>
      <c r="T384" s="165"/>
      <c r="U384" s="165"/>
      <c r="V384" s="69"/>
      <c r="W384" s="6"/>
    </row>
    <row r="385" spans="2:23" ht="15" x14ac:dyDescent="0.25">
      <c r="B385" s="6"/>
      <c r="C385" s="165"/>
      <c r="D385" s="165"/>
      <c r="E385" s="165"/>
      <c r="F385" s="165"/>
      <c r="G385" s="165"/>
      <c r="H385" s="165"/>
      <c r="I385" s="165"/>
      <c r="J385" s="165"/>
      <c r="K385" s="165"/>
      <c r="L385" s="165"/>
      <c r="M385" s="165"/>
      <c r="N385" s="165"/>
      <c r="O385" s="165"/>
      <c r="P385" s="165"/>
      <c r="Q385" s="165"/>
      <c r="R385" s="165"/>
      <c r="S385" s="165"/>
      <c r="T385" s="165"/>
      <c r="U385" s="165"/>
      <c r="V385" s="69"/>
      <c r="W385" s="6"/>
    </row>
    <row r="386" spans="2:23" ht="15" x14ac:dyDescent="0.25">
      <c r="B386" s="6"/>
      <c r="C386" s="165"/>
      <c r="D386" s="165"/>
      <c r="E386" s="165"/>
      <c r="F386" s="165"/>
      <c r="G386" s="165"/>
      <c r="H386" s="165"/>
      <c r="I386" s="165"/>
      <c r="J386" s="165"/>
      <c r="K386" s="165"/>
      <c r="L386" s="165"/>
      <c r="M386" s="165"/>
      <c r="N386" s="165"/>
      <c r="O386" s="165"/>
      <c r="P386" s="165"/>
      <c r="Q386" s="165"/>
      <c r="R386" s="165"/>
      <c r="S386" s="165"/>
      <c r="T386" s="165"/>
      <c r="U386" s="165"/>
      <c r="V386" s="69"/>
      <c r="W386" s="6"/>
    </row>
    <row r="387" spans="2:23" ht="15" x14ac:dyDescent="0.25">
      <c r="B387" s="6"/>
      <c r="C387" s="165"/>
      <c r="D387" s="165"/>
      <c r="E387" s="165"/>
      <c r="F387" s="165"/>
      <c r="G387" s="165"/>
      <c r="H387" s="165"/>
      <c r="I387" s="165"/>
      <c r="J387" s="165"/>
      <c r="K387" s="165"/>
      <c r="L387" s="165"/>
      <c r="M387" s="165"/>
      <c r="N387" s="165"/>
      <c r="O387" s="165"/>
      <c r="P387" s="165"/>
      <c r="Q387" s="165"/>
      <c r="R387" s="165"/>
      <c r="S387" s="165"/>
      <c r="T387" s="165"/>
      <c r="U387" s="165"/>
      <c r="V387" s="69"/>
      <c r="W387" s="6"/>
    </row>
    <row r="388" spans="2:23" ht="15" x14ac:dyDescent="0.25">
      <c r="B388" s="6"/>
      <c r="C388" s="165"/>
      <c r="D388" s="165"/>
      <c r="E388" s="165"/>
      <c r="F388" s="165"/>
      <c r="G388" s="165"/>
      <c r="H388" s="165"/>
      <c r="I388" s="165"/>
      <c r="J388" s="165"/>
      <c r="K388" s="165"/>
      <c r="L388" s="165"/>
      <c r="M388" s="165"/>
      <c r="N388" s="165"/>
      <c r="O388" s="165"/>
      <c r="P388" s="165"/>
      <c r="Q388" s="165"/>
      <c r="R388" s="165"/>
      <c r="S388" s="165"/>
      <c r="T388" s="165"/>
      <c r="U388" s="165"/>
      <c r="V388" s="69"/>
      <c r="W388" s="6"/>
    </row>
    <row r="389" spans="2:23" ht="15" x14ac:dyDescent="0.25">
      <c r="B389" s="6"/>
      <c r="C389" s="165"/>
      <c r="D389" s="165"/>
      <c r="E389" s="165"/>
      <c r="F389" s="165"/>
      <c r="G389" s="165"/>
      <c r="H389" s="165"/>
      <c r="I389" s="165"/>
      <c r="J389" s="165"/>
      <c r="K389" s="165"/>
      <c r="L389" s="165"/>
      <c r="M389" s="165"/>
      <c r="N389" s="165"/>
      <c r="O389" s="165"/>
      <c r="P389" s="165"/>
      <c r="Q389" s="165"/>
      <c r="R389" s="165"/>
      <c r="S389" s="165"/>
      <c r="T389" s="165"/>
      <c r="U389" s="165"/>
      <c r="V389" s="69"/>
      <c r="W389" s="6"/>
    </row>
    <row r="390" spans="2:23" ht="15" x14ac:dyDescent="0.25">
      <c r="B390" s="6"/>
      <c r="C390" s="165"/>
      <c r="D390" s="165"/>
      <c r="E390" s="165"/>
      <c r="F390" s="165"/>
      <c r="G390" s="165"/>
      <c r="H390" s="165"/>
      <c r="I390" s="165"/>
      <c r="J390" s="165"/>
      <c r="K390" s="165"/>
      <c r="L390" s="165"/>
      <c r="M390" s="165"/>
      <c r="N390" s="165"/>
      <c r="O390" s="165"/>
      <c r="P390" s="165"/>
      <c r="Q390" s="165"/>
      <c r="R390" s="165"/>
      <c r="S390" s="165"/>
      <c r="T390" s="165"/>
      <c r="U390" s="165"/>
      <c r="V390" s="69"/>
      <c r="W390" s="6"/>
    </row>
    <row r="391" spans="2:23" ht="15" x14ac:dyDescent="0.25">
      <c r="B391" s="6"/>
      <c r="C391" s="165"/>
      <c r="D391" s="165"/>
      <c r="E391" s="165"/>
      <c r="F391" s="165"/>
      <c r="G391" s="165"/>
      <c r="H391" s="165"/>
      <c r="I391" s="165"/>
      <c r="J391" s="165"/>
      <c r="K391" s="165"/>
      <c r="L391" s="165"/>
      <c r="M391" s="165"/>
      <c r="N391" s="165"/>
      <c r="O391" s="165"/>
      <c r="P391" s="165"/>
      <c r="Q391" s="165"/>
      <c r="R391" s="165"/>
      <c r="S391" s="165"/>
      <c r="T391" s="165"/>
      <c r="U391" s="165"/>
      <c r="V391" s="69"/>
      <c r="W391" s="6"/>
    </row>
    <row r="392" spans="2:23" ht="15" x14ac:dyDescent="0.25">
      <c r="B392" s="6"/>
      <c r="C392" s="165"/>
      <c r="D392" s="165"/>
      <c r="E392" s="165"/>
      <c r="F392" s="165"/>
      <c r="G392" s="165"/>
      <c r="H392" s="165"/>
      <c r="I392" s="165"/>
      <c r="J392" s="165"/>
      <c r="K392" s="165"/>
      <c r="L392" s="165"/>
      <c r="M392" s="165"/>
      <c r="N392" s="165"/>
      <c r="O392" s="165"/>
      <c r="P392" s="165"/>
      <c r="Q392" s="165"/>
      <c r="R392" s="165"/>
      <c r="S392" s="165"/>
      <c r="T392" s="165"/>
      <c r="U392" s="165"/>
      <c r="V392" s="69"/>
      <c r="W392" s="6"/>
    </row>
    <row r="393" spans="2:23" ht="15" x14ac:dyDescent="0.25">
      <c r="B393" s="6"/>
      <c r="C393" s="165"/>
      <c r="D393" s="165"/>
      <c r="E393" s="165"/>
      <c r="F393" s="165"/>
      <c r="G393" s="165"/>
      <c r="H393" s="165"/>
      <c r="I393" s="165"/>
      <c r="J393" s="165"/>
      <c r="K393" s="165"/>
      <c r="L393" s="165"/>
      <c r="M393" s="165"/>
      <c r="N393" s="165"/>
      <c r="O393" s="165"/>
      <c r="P393" s="165"/>
      <c r="Q393" s="165"/>
      <c r="R393" s="165"/>
      <c r="S393" s="165"/>
      <c r="T393" s="165"/>
      <c r="U393" s="165"/>
      <c r="V393" s="69"/>
      <c r="W393" s="6"/>
    </row>
    <row r="394" spans="2:23" ht="15" x14ac:dyDescent="0.25">
      <c r="B394" s="6"/>
      <c r="C394" s="165"/>
      <c r="D394" s="165"/>
      <c r="E394" s="165"/>
      <c r="F394" s="165"/>
      <c r="G394" s="165"/>
      <c r="H394" s="165"/>
      <c r="I394" s="165"/>
      <c r="J394" s="165"/>
      <c r="K394" s="165"/>
      <c r="L394" s="165"/>
      <c r="M394" s="165"/>
      <c r="N394" s="165"/>
      <c r="O394" s="165"/>
      <c r="P394" s="165"/>
      <c r="Q394" s="165"/>
      <c r="R394" s="165"/>
      <c r="S394" s="165"/>
      <c r="T394" s="165"/>
      <c r="U394" s="165"/>
      <c r="V394" s="69"/>
      <c r="W394" s="6"/>
    </row>
    <row r="395" spans="2:23" ht="15" x14ac:dyDescent="0.25">
      <c r="B395" s="6"/>
      <c r="C395" s="165"/>
      <c r="D395" s="165"/>
      <c r="E395" s="165"/>
      <c r="F395" s="165"/>
      <c r="G395" s="165"/>
      <c r="H395" s="165"/>
      <c r="I395" s="165"/>
      <c r="J395" s="165"/>
      <c r="K395" s="165"/>
      <c r="L395" s="165"/>
      <c r="M395" s="165"/>
      <c r="N395" s="165"/>
      <c r="O395" s="165"/>
      <c r="P395" s="165"/>
      <c r="Q395" s="165"/>
      <c r="R395" s="165"/>
      <c r="S395" s="165"/>
      <c r="T395" s="165"/>
      <c r="U395" s="165"/>
      <c r="V395" s="69"/>
      <c r="W395" s="6"/>
    </row>
    <row r="396" spans="2:23" ht="15" x14ac:dyDescent="0.25">
      <c r="B396" s="6"/>
      <c r="C396" s="165"/>
      <c r="D396" s="165"/>
      <c r="E396" s="165"/>
      <c r="F396" s="165"/>
      <c r="G396" s="165"/>
      <c r="H396" s="165"/>
      <c r="I396" s="165"/>
      <c r="J396" s="165"/>
      <c r="K396" s="165"/>
      <c r="L396" s="165"/>
      <c r="M396" s="165"/>
      <c r="N396" s="165"/>
      <c r="O396" s="165"/>
      <c r="P396" s="165"/>
      <c r="Q396" s="165"/>
      <c r="R396" s="165"/>
      <c r="S396" s="165"/>
      <c r="T396" s="165"/>
      <c r="U396" s="165"/>
      <c r="V396" s="69"/>
      <c r="W396" s="6"/>
    </row>
    <row r="397" spans="2:23" ht="15" x14ac:dyDescent="0.25">
      <c r="B397" s="6"/>
      <c r="C397" s="165"/>
      <c r="D397" s="165"/>
      <c r="E397" s="165"/>
      <c r="F397" s="165"/>
      <c r="G397" s="165"/>
      <c r="H397" s="165"/>
      <c r="I397" s="165"/>
      <c r="J397" s="165"/>
      <c r="K397" s="165"/>
      <c r="L397" s="165"/>
      <c r="M397" s="165"/>
      <c r="N397" s="165"/>
      <c r="O397" s="165"/>
      <c r="P397" s="165"/>
      <c r="Q397" s="165"/>
      <c r="R397" s="165"/>
      <c r="S397" s="165"/>
      <c r="T397" s="165"/>
      <c r="U397" s="165"/>
      <c r="V397" s="69"/>
      <c r="W397" s="6"/>
    </row>
    <row r="398" spans="2:23" ht="15" x14ac:dyDescent="0.25">
      <c r="B398" s="6"/>
      <c r="C398" s="165"/>
      <c r="D398" s="165"/>
      <c r="E398" s="165"/>
      <c r="F398" s="165"/>
      <c r="G398" s="165"/>
      <c r="H398" s="165"/>
      <c r="I398" s="165"/>
      <c r="J398" s="165"/>
      <c r="K398" s="165"/>
      <c r="L398" s="165"/>
      <c r="M398" s="165"/>
      <c r="N398" s="165"/>
      <c r="O398" s="165"/>
      <c r="P398" s="165"/>
      <c r="Q398" s="165"/>
      <c r="R398" s="165"/>
      <c r="S398" s="165"/>
      <c r="T398" s="165"/>
      <c r="U398" s="165"/>
      <c r="V398" s="69"/>
      <c r="W398" s="6"/>
    </row>
    <row r="399" spans="2:23" x14ac:dyDescent="0.2">
      <c r="B399" s="6"/>
      <c r="C399" s="69"/>
      <c r="D399" s="69"/>
      <c r="E399" s="69"/>
      <c r="F399" s="69"/>
      <c r="G399" s="69"/>
      <c r="H399" s="69"/>
      <c r="I399" s="69"/>
      <c r="J399" s="69"/>
      <c r="K399" s="69"/>
      <c r="L399" s="69"/>
      <c r="M399" s="69"/>
      <c r="N399" s="69"/>
      <c r="O399" s="69"/>
      <c r="Q399" s="69"/>
      <c r="R399" s="69"/>
      <c r="S399" s="69"/>
      <c r="T399" s="69"/>
      <c r="U399" s="69"/>
      <c r="V399" s="69"/>
      <c r="W399" s="6"/>
    </row>
    <row r="400" spans="2:23" x14ac:dyDescent="0.2">
      <c r="B400" s="6"/>
      <c r="C400" s="69"/>
      <c r="D400" s="69"/>
      <c r="E400" s="69"/>
      <c r="F400" s="69"/>
      <c r="G400" s="69"/>
      <c r="H400" s="69"/>
      <c r="I400" s="69"/>
      <c r="J400" s="69"/>
      <c r="K400" s="69"/>
      <c r="L400" s="69"/>
      <c r="M400" s="69"/>
      <c r="N400" s="69"/>
      <c r="O400" s="69"/>
      <c r="Q400" s="69"/>
      <c r="R400" s="69"/>
      <c r="S400" s="69"/>
      <c r="T400" s="69"/>
      <c r="U400" s="69"/>
      <c r="V400" s="69"/>
      <c r="W400" s="6"/>
    </row>
    <row r="401" spans="2:23" x14ac:dyDescent="0.2">
      <c r="B401" s="6"/>
      <c r="C401" s="69"/>
      <c r="D401" s="69"/>
      <c r="E401" s="69"/>
      <c r="F401" s="69"/>
      <c r="G401" s="69"/>
      <c r="H401" s="69"/>
      <c r="I401" s="69"/>
      <c r="J401" s="69"/>
      <c r="K401" s="69"/>
      <c r="L401" s="69"/>
      <c r="M401" s="69"/>
      <c r="N401" s="69"/>
      <c r="O401" s="69"/>
      <c r="Q401" s="69"/>
      <c r="R401" s="69"/>
      <c r="S401" s="69"/>
      <c r="T401" s="69"/>
      <c r="U401" s="69"/>
      <c r="V401" s="69"/>
      <c r="W401" s="6"/>
    </row>
    <row r="402" spans="2:23" x14ac:dyDescent="0.2">
      <c r="B402" s="6"/>
      <c r="C402" s="69"/>
      <c r="D402" s="69"/>
      <c r="E402" s="69"/>
      <c r="F402" s="69"/>
      <c r="G402" s="69"/>
      <c r="H402" s="69"/>
      <c r="I402" s="69"/>
      <c r="J402" s="69"/>
      <c r="K402" s="69"/>
      <c r="L402" s="69"/>
      <c r="M402" s="69"/>
      <c r="N402" s="69"/>
      <c r="O402" s="69"/>
      <c r="Q402" s="69"/>
      <c r="R402" s="69"/>
      <c r="S402" s="69"/>
      <c r="T402" s="69"/>
      <c r="U402" s="69"/>
      <c r="V402" s="69"/>
      <c r="W402" s="6"/>
    </row>
    <row r="403" spans="2:23" x14ac:dyDescent="0.2">
      <c r="B403" s="6"/>
      <c r="C403" s="69"/>
      <c r="D403" s="69"/>
      <c r="E403" s="69"/>
      <c r="F403" s="69"/>
      <c r="G403" s="69"/>
      <c r="H403" s="69"/>
      <c r="I403" s="69"/>
      <c r="J403" s="69"/>
      <c r="K403" s="69"/>
      <c r="L403" s="69"/>
      <c r="M403" s="69"/>
      <c r="N403" s="69"/>
      <c r="O403" s="69"/>
      <c r="Q403" s="69"/>
      <c r="R403" s="69"/>
      <c r="S403" s="69"/>
      <c r="T403" s="69"/>
      <c r="U403" s="69"/>
      <c r="V403" s="69"/>
      <c r="W403" s="6"/>
    </row>
    <row r="404" spans="2:23" x14ac:dyDescent="0.2">
      <c r="B404" s="6"/>
      <c r="C404" s="69"/>
      <c r="D404" s="69"/>
      <c r="E404" s="69"/>
      <c r="F404" s="69"/>
      <c r="G404" s="69"/>
      <c r="H404" s="69"/>
      <c r="I404" s="69"/>
      <c r="J404" s="69"/>
      <c r="K404" s="69"/>
      <c r="L404" s="69"/>
      <c r="M404" s="69"/>
      <c r="N404" s="69"/>
      <c r="O404" s="69"/>
      <c r="Q404" s="69"/>
      <c r="R404" s="69"/>
      <c r="S404" s="69"/>
      <c r="T404" s="69"/>
      <c r="U404" s="69"/>
      <c r="V404" s="69"/>
      <c r="W404" s="6"/>
    </row>
    <row r="405" spans="2:23" x14ac:dyDescent="0.2">
      <c r="B405" s="6"/>
      <c r="C405" s="69"/>
      <c r="D405" s="69"/>
      <c r="E405" s="69"/>
      <c r="F405" s="69"/>
      <c r="G405" s="69"/>
      <c r="H405" s="69"/>
      <c r="I405" s="69"/>
      <c r="J405" s="69"/>
      <c r="K405" s="69"/>
      <c r="L405" s="69"/>
      <c r="M405" s="69"/>
      <c r="N405" s="69"/>
      <c r="O405" s="69"/>
      <c r="Q405" s="69"/>
      <c r="R405" s="69"/>
      <c r="S405" s="69"/>
      <c r="T405" s="69"/>
      <c r="U405" s="69"/>
      <c r="V405" s="69"/>
      <c r="W405" s="6"/>
    </row>
    <row r="406" spans="2:23" x14ac:dyDescent="0.2">
      <c r="B406" s="6"/>
      <c r="C406" s="69"/>
      <c r="D406" s="69"/>
      <c r="E406" s="69"/>
      <c r="F406" s="69"/>
      <c r="G406" s="69"/>
      <c r="H406" s="69"/>
      <c r="I406" s="69"/>
      <c r="J406" s="69"/>
      <c r="K406" s="69"/>
      <c r="L406" s="69"/>
      <c r="M406" s="69"/>
      <c r="N406" s="69"/>
      <c r="O406" s="69"/>
      <c r="Q406" s="69"/>
      <c r="R406" s="69"/>
      <c r="S406" s="69"/>
      <c r="T406" s="69"/>
      <c r="U406" s="69"/>
      <c r="V406" s="69"/>
      <c r="W406" s="6"/>
    </row>
    <row r="407" spans="2:23" x14ac:dyDescent="0.2">
      <c r="B407" s="6"/>
      <c r="C407" s="69"/>
      <c r="D407" s="69"/>
      <c r="E407" s="69"/>
      <c r="F407" s="69"/>
      <c r="G407" s="69"/>
      <c r="H407" s="69"/>
      <c r="I407" s="69"/>
      <c r="J407" s="69"/>
      <c r="K407" s="69"/>
      <c r="L407" s="69"/>
      <c r="M407" s="69"/>
      <c r="N407" s="69"/>
      <c r="O407" s="69"/>
      <c r="Q407" s="69"/>
      <c r="R407" s="69"/>
      <c r="S407" s="69"/>
      <c r="T407" s="69"/>
      <c r="U407" s="69"/>
      <c r="V407" s="69"/>
      <c r="W407" s="6"/>
    </row>
    <row r="408" spans="2:23" x14ac:dyDescent="0.2">
      <c r="B408" s="6"/>
      <c r="C408" s="69"/>
      <c r="D408" s="69"/>
      <c r="E408" s="69"/>
      <c r="F408" s="69"/>
      <c r="G408" s="69"/>
      <c r="H408" s="69"/>
      <c r="I408" s="69"/>
      <c r="J408" s="69"/>
      <c r="K408" s="69"/>
      <c r="L408" s="69"/>
      <c r="M408" s="69"/>
      <c r="N408" s="69"/>
      <c r="O408" s="69"/>
      <c r="Q408" s="69"/>
      <c r="R408" s="69"/>
      <c r="S408" s="69"/>
      <c r="T408" s="69"/>
      <c r="U408" s="69"/>
      <c r="V408" s="69"/>
      <c r="W408" s="6"/>
    </row>
    <row r="409" spans="2:23" x14ac:dyDescent="0.2">
      <c r="B409" s="6"/>
      <c r="C409" s="69"/>
      <c r="D409" s="69"/>
      <c r="E409" s="69"/>
      <c r="F409" s="69"/>
      <c r="G409" s="69"/>
      <c r="H409" s="69"/>
      <c r="I409" s="69"/>
      <c r="J409" s="69"/>
      <c r="K409" s="69"/>
      <c r="L409" s="69"/>
      <c r="M409" s="69"/>
      <c r="N409" s="69"/>
      <c r="O409" s="69"/>
      <c r="Q409" s="69"/>
      <c r="R409" s="69"/>
      <c r="S409" s="69"/>
      <c r="T409" s="69"/>
      <c r="U409" s="69"/>
      <c r="V409" s="69"/>
      <c r="W409" s="6"/>
    </row>
    <row r="410" spans="2:23" x14ac:dyDescent="0.2">
      <c r="B410" s="6"/>
      <c r="C410" s="69"/>
      <c r="D410" s="69"/>
      <c r="E410" s="69"/>
      <c r="F410" s="69"/>
      <c r="G410" s="69"/>
      <c r="H410" s="69"/>
      <c r="I410" s="69"/>
      <c r="J410" s="69"/>
      <c r="K410" s="69"/>
      <c r="L410" s="69"/>
      <c r="M410" s="69"/>
      <c r="N410" s="69"/>
      <c r="O410" s="69"/>
      <c r="Q410" s="69"/>
      <c r="R410" s="69"/>
      <c r="S410" s="69"/>
      <c r="T410" s="69"/>
      <c r="U410" s="69"/>
      <c r="V410" s="69"/>
      <c r="W410" s="6"/>
    </row>
    <row r="411" spans="2:23" x14ac:dyDescent="0.2">
      <c r="B411" s="6"/>
      <c r="C411" s="69"/>
      <c r="D411" s="69"/>
      <c r="E411" s="69"/>
      <c r="F411" s="69"/>
      <c r="G411" s="69"/>
      <c r="H411" s="69"/>
      <c r="I411" s="69"/>
      <c r="J411" s="69"/>
      <c r="K411" s="69"/>
      <c r="L411" s="69"/>
      <c r="M411" s="69"/>
      <c r="N411" s="69"/>
      <c r="O411" s="69"/>
      <c r="Q411" s="69"/>
      <c r="R411" s="69"/>
      <c r="S411" s="69"/>
      <c r="T411" s="69"/>
      <c r="U411" s="69"/>
      <c r="V411" s="69"/>
      <c r="W411" s="6"/>
    </row>
    <row r="412" spans="2:23" x14ac:dyDescent="0.2">
      <c r="B412" s="6"/>
      <c r="C412" s="69"/>
      <c r="D412" s="69"/>
      <c r="E412" s="69"/>
      <c r="F412" s="69"/>
      <c r="G412" s="69"/>
      <c r="H412" s="69"/>
      <c r="I412" s="69"/>
      <c r="J412" s="69"/>
      <c r="K412" s="69"/>
      <c r="L412" s="69"/>
      <c r="M412" s="69"/>
      <c r="N412" s="69"/>
      <c r="O412" s="69"/>
      <c r="Q412" s="69"/>
      <c r="R412" s="69"/>
      <c r="S412" s="69"/>
      <c r="T412" s="69"/>
      <c r="U412" s="69"/>
      <c r="V412" s="69"/>
      <c r="W412" s="6"/>
    </row>
    <row r="413" spans="2:23" x14ac:dyDescent="0.2">
      <c r="B413" s="6"/>
      <c r="C413" s="69"/>
      <c r="D413" s="69"/>
      <c r="E413" s="69"/>
      <c r="F413" s="69"/>
      <c r="G413" s="69"/>
      <c r="H413" s="69"/>
      <c r="I413" s="69"/>
      <c r="J413" s="69"/>
      <c r="K413" s="69"/>
      <c r="L413" s="69"/>
      <c r="M413" s="69"/>
      <c r="N413" s="69"/>
      <c r="O413" s="69"/>
      <c r="Q413" s="69"/>
      <c r="R413" s="69"/>
      <c r="S413" s="69"/>
      <c r="T413" s="69"/>
      <c r="U413" s="69"/>
      <c r="V413" s="69"/>
      <c r="W413" s="6"/>
    </row>
    <row r="414" spans="2:23" x14ac:dyDescent="0.2">
      <c r="B414" s="6"/>
      <c r="C414" s="69"/>
      <c r="D414" s="69"/>
      <c r="E414" s="69"/>
      <c r="F414" s="69"/>
      <c r="G414" s="69"/>
      <c r="H414" s="69"/>
      <c r="I414" s="69"/>
      <c r="J414" s="69"/>
      <c r="K414" s="69"/>
      <c r="L414" s="69"/>
      <c r="M414" s="69"/>
      <c r="N414" s="69"/>
      <c r="O414" s="69"/>
      <c r="Q414" s="69"/>
      <c r="R414" s="69"/>
      <c r="S414" s="69"/>
      <c r="T414" s="69"/>
      <c r="U414" s="69"/>
      <c r="V414" s="69"/>
      <c r="W414" s="6"/>
    </row>
    <row r="415" spans="2:23" x14ac:dyDescent="0.2">
      <c r="B415" s="6"/>
      <c r="C415" s="69"/>
      <c r="D415" s="69"/>
      <c r="E415" s="69"/>
      <c r="F415" s="69"/>
      <c r="G415" s="69"/>
      <c r="H415" s="69"/>
      <c r="I415" s="69"/>
      <c r="J415" s="69"/>
      <c r="K415" s="69"/>
      <c r="L415" s="69"/>
      <c r="M415" s="69"/>
      <c r="N415" s="69"/>
      <c r="O415" s="69"/>
      <c r="Q415" s="69"/>
      <c r="R415" s="69"/>
      <c r="S415" s="69"/>
      <c r="T415" s="69"/>
      <c r="U415" s="69"/>
      <c r="V415" s="69"/>
      <c r="W415" s="6"/>
    </row>
    <row r="416" spans="2:23" s="69" customFormat="1" x14ac:dyDescent="0.2">
      <c r="B416" s="6"/>
      <c r="W416" s="6"/>
    </row>
    <row r="417" spans="2:23" s="69" customFormat="1" x14ac:dyDescent="0.2">
      <c r="B417" s="6"/>
      <c r="W417" s="6"/>
    </row>
    <row r="418" spans="2:23" s="69" customFormat="1" x14ac:dyDescent="0.2">
      <c r="B418" s="6"/>
      <c r="W418" s="6"/>
    </row>
    <row r="419" spans="2:23" s="69" customFormat="1" x14ac:dyDescent="0.2">
      <c r="B419" s="6"/>
      <c r="W419" s="6"/>
    </row>
    <row r="420" spans="2:23" s="69" customFormat="1" x14ac:dyDescent="0.2">
      <c r="B420" s="6"/>
      <c r="W420" s="6"/>
    </row>
    <row r="421" spans="2:23" s="69" customFormat="1" ht="15" x14ac:dyDescent="0.2">
      <c r="B421" s="6"/>
      <c r="C421" s="903" t="s">
        <v>1001</v>
      </c>
      <c r="D421" s="903"/>
      <c r="E421" s="903"/>
      <c r="F421" s="903"/>
      <c r="G421" s="903"/>
      <c r="H421" s="903"/>
      <c r="I421" s="903"/>
      <c r="J421" s="903"/>
      <c r="K421" s="903"/>
      <c r="L421" s="903"/>
      <c r="M421" s="903"/>
      <c r="N421" s="903"/>
      <c r="O421" s="903"/>
      <c r="P421" s="903"/>
      <c r="Q421" s="903"/>
      <c r="R421" s="903"/>
      <c r="S421" s="903"/>
      <c r="T421" s="903"/>
      <c r="U421" s="903"/>
      <c r="W421" s="6"/>
    </row>
    <row r="422" spans="2:23" s="69" customFormat="1" ht="15" x14ac:dyDescent="0.25">
      <c r="B422" s="6"/>
      <c r="C422" s="561"/>
      <c r="D422" s="561"/>
      <c r="E422" s="561"/>
      <c r="F422" s="158" t="s">
        <v>1002</v>
      </c>
      <c r="G422" s="561"/>
      <c r="H422" s="561"/>
      <c r="I422" s="561"/>
      <c r="J422" s="561"/>
      <c r="K422" s="561"/>
      <c r="L422" s="561"/>
      <c r="M422" s="561"/>
      <c r="N422" s="561"/>
      <c r="O422" s="561"/>
      <c r="P422" s="561"/>
      <c r="Q422" s="561"/>
      <c r="R422" s="561"/>
      <c r="S422" s="561"/>
      <c r="T422" s="561"/>
      <c r="U422" s="561"/>
      <c r="W422" s="6"/>
    </row>
    <row r="423" spans="2:23" s="69" customFormat="1" ht="15" x14ac:dyDescent="0.25">
      <c r="B423" s="6"/>
      <c r="C423" s="561"/>
      <c r="D423" s="561"/>
      <c r="E423" s="561"/>
      <c r="F423" s="158" t="s">
        <v>1007</v>
      </c>
      <c r="G423" s="561"/>
      <c r="H423" s="561"/>
      <c r="I423" s="561"/>
      <c r="J423" s="561"/>
      <c r="K423" s="561"/>
      <c r="L423" s="561"/>
      <c r="M423" s="561"/>
      <c r="N423" s="561"/>
      <c r="O423" s="561"/>
      <c r="P423" s="561"/>
      <c r="Q423" s="561"/>
      <c r="R423" s="561"/>
      <c r="S423" s="561"/>
      <c r="T423" s="561"/>
      <c r="U423" s="561"/>
      <c r="W423" s="6"/>
    </row>
    <row r="424" spans="2:23" s="69" customFormat="1" ht="15" x14ac:dyDescent="0.25">
      <c r="B424" s="6"/>
      <c r="C424" s="561"/>
      <c r="D424" s="561"/>
      <c r="E424" s="561"/>
      <c r="F424" s="158" t="s">
        <v>1005</v>
      </c>
      <c r="G424" s="561"/>
      <c r="H424" s="561"/>
      <c r="I424" s="561"/>
      <c r="J424" s="561"/>
      <c r="K424" s="561"/>
      <c r="L424" s="561"/>
      <c r="M424" s="561"/>
      <c r="N424" s="561"/>
      <c r="O424" s="561"/>
      <c r="P424" s="561"/>
      <c r="Q424" s="561"/>
      <c r="R424" s="561"/>
      <c r="S424" s="561"/>
      <c r="T424" s="561"/>
      <c r="U424" s="561"/>
      <c r="W424" s="6"/>
    </row>
    <row r="425" spans="2:23" s="69" customFormat="1" ht="15" x14ac:dyDescent="0.25">
      <c r="B425" s="6"/>
      <c r="C425" s="561"/>
      <c r="D425" s="561"/>
      <c r="E425" s="561"/>
      <c r="F425" s="158" t="s">
        <v>1004</v>
      </c>
      <c r="G425" s="561"/>
      <c r="H425" s="561"/>
      <c r="I425" s="561"/>
      <c r="J425" s="561"/>
      <c r="K425" s="561"/>
      <c r="L425" s="561"/>
      <c r="M425" s="561"/>
      <c r="N425" s="561"/>
      <c r="O425" s="561"/>
      <c r="P425" s="561"/>
      <c r="Q425" s="561"/>
      <c r="R425" s="561"/>
      <c r="S425" s="561"/>
      <c r="T425" s="561"/>
      <c r="U425" s="561"/>
      <c r="W425" s="6"/>
    </row>
    <row r="426" spans="2:23" s="69" customFormat="1" x14ac:dyDescent="0.2">
      <c r="B426" s="6"/>
      <c r="W426" s="6"/>
    </row>
    <row r="427" spans="2:23" s="69" customFormat="1" x14ac:dyDescent="0.2">
      <c r="B427" s="6"/>
      <c r="W427" s="6"/>
    </row>
    <row r="428" spans="2:23" s="69" customFormat="1" x14ac:dyDescent="0.2">
      <c r="B428" s="6"/>
      <c r="W428" s="6"/>
    </row>
    <row r="429" spans="2:23" s="69" customFormat="1" x14ac:dyDescent="0.2">
      <c r="B429" s="6"/>
      <c r="W429" s="6"/>
    </row>
    <row r="430" spans="2:23" s="69" customFormat="1" x14ac:dyDescent="0.2">
      <c r="B430" s="6"/>
      <c r="W430" s="6"/>
    </row>
    <row r="431" spans="2:23" s="69" customFormat="1" x14ac:dyDescent="0.2">
      <c r="B431" s="6"/>
      <c r="W431" s="6"/>
    </row>
    <row r="432" spans="2:23" s="69" customFormat="1" x14ac:dyDescent="0.2">
      <c r="B432" s="6"/>
      <c r="W432" s="6"/>
    </row>
    <row r="433" spans="2:25" s="69" customFormat="1" x14ac:dyDescent="0.2">
      <c r="B433" s="6"/>
      <c r="W433" s="6"/>
    </row>
    <row r="434" spans="2:25" s="69" customFormat="1" x14ac:dyDescent="0.2">
      <c r="B434" s="6"/>
      <c r="W434" s="6"/>
    </row>
    <row r="435" spans="2:25" s="69" customFormat="1" x14ac:dyDescent="0.2">
      <c r="B435" s="6"/>
      <c r="W435" s="6"/>
    </row>
    <row r="436" spans="2:25" s="69" customFormat="1" x14ac:dyDescent="0.2">
      <c r="B436" s="6"/>
      <c r="W436" s="6"/>
    </row>
    <row r="437" spans="2:25" s="69" customFormat="1" x14ac:dyDescent="0.2">
      <c r="B437" s="6"/>
      <c r="W437" s="6"/>
    </row>
    <row r="438" spans="2:25" s="69" customFormat="1" x14ac:dyDescent="0.2">
      <c r="B438" s="6"/>
      <c r="W438" s="6"/>
      <c r="Y438"/>
    </row>
    <row r="439" spans="2:25" s="69" customFormat="1" x14ac:dyDescent="0.2">
      <c r="B439" s="6"/>
      <c r="W439" s="6"/>
    </row>
    <row r="440" spans="2:25" s="69" customFormat="1" x14ac:dyDescent="0.2">
      <c r="B440" s="6"/>
      <c r="W440" s="6"/>
    </row>
    <row r="441" spans="2:25" s="69" customFormat="1" x14ac:dyDescent="0.2">
      <c r="B441" s="6"/>
      <c r="W441" s="6"/>
    </row>
    <row r="442" spans="2:25" s="69" customFormat="1" x14ac:dyDescent="0.2">
      <c r="B442" s="6"/>
      <c r="W442" s="6"/>
    </row>
    <row r="443" spans="2:25" s="69" customFormat="1" x14ac:dyDescent="0.2">
      <c r="B443" s="6"/>
      <c r="W443" s="6"/>
    </row>
    <row r="444" spans="2:25" s="69" customFormat="1" x14ac:dyDescent="0.2">
      <c r="B444" s="6"/>
      <c r="W444" s="6"/>
    </row>
    <row r="445" spans="2:25" s="69" customFormat="1" x14ac:dyDescent="0.2">
      <c r="B445" s="6"/>
      <c r="W445" s="6"/>
    </row>
    <row r="446" spans="2:25" s="69" customFormat="1" x14ac:dyDescent="0.2">
      <c r="B446" s="6"/>
      <c r="W446" s="6"/>
    </row>
    <row r="447" spans="2:25" s="69" customFormat="1" x14ac:dyDescent="0.2">
      <c r="B447" s="6"/>
      <c r="W447" s="6"/>
    </row>
    <row r="448" spans="2:25" s="69" customFormat="1" x14ac:dyDescent="0.2">
      <c r="B448" s="6"/>
      <c r="W448" s="6"/>
    </row>
    <row r="449" spans="2:23" s="69" customFormat="1" x14ac:dyDescent="0.2">
      <c r="B449" s="6"/>
      <c r="W449" s="6"/>
    </row>
    <row r="450" spans="2:23" s="69" customFormat="1" x14ac:dyDescent="0.2">
      <c r="B450" s="6"/>
      <c r="W450" s="6"/>
    </row>
    <row r="451" spans="2:23" s="69" customFormat="1" x14ac:dyDescent="0.2">
      <c r="B451" s="6"/>
      <c r="W451" s="6"/>
    </row>
    <row r="452" spans="2:23" s="69" customFormat="1" x14ac:dyDescent="0.2">
      <c r="B452" s="6"/>
      <c r="W452" s="6"/>
    </row>
    <row r="453" spans="2:23" s="69" customFormat="1" x14ac:dyDescent="0.2">
      <c r="B453" s="6"/>
      <c r="W453" s="6"/>
    </row>
    <row r="454" spans="2:23" s="69" customFormat="1" x14ac:dyDescent="0.2">
      <c r="B454" s="6"/>
      <c r="W454" s="6"/>
    </row>
    <row r="455" spans="2:23" s="69" customFormat="1" x14ac:dyDescent="0.2">
      <c r="B455" s="6"/>
      <c r="W455" s="6"/>
    </row>
    <row r="456" spans="2:23" s="69" customFormat="1" x14ac:dyDescent="0.2">
      <c r="B456" s="6"/>
      <c r="W456" s="6"/>
    </row>
    <row r="457" spans="2:23" s="69" customFormat="1" x14ac:dyDescent="0.2">
      <c r="B457" s="6"/>
      <c r="W457" s="6"/>
    </row>
    <row r="458" spans="2:23" s="69" customFormat="1" x14ac:dyDescent="0.2">
      <c r="B458" s="6"/>
      <c r="W458" s="6"/>
    </row>
    <row r="459" spans="2:23" s="69" customFormat="1" x14ac:dyDescent="0.2">
      <c r="B459" s="6"/>
      <c r="W459" s="6"/>
    </row>
    <row r="460" spans="2:23" s="69" customFormat="1" x14ac:dyDescent="0.2">
      <c r="B460" s="6"/>
      <c r="W460" s="6"/>
    </row>
    <row r="461" spans="2:23" s="69" customFormat="1" x14ac:dyDescent="0.2">
      <c r="B461" s="6"/>
      <c r="W461" s="6"/>
    </row>
    <row r="462" spans="2:23" s="69" customFormat="1" x14ac:dyDescent="0.2">
      <c r="B462" s="6"/>
      <c r="W462" s="6"/>
    </row>
    <row r="463" spans="2:23" s="69" customFormat="1" x14ac:dyDescent="0.2">
      <c r="B463" s="6"/>
      <c r="W463" s="6"/>
    </row>
    <row r="464" spans="2:23" s="69" customFormat="1" x14ac:dyDescent="0.2">
      <c r="B464" s="6"/>
      <c r="W464" s="6"/>
    </row>
    <row r="465" spans="2:23" s="69" customFormat="1" x14ac:dyDescent="0.2">
      <c r="B465" s="6"/>
      <c r="W465" s="6"/>
    </row>
    <row r="466" spans="2:23" s="69" customFormat="1" x14ac:dyDescent="0.2">
      <c r="B466" s="6"/>
      <c r="W466" s="6"/>
    </row>
    <row r="467" spans="2:23" s="69" customFormat="1" x14ac:dyDescent="0.2">
      <c r="B467" s="6"/>
      <c r="W467" s="6"/>
    </row>
    <row r="468" spans="2:23" s="69" customFormat="1" x14ac:dyDescent="0.2">
      <c r="B468" s="6"/>
      <c r="W468" s="6"/>
    </row>
    <row r="469" spans="2:23" s="69" customFormat="1" x14ac:dyDescent="0.2">
      <c r="B469" s="6"/>
      <c r="W469" s="6"/>
    </row>
    <row r="470" spans="2:23" x14ac:dyDescent="0.2">
      <c r="B470" s="6"/>
      <c r="C470" s="69"/>
      <c r="D470" s="69"/>
      <c r="E470" s="69"/>
      <c r="F470" s="69"/>
      <c r="G470" s="69"/>
      <c r="H470" s="69"/>
      <c r="I470" s="69"/>
      <c r="J470" s="69"/>
      <c r="K470" s="69"/>
      <c r="L470" s="69"/>
      <c r="M470" s="69"/>
      <c r="N470" s="69"/>
      <c r="O470" s="69"/>
      <c r="Q470" s="69"/>
      <c r="R470" s="69"/>
      <c r="S470" s="69"/>
      <c r="T470" s="69"/>
      <c r="U470" s="69"/>
      <c r="V470" s="69"/>
      <c r="W470" s="6"/>
    </row>
    <row r="471" spans="2:23" x14ac:dyDescent="0.2">
      <c r="B471" s="6"/>
      <c r="C471" s="6"/>
      <c r="D471" s="6"/>
      <c r="E471" s="6"/>
      <c r="F471" s="6"/>
      <c r="G471" s="6"/>
      <c r="H471" s="6"/>
      <c r="I471" s="6"/>
      <c r="J471" s="6"/>
      <c r="K471" s="6"/>
      <c r="L471" s="6"/>
      <c r="M471" s="6"/>
      <c r="N471" s="6"/>
      <c r="O471" s="6"/>
      <c r="P471" s="6"/>
      <c r="Q471" s="6"/>
      <c r="R471" s="6"/>
      <c r="S471" s="6"/>
      <c r="T471" s="6"/>
      <c r="U471" s="6"/>
      <c r="V471" s="6"/>
      <c r="W471" s="6"/>
    </row>
    <row r="472" spans="2:23" ht="15" x14ac:dyDescent="0.25">
      <c r="B472" s="5"/>
      <c r="C472" s="5"/>
      <c r="D472" s="5"/>
      <c r="E472" s="5"/>
      <c r="F472" s="5"/>
      <c r="G472" s="5"/>
      <c r="H472" s="5"/>
      <c r="I472" s="5"/>
      <c r="J472" s="5"/>
      <c r="K472" s="5"/>
      <c r="L472" s="5"/>
      <c r="M472" s="5"/>
      <c r="N472" s="5"/>
      <c r="O472" s="5"/>
      <c r="P472" s="5"/>
      <c r="Q472" s="5"/>
      <c r="R472" s="5"/>
      <c r="S472" s="5"/>
      <c r="T472" s="5"/>
      <c r="U472" s="5"/>
      <c r="V472" s="5"/>
      <c r="W472" s="5"/>
    </row>
    <row r="473" spans="2:23" ht="15" x14ac:dyDescent="0.25">
      <c r="B473" s="5"/>
      <c r="C473" s="165"/>
      <c r="D473" s="165"/>
      <c r="E473" s="165"/>
      <c r="F473" s="165"/>
      <c r="G473" s="165"/>
      <c r="H473" s="165"/>
      <c r="I473" s="165"/>
      <c r="J473" s="165"/>
      <c r="K473" s="165"/>
      <c r="L473" s="165"/>
      <c r="M473" s="165"/>
      <c r="N473" s="165"/>
      <c r="O473" s="165"/>
      <c r="P473" s="165"/>
      <c r="Q473" s="165"/>
      <c r="R473" s="165"/>
      <c r="S473" s="165"/>
      <c r="T473" s="165"/>
      <c r="U473" s="165"/>
      <c r="V473" s="165"/>
      <c r="W473" s="5"/>
    </row>
    <row r="474" spans="2:23" ht="15" x14ac:dyDescent="0.25">
      <c r="B474" s="5"/>
      <c r="C474" s="165"/>
      <c r="D474" s="165"/>
      <c r="E474" s="165"/>
      <c r="F474" s="165"/>
      <c r="G474" s="165"/>
      <c r="H474" s="165"/>
      <c r="I474" s="165"/>
      <c r="J474" s="165"/>
      <c r="K474" s="165"/>
      <c r="L474" s="165"/>
      <c r="M474" s="165"/>
      <c r="N474" s="165"/>
      <c r="O474" s="165"/>
      <c r="P474" s="165"/>
      <c r="Q474" s="165"/>
      <c r="R474" s="165"/>
      <c r="S474" s="165"/>
      <c r="T474" s="165"/>
      <c r="U474" s="165"/>
      <c r="V474" s="165"/>
      <c r="W474" s="5"/>
    </row>
    <row r="475" spans="2:23" ht="15" x14ac:dyDescent="0.25">
      <c r="B475" s="5"/>
      <c r="C475" s="165"/>
      <c r="D475" s="165"/>
      <c r="E475" s="165"/>
      <c r="F475" s="165"/>
      <c r="G475" s="165"/>
      <c r="H475" s="165"/>
      <c r="I475" s="165"/>
      <c r="J475" s="165"/>
      <c r="K475" s="165"/>
      <c r="L475" s="165"/>
      <c r="M475" s="165"/>
      <c r="N475" s="165"/>
      <c r="O475" s="165"/>
      <c r="P475" s="165"/>
      <c r="Q475" s="165"/>
      <c r="R475" s="165"/>
      <c r="S475" s="165"/>
      <c r="T475" s="165"/>
      <c r="U475" s="165"/>
      <c r="V475" s="165"/>
      <c r="W475" s="5"/>
    </row>
    <row r="476" spans="2:23" ht="15" x14ac:dyDescent="0.25">
      <c r="B476" s="5"/>
      <c r="C476" s="165"/>
      <c r="D476" s="165"/>
      <c r="E476" s="165"/>
      <c r="F476" s="165"/>
      <c r="G476" s="165"/>
      <c r="H476" s="165"/>
      <c r="I476" s="165"/>
      <c r="J476" s="165"/>
      <c r="K476" s="165"/>
      <c r="L476" s="165"/>
      <c r="M476" s="165"/>
      <c r="N476" s="165"/>
      <c r="O476" s="165"/>
      <c r="P476" s="165"/>
      <c r="Q476" s="165"/>
      <c r="R476" s="165"/>
      <c r="S476" s="165"/>
      <c r="T476" s="165"/>
      <c r="U476" s="165"/>
      <c r="V476" s="165"/>
      <c r="W476" s="5"/>
    </row>
    <row r="477" spans="2:23" ht="15" x14ac:dyDescent="0.25">
      <c r="B477" s="5"/>
      <c r="C477" s="165"/>
      <c r="D477" s="165"/>
      <c r="E477" s="165"/>
      <c r="F477" s="165"/>
      <c r="G477" s="165"/>
      <c r="H477" s="165"/>
      <c r="I477" s="165"/>
      <c r="J477" s="165"/>
      <c r="K477" s="165"/>
      <c r="L477" s="165"/>
      <c r="M477" s="165"/>
      <c r="N477" s="165"/>
      <c r="O477" s="165"/>
      <c r="P477" s="165"/>
      <c r="Q477" s="165"/>
      <c r="R477" s="165"/>
      <c r="S477" s="165"/>
      <c r="T477" s="165"/>
      <c r="U477" s="165"/>
      <c r="V477" s="165"/>
      <c r="W477" s="5"/>
    </row>
    <row r="478" spans="2:23" ht="15" x14ac:dyDescent="0.25">
      <c r="B478" s="5"/>
      <c r="C478" s="165"/>
      <c r="D478" s="165"/>
      <c r="E478" s="165"/>
      <c r="F478" s="165"/>
      <c r="G478" s="165"/>
      <c r="H478" s="165"/>
      <c r="I478" s="165"/>
      <c r="J478" s="165"/>
      <c r="K478" s="165"/>
      <c r="L478" s="165"/>
      <c r="M478" s="165"/>
      <c r="N478" s="165"/>
      <c r="O478" s="165"/>
      <c r="P478" s="165"/>
      <c r="Q478" s="165"/>
      <c r="R478" s="165"/>
      <c r="S478" s="165"/>
      <c r="T478" s="165"/>
      <c r="U478" s="165"/>
      <c r="V478" s="165"/>
      <c r="W478" s="5"/>
    </row>
    <row r="479" spans="2:23" ht="15" x14ac:dyDescent="0.25">
      <c r="B479" s="5"/>
      <c r="C479" s="165"/>
      <c r="D479" s="165"/>
      <c r="E479" s="165"/>
      <c r="F479" s="165"/>
      <c r="G479" s="165"/>
      <c r="H479" s="165"/>
      <c r="I479" s="165"/>
      <c r="J479" s="165"/>
      <c r="K479" s="165"/>
      <c r="L479" s="165"/>
      <c r="M479" s="165"/>
      <c r="N479" s="165"/>
      <c r="O479" s="165"/>
      <c r="P479" s="165"/>
      <c r="Q479" s="165"/>
      <c r="R479" s="165"/>
      <c r="S479" s="165"/>
      <c r="T479" s="165"/>
      <c r="U479" s="165"/>
      <c r="V479" s="165"/>
      <c r="W479" s="5"/>
    </row>
    <row r="480" spans="2:23" ht="15" x14ac:dyDescent="0.25">
      <c r="B480" s="5"/>
      <c r="C480" s="165"/>
      <c r="D480" s="165"/>
      <c r="E480" s="165"/>
      <c r="F480" s="165"/>
      <c r="G480" s="165"/>
      <c r="H480" s="165"/>
      <c r="I480" s="165"/>
      <c r="J480" s="165"/>
      <c r="K480" s="165"/>
      <c r="L480" s="165"/>
      <c r="M480" s="165"/>
      <c r="N480" s="165"/>
      <c r="O480" s="165"/>
      <c r="P480" s="165"/>
      <c r="Q480" s="165"/>
      <c r="R480" s="165"/>
      <c r="S480" s="165"/>
      <c r="T480" s="165"/>
      <c r="U480" s="165"/>
      <c r="V480" s="165"/>
      <c r="W480" s="5"/>
    </row>
    <row r="481" spans="2:23" ht="15" x14ac:dyDescent="0.25">
      <c r="B481" s="5"/>
      <c r="C481" s="165"/>
      <c r="D481" s="165"/>
      <c r="E481" s="165"/>
      <c r="F481" s="165"/>
      <c r="G481" s="165"/>
      <c r="H481" s="165"/>
      <c r="I481" s="165"/>
      <c r="J481" s="165"/>
      <c r="K481" s="165"/>
      <c r="L481" s="165"/>
      <c r="M481" s="165"/>
      <c r="N481" s="165"/>
      <c r="O481" s="165"/>
      <c r="P481" s="165"/>
      <c r="Q481" s="165"/>
      <c r="R481" s="165"/>
      <c r="S481" s="165"/>
      <c r="T481" s="165"/>
      <c r="U481" s="165"/>
      <c r="V481" s="165"/>
      <c r="W481" s="5"/>
    </row>
    <row r="482" spans="2:23" ht="15" x14ac:dyDescent="0.25">
      <c r="B482" s="5"/>
      <c r="C482" s="165"/>
      <c r="D482" s="165"/>
      <c r="E482" s="165"/>
      <c r="F482" s="165"/>
      <c r="G482" s="165"/>
      <c r="H482" s="165"/>
      <c r="I482" s="165"/>
      <c r="J482" s="165"/>
      <c r="K482" s="165"/>
      <c r="L482" s="165"/>
      <c r="M482" s="165"/>
      <c r="N482" s="165"/>
      <c r="O482" s="165"/>
      <c r="P482" s="165"/>
      <c r="Q482" s="165"/>
      <c r="R482" s="165"/>
      <c r="S482" s="165"/>
      <c r="T482" s="165"/>
      <c r="U482" s="165"/>
      <c r="V482" s="165"/>
      <c r="W482" s="5"/>
    </row>
    <row r="483" spans="2:23" ht="15" x14ac:dyDescent="0.25">
      <c r="B483" s="5"/>
      <c r="C483" s="165"/>
      <c r="D483" s="165"/>
      <c r="E483" s="165"/>
      <c r="F483" s="165"/>
      <c r="G483" s="165"/>
      <c r="H483" s="165"/>
      <c r="I483" s="165"/>
      <c r="J483" s="165"/>
      <c r="K483" s="165"/>
      <c r="L483" s="165"/>
      <c r="M483" s="165"/>
      <c r="N483" s="165"/>
      <c r="O483" s="165"/>
      <c r="P483" s="165"/>
      <c r="Q483" s="165"/>
      <c r="R483" s="165"/>
      <c r="S483" s="165"/>
      <c r="T483" s="165"/>
      <c r="U483" s="165"/>
      <c r="V483" s="165"/>
      <c r="W483" s="5"/>
    </row>
    <row r="484" spans="2:23" ht="15" x14ac:dyDescent="0.25">
      <c r="B484" s="5"/>
      <c r="C484" s="165"/>
      <c r="D484" s="165"/>
      <c r="E484" s="165"/>
      <c r="F484" s="165"/>
      <c r="G484" s="165"/>
      <c r="H484" s="165"/>
      <c r="I484" s="165"/>
      <c r="J484" s="165"/>
      <c r="K484" s="165"/>
      <c r="L484" s="165"/>
      <c r="M484" s="165"/>
      <c r="N484" s="165"/>
      <c r="O484" s="165"/>
      <c r="P484" s="165"/>
      <c r="Q484" s="165"/>
      <c r="R484" s="165"/>
      <c r="S484" s="165"/>
      <c r="T484" s="165"/>
      <c r="U484" s="165"/>
      <c r="V484" s="165"/>
      <c r="W484" s="5"/>
    </row>
    <row r="485" spans="2:23" ht="15" x14ac:dyDescent="0.25">
      <c r="B485" s="5"/>
      <c r="C485" s="165"/>
      <c r="D485" s="165"/>
      <c r="E485" s="165"/>
      <c r="F485" s="165"/>
      <c r="G485" s="165"/>
      <c r="H485" s="165"/>
      <c r="I485" s="165"/>
      <c r="J485" s="165"/>
      <c r="K485" s="165"/>
      <c r="L485" s="165"/>
      <c r="M485" s="165"/>
      <c r="N485" s="165"/>
      <c r="O485" s="165"/>
      <c r="P485" s="165"/>
      <c r="Q485" s="165"/>
      <c r="R485" s="165"/>
      <c r="S485" s="165"/>
      <c r="T485" s="165"/>
      <c r="U485" s="165"/>
      <c r="V485" s="165"/>
      <c r="W485" s="5"/>
    </row>
    <row r="486" spans="2:23" ht="15" x14ac:dyDescent="0.25">
      <c r="B486" s="5"/>
      <c r="C486" s="165"/>
      <c r="D486" s="165"/>
      <c r="E486" s="165"/>
      <c r="F486" s="165"/>
      <c r="G486" s="165"/>
      <c r="H486" s="165"/>
      <c r="I486" s="165"/>
      <c r="J486" s="165"/>
      <c r="K486" s="165"/>
      <c r="L486" s="165"/>
      <c r="M486" s="165"/>
      <c r="N486" s="165"/>
      <c r="O486" s="165"/>
      <c r="P486" s="165"/>
      <c r="Q486" s="165"/>
      <c r="R486" s="165"/>
      <c r="S486" s="165"/>
      <c r="T486" s="165"/>
      <c r="U486" s="165"/>
      <c r="V486" s="165"/>
      <c r="W486" s="5"/>
    </row>
    <row r="487" spans="2:23" ht="15" x14ac:dyDescent="0.25">
      <c r="B487" s="5"/>
      <c r="C487" s="165"/>
      <c r="D487" s="165"/>
      <c r="E487" s="165"/>
      <c r="F487" s="165"/>
      <c r="G487" s="165"/>
      <c r="H487" s="165"/>
      <c r="I487" s="165"/>
      <c r="J487" s="165"/>
      <c r="K487" s="165"/>
      <c r="L487" s="165"/>
      <c r="M487" s="165"/>
      <c r="N487" s="165"/>
      <c r="O487" s="165"/>
      <c r="P487" s="165"/>
      <c r="Q487" s="165"/>
      <c r="R487" s="165"/>
      <c r="S487" s="165"/>
      <c r="T487" s="165"/>
      <c r="U487" s="165"/>
      <c r="V487" s="165"/>
      <c r="W487" s="5"/>
    </row>
    <row r="488" spans="2:23" s="69" customFormat="1" ht="15" x14ac:dyDescent="0.25">
      <c r="B488" s="5"/>
      <c r="C488" s="561"/>
      <c r="D488" s="561"/>
      <c r="E488" s="561"/>
      <c r="F488" s="561"/>
      <c r="G488" s="561"/>
      <c r="H488" s="561"/>
      <c r="I488" s="561"/>
      <c r="J488" s="561"/>
      <c r="K488" s="561"/>
      <c r="L488" s="561"/>
      <c r="M488" s="561"/>
      <c r="N488" s="561"/>
      <c r="O488" s="561"/>
      <c r="P488" s="561"/>
      <c r="Q488" s="561"/>
      <c r="R488" s="561"/>
      <c r="S488" s="561"/>
      <c r="T488" s="561"/>
      <c r="U488" s="561"/>
      <c r="V488" s="561"/>
      <c r="W488" s="5"/>
    </row>
    <row r="489" spans="2:23" s="69" customFormat="1" ht="15" x14ac:dyDescent="0.25">
      <c r="B489" s="5"/>
      <c r="C489" s="561"/>
      <c r="D489" s="561"/>
      <c r="E489" s="561"/>
      <c r="F489" s="561"/>
      <c r="G489" s="561"/>
      <c r="H489" s="561"/>
      <c r="I489" s="561"/>
      <c r="J489" s="561"/>
      <c r="K489" s="561"/>
      <c r="L489" s="561"/>
      <c r="M489" s="561"/>
      <c r="N489" s="561"/>
      <c r="O489" s="561"/>
      <c r="P489" s="561"/>
      <c r="Q489" s="561"/>
      <c r="R489" s="561"/>
      <c r="S489" s="561"/>
      <c r="T489" s="561"/>
      <c r="U489" s="561"/>
      <c r="V489" s="561"/>
      <c r="W489" s="5"/>
    </row>
    <row r="490" spans="2:23" ht="15" x14ac:dyDescent="0.25">
      <c r="B490" s="5"/>
      <c r="C490" s="165"/>
      <c r="D490" s="165"/>
      <c r="E490" s="165"/>
      <c r="F490" s="165"/>
      <c r="G490" s="165"/>
      <c r="H490" s="165"/>
      <c r="I490" s="165"/>
      <c r="J490" s="165"/>
      <c r="K490" s="165"/>
      <c r="L490" s="165"/>
      <c r="M490" s="165"/>
      <c r="N490" s="165"/>
      <c r="O490" s="165"/>
      <c r="P490" s="165"/>
      <c r="Q490" s="165"/>
      <c r="R490" s="165"/>
      <c r="S490" s="165"/>
      <c r="T490" s="165"/>
      <c r="U490" s="165"/>
      <c r="V490" s="165"/>
      <c r="W490" s="5"/>
    </row>
    <row r="491" spans="2:23" ht="18" customHeight="1" x14ac:dyDescent="0.25">
      <c r="B491" s="5"/>
      <c r="C491" s="154" t="s">
        <v>832</v>
      </c>
      <c r="D491" s="165"/>
      <c r="E491" s="165"/>
      <c r="F491" s="165"/>
      <c r="G491" s="165"/>
      <c r="H491" s="165"/>
      <c r="I491" s="165"/>
      <c r="J491" s="165"/>
      <c r="K491" s="165"/>
      <c r="L491" s="165"/>
      <c r="M491" s="165"/>
      <c r="N491" s="165"/>
      <c r="O491" s="165"/>
      <c r="P491" s="165"/>
      <c r="Q491" s="165"/>
      <c r="R491" s="165"/>
      <c r="S491" s="165"/>
      <c r="T491" s="165"/>
      <c r="U491" s="165"/>
      <c r="V491" s="165"/>
      <c r="W491" s="5"/>
    </row>
    <row r="492" spans="2:23" ht="47.25" customHeight="1" x14ac:dyDescent="0.25">
      <c r="B492" s="5"/>
      <c r="C492" s="895" t="s">
        <v>778</v>
      </c>
      <c r="D492" s="895"/>
      <c r="E492" s="895"/>
      <c r="F492" s="895"/>
      <c r="G492" s="895"/>
      <c r="H492" s="895"/>
      <c r="I492" s="895"/>
      <c r="J492" s="895"/>
      <c r="K492" s="895"/>
      <c r="L492" s="895"/>
      <c r="M492" s="895"/>
      <c r="N492" s="895"/>
      <c r="O492" s="895"/>
      <c r="P492" s="895"/>
      <c r="Q492" s="895"/>
      <c r="R492" s="895"/>
      <c r="S492" s="895"/>
      <c r="T492" s="895"/>
      <c r="U492" s="895"/>
      <c r="V492" s="165"/>
      <c r="W492" s="5"/>
    </row>
    <row r="493" spans="2:23" ht="15" x14ac:dyDescent="0.25">
      <c r="B493" s="5"/>
      <c r="C493" s="165"/>
      <c r="D493" s="165"/>
      <c r="E493" s="165"/>
      <c r="F493" s="165"/>
      <c r="G493" s="165"/>
      <c r="H493" s="165"/>
      <c r="I493" s="165"/>
      <c r="J493" s="165"/>
      <c r="K493" s="165"/>
      <c r="L493" s="165"/>
      <c r="M493" s="165"/>
      <c r="N493" s="165"/>
      <c r="O493" s="165"/>
      <c r="P493" s="165"/>
      <c r="Q493" s="165"/>
      <c r="R493" s="165"/>
      <c r="S493" s="165"/>
      <c r="T493" s="165"/>
      <c r="U493" s="165"/>
      <c r="V493" s="165"/>
      <c r="W493" s="5"/>
    </row>
    <row r="494" spans="2:23" ht="15" x14ac:dyDescent="0.25">
      <c r="B494" s="5"/>
      <c r="C494" s="165"/>
      <c r="E494" s="712" t="s">
        <v>591</v>
      </c>
      <c r="F494" s="712"/>
      <c r="G494" s="712"/>
      <c r="H494" s="712"/>
      <c r="I494" s="712"/>
      <c r="J494" s="712"/>
      <c r="K494" s="712"/>
      <c r="L494" s="68"/>
      <c r="M494" s="713" t="s">
        <v>592</v>
      </c>
      <c r="N494" s="713"/>
      <c r="O494" s="713"/>
      <c r="P494" s="713"/>
      <c r="Q494" s="713"/>
      <c r="R494" s="713"/>
      <c r="S494" s="713"/>
      <c r="T494" s="165"/>
      <c r="U494" s="165"/>
      <c r="V494" s="165"/>
      <c r="W494" s="5"/>
    </row>
    <row r="495" spans="2:23" ht="15" x14ac:dyDescent="0.25">
      <c r="B495" s="5"/>
      <c r="C495" s="165"/>
      <c r="D495" s="165"/>
      <c r="E495" s="649" t="s">
        <v>779</v>
      </c>
      <c r="F495" s="655"/>
      <c r="G495" s="655"/>
      <c r="H495" s="655"/>
      <c r="I495" s="655"/>
      <c r="J495" s="655"/>
      <c r="K495" s="714"/>
      <c r="L495" s="68"/>
      <c r="M495" s="649" t="s">
        <v>781</v>
      </c>
      <c r="N495" s="655"/>
      <c r="O495" s="655"/>
      <c r="P495" s="655"/>
      <c r="Q495" s="655"/>
      <c r="R495" s="655"/>
      <c r="S495" s="714"/>
      <c r="T495" s="165"/>
      <c r="U495" s="165"/>
      <c r="V495" s="165"/>
      <c r="W495" s="5"/>
    </row>
    <row r="496" spans="2:23" ht="15" x14ac:dyDescent="0.25">
      <c r="B496" s="5"/>
      <c r="C496" s="165"/>
      <c r="D496" s="165"/>
      <c r="E496" s="650"/>
      <c r="F496" s="656"/>
      <c r="G496" s="656"/>
      <c r="H496" s="656"/>
      <c r="I496" s="656"/>
      <c r="J496" s="656"/>
      <c r="K496" s="715"/>
      <c r="L496" s="68"/>
      <c r="M496" s="650"/>
      <c r="N496" s="656"/>
      <c r="O496" s="656"/>
      <c r="P496" s="656"/>
      <c r="Q496" s="656"/>
      <c r="R496" s="656"/>
      <c r="S496" s="715"/>
      <c r="T496" s="165"/>
      <c r="U496" s="165"/>
      <c r="V496" s="165"/>
      <c r="W496" s="5"/>
    </row>
    <row r="497" spans="2:23" ht="15" x14ac:dyDescent="0.25">
      <c r="B497" s="5"/>
      <c r="C497" s="165"/>
      <c r="D497" s="165"/>
      <c r="E497" s="651"/>
      <c r="F497" s="657"/>
      <c r="G497" s="657"/>
      <c r="H497" s="657"/>
      <c r="I497" s="657"/>
      <c r="J497" s="657"/>
      <c r="K497" s="716"/>
      <c r="L497" s="68"/>
      <c r="M497" s="651"/>
      <c r="N497" s="657"/>
      <c r="O497" s="657"/>
      <c r="P497" s="657"/>
      <c r="Q497" s="657"/>
      <c r="R497" s="657"/>
      <c r="S497" s="716"/>
      <c r="T497" s="165"/>
      <c r="U497" s="165"/>
      <c r="V497" s="165"/>
      <c r="W497" s="5"/>
    </row>
    <row r="498" spans="2:23" ht="15" x14ac:dyDescent="0.25">
      <c r="B498" s="5"/>
      <c r="C498" s="165"/>
      <c r="D498" s="165"/>
      <c r="E498" s="717" t="s">
        <v>593</v>
      </c>
      <c r="F498" s="717"/>
      <c r="G498" s="717"/>
      <c r="H498" s="717"/>
      <c r="I498" s="717"/>
      <c r="J498" s="717"/>
      <c r="K498" s="717"/>
      <c r="L498" s="68"/>
      <c r="M498" s="718" t="s">
        <v>594</v>
      </c>
      <c r="N498" s="718"/>
      <c r="O498" s="718"/>
      <c r="P498" s="718"/>
      <c r="Q498" s="718"/>
      <c r="R498" s="718"/>
      <c r="S498" s="718"/>
      <c r="T498" s="165"/>
      <c r="U498" s="165"/>
      <c r="V498" s="165"/>
      <c r="W498" s="5"/>
    </row>
    <row r="499" spans="2:23" ht="15" x14ac:dyDescent="0.25">
      <c r="B499" s="5"/>
      <c r="C499" s="165"/>
      <c r="D499" s="165"/>
      <c r="E499" s="759" t="s">
        <v>780</v>
      </c>
      <c r="F499" s="760"/>
      <c r="G499" s="760"/>
      <c r="H499" s="760"/>
      <c r="I499" s="760"/>
      <c r="J499" s="760"/>
      <c r="K499" s="761"/>
      <c r="L499" s="68"/>
      <c r="M499" s="649" t="s">
        <v>782</v>
      </c>
      <c r="N499" s="655"/>
      <c r="O499" s="655"/>
      <c r="P499" s="655"/>
      <c r="Q499" s="655"/>
      <c r="R499" s="655"/>
      <c r="S499" s="714"/>
      <c r="T499" s="165"/>
      <c r="U499" s="165"/>
      <c r="V499" s="165"/>
      <c r="W499" s="5"/>
    </row>
    <row r="500" spans="2:23" ht="15" x14ac:dyDescent="0.25">
      <c r="B500" s="5"/>
      <c r="C500" s="165"/>
      <c r="D500" s="165"/>
      <c r="E500" s="762"/>
      <c r="F500" s="763"/>
      <c r="G500" s="763"/>
      <c r="H500" s="763"/>
      <c r="I500" s="763"/>
      <c r="J500" s="763"/>
      <c r="K500" s="764"/>
      <c r="L500" s="68"/>
      <c r="M500" s="650"/>
      <c r="N500" s="656"/>
      <c r="O500" s="656"/>
      <c r="P500" s="656"/>
      <c r="Q500" s="656"/>
      <c r="R500" s="656"/>
      <c r="S500" s="715"/>
      <c r="T500" s="165"/>
      <c r="U500" s="165"/>
      <c r="V500" s="165"/>
      <c r="W500" s="5"/>
    </row>
    <row r="501" spans="2:23" ht="15" x14ac:dyDescent="0.25">
      <c r="B501" s="5"/>
      <c r="C501" s="165"/>
      <c r="D501" s="165"/>
      <c r="E501" s="765"/>
      <c r="F501" s="766"/>
      <c r="G501" s="766"/>
      <c r="H501" s="766"/>
      <c r="I501" s="766"/>
      <c r="J501" s="766"/>
      <c r="K501" s="767"/>
      <c r="L501" s="68"/>
      <c r="M501" s="651"/>
      <c r="N501" s="657"/>
      <c r="O501" s="657"/>
      <c r="P501" s="657"/>
      <c r="Q501" s="657"/>
      <c r="R501" s="657"/>
      <c r="S501" s="716"/>
      <c r="T501" s="165"/>
      <c r="U501" s="165"/>
      <c r="V501" s="165"/>
      <c r="W501" s="5"/>
    </row>
    <row r="502" spans="2:23" ht="15" x14ac:dyDescent="0.25">
      <c r="B502" s="5"/>
      <c r="C502" s="165"/>
      <c r="D502" s="165"/>
      <c r="E502" s="165"/>
      <c r="F502" s="165"/>
      <c r="G502" s="165"/>
      <c r="H502" s="165"/>
      <c r="I502" s="165"/>
      <c r="J502" s="165"/>
      <c r="K502" s="165"/>
      <c r="L502" s="68"/>
      <c r="M502" s="165"/>
      <c r="N502" s="165"/>
      <c r="O502" s="165"/>
      <c r="P502" s="165"/>
      <c r="Q502" s="165"/>
      <c r="R502" s="165"/>
      <c r="S502" s="165"/>
      <c r="T502" s="165"/>
      <c r="U502" s="165"/>
      <c r="V502" s="165"/>
      <c r="W502" s="5"/>
    </row>
    <row r="503" spans="2:23" ht="15" x14ac:dyDescent="0.25">
      <c r="B503" s="5"/>
      <c r="C503" s="73"/>
      <c r="D503" s="73"/>
      <c r="E503" s="73"/>
      <c r="F503" s="73"/>
      <c r="G503" s="73"/>
      <c r="H503" s="73"/>
      <c r="I503" s="73"/>
      <c r="J503" s="73"/>
      <c r="K503" s="73"/>
      <c r="L503" s="73"/>
      <c r="M503" s="165"/>
      <c r="N503" s="165"/>
      <c r="O503" s="165"/>
      <c r="P503" s="165"/>
      <c r="Q503" s="165"/>
      <c r="R503" s="165"/>
      <c r="S503" s="165"/>
      <c r="T503" s="165"/>
      <c r="U503" s="165"/>
      <c r="V503" s="165"/>
      <c r="W503" s="5"/>
    </row>
    <row r="504" spans="2:23" ht="15" x14ac:dyDescent="0.25">
      <c r="B504" s="5"/>
      <c r="C504" s="73"/>
      <c r="D504" s="73"/>
      <c r="E504" s="73"/>
      <c r="F504" s="76"/>
      <c r="G504" s="73" t="str">
        <f>L601</f>
        <v>Kingston Buci</v>
      </c>
      <c r="H504" s="73" t="str">
        <f>P601</f>
        <v>Stepping Stones</v>
      </c>
      <c r="I504" s="73" t="s">
        <v>292</v>
      </c>
      <c r="J504" s="73"/>
      <c r="K504" s="73"/>
      <c r="L504" s="73"/>
      <c r="M504" s="277"/>
      <c r="N504" s="277"/>
      <c r="O504" s="277"/>
      <c r="P504" s="277"/>
      <c r="Q504" s="165"/>
      <c r="R504" s="165"/>
      <c r="S504" s="165"/>
      <c r="T504" s="165"/>
      <c r="U504" s="165"/>
      <c r="V504" s="165"/>
      <c r="W504" s="5"/>
    </row>
    <row r="505" spans="2:23" ht="33.75" x14ac:dyDescent="0.25">
      <c r="B505" s="5"/>
      <c r="C505" s="73"/>
      <c r="D505" s="73"/>
      <c r="E505" s="326" t="s">
        <v>783</v>
      </c>
      <c r="F505" s="327" t="s">
        <v>689</v>
      </c>
      <c r="G505" s="328">
        <f>HLOOKUP(F505,smoking, selection+1, FALSE)</f>
        <v>7.4494949494949489E-2</v>
      </c>
      <c r="H505" s="77">
        <f>HLOOKUP(F505,smoking, selection2+1, FALSE)</f>
        <v>6.7724867724867729E-2</v>
      </c>
      <c r="I505" s="73"/>
      <c r="J505" s="73"/>
      <c r="K505" s="73"/>
      <c r="L505" s="73"/>
      <c r="M505" s="165"/>
      <c r="N505" s="165"/>
      <c r="O505" s="165"/>
      <c r="P505" s="165"/>
      <c r="Q505" s="165"/>
      <c r="R505" s="165"/>
      <c r="S505" s="165"/>
      <c r="T505" s="165"/>
      <c r="U505" s="165"/>
      <c r="V505" s="165"/>
      <c r="W505" s="5"/>
    </row>
    <row r="506" spans="2:23" ht="15" x14ac:dyDescent="0.25">
      <c r="B506" s="5"/>
      <c r="C506" s="73"/>
      <c r="D506" s="73"/>
      <c r="E506" s="326" t="s">
        <v>690</v>
      </c>
      <c r="F506" s="329"/>
      <c r="G506" s="328">
        <f>HLOOKUP(E506,smoking, selection+1, FALSE)</f>
        <v>4.283011146065737E-2</v>
      </c>
      <c r="H506" s="77">
        <f>HLOOKUP(E506,smoking, selection2+1, FALSE)</f>
        <v>5.315354431925607E-2</v>
      </c>
      <c r="I506" s="73"/>
      <c r="J506" s="291">
        <f>G505-G506</f>
        <v>3.1664838034292118E-2</v>
      </c>
      <c r="K506" s="291">
        <f>H505-H506</f>
        <v>1.4571323405611659E-2</v>
      </c>
      <c r="L506" s="73"/>
      <c r="M506" s="277"/>
      <c r="N506" s="277"/>
      <c r="O506" s="165"/>
      <c r="P506" s="165"/>
      <c r="Q506" s="165"/>
      <c r="R506" s="165"/>
      <c r="S506" s="165"/>
      <c r="T506" s="165"/>
      <c r="U506" s="165"/>
      <c r="V506" s="165"/>
      <c r="W506" s="5"/>
    </row>
    <row r="507" spans="2:23" ht="15" x14ac:dyDescent="0.25">
      <c r="B507" s="5"/>
      <c r="C507" s="73"/>
      <c r="D507" s="73"/>
      <c r="E507" s="326" t="s">
        <v>691</v>
      </c>
      <c r="F507" s="329"/>
      <c r="G507" s="328">
        <f>HLOOKUP(E507,smoking, selection+1, FALSE)</f>
        <v>0.15590067811002259</v>
      </c>
      <c r="H507" s="77">
        <f>HLOOKUP(E507,smoking, selection2+1, FALSE)</f>
        <v>0.20601533031468619</v>
      </c>
      <c r="I507" s="73"/>
      <c r="J507" s="291">
        <f>G507-G505</f>
        <v>8.14057286150731E-2</v>
      </c>
      <c r="K507" s="291">
        <f>H507-H505</f>
        <v>0.13829046258981847</v>
      </c>
      <c r="L507" s="73"/>
      <c r="M507" s="277"/>
      <c r="N507" s="277"/>
      <c r="O507" s="165"/>
      <c r="P507" s="165"/>
      <c r="Q507" s="165"/>
      <c r="R507" s="165"/>
      <c r="S507" s="165"/>
      <c r="T507" s="165"/>
      <c r="U507" s="165"/>
      <c r="V507" s="165"/>
      <c r="W507" s="5"/>
    </row>
    <row r="508" spans="2:23" ht="33.75" x14ac:dyDescent="0.25">
      <c r="B508" s="5"/>
      <c r="C508" s="73"/>
      <c r="D508" s="73"/>
      <c r="E508" s="326" t="s">
        <v>784</v>
      </c>
      <c r="F508" s="327" t="s">
        <v>786</v>
      </c>
      <c r="G508" s="328">
        <f>HLOOKUP(F508,smoking, selection+1, FALSE)</f>
        <v>5.8712121212121209E-2</v>
      </c>
      <c r="H508" s="77">
        <f>HLOOKUP(F508,smoking, selection2+1, FALSE)</f>
        <v>0.15661375661375662</v>
      </c>
      <c r="I508" s="73"/>
      <c r="J508" s="73"/>
      <c r="K508" s="73"/>
      <c r="L508" s="73"/>
      <c r="M508" s="277"/>
      <c r="N508" s="277"/>
      <c r="O508" s="165"/>
      <c r="P508" s="165"/>
      <c r="Q508" s="165"/>
      <c r="R508" s="165"/>
      <c r="S508" s="165"/>
      <c r="T508" s="165"/>
      <c r="U508" s="165"/>
      <c r="V508" s="165"/>
      <c r="W508" s="5"/>
    </row>
    <row r="509" spans="2:23" ht="15" x14ac:dyDescent="0.25">
      <c r="B509" s="5"/>
      <c r="C509" s="73"/>
      <c r="D509" s="73"/>
      <c r="E509" s="326" t="s">
        <v>693</v>
      </c>
      <c r="F509" s="327"/>
      <c r="G509" s="328">
        <f>HLOOKUP(E509,smoking, selection+1, FALSE)</f>
        <v>2.8956279687604513E-2</v>
      </c>
      <c r="H509" s="77">
        <f>HLOOKUP(E509,smoking, selection2+1, FALSE)</f>
        <v>4.2994504137461961E-2</v>
      </c>
      <c r="I509" s="73"/>
      <c r="J509" s="291">
        <f>G508-G509</f>
        <v>2.9755841524516696E-2</v>
      </c>
      <c r="K509" s="291">
        <f>H508-H509</f>
        <v>0.11361925247629466</v>
      </c>
      <c r="L509" s="73"/>
      <c r="M509" s="277"/>
      <c r="N509" s="277"/>
      <c r="O509" s="165"/>
      <c r="P509" s="165"/>
      <c r="Q509" s="165"/>
      <c r="R509" s="165"/>
      <c r="S509" s="165"/>
      <c r="T509" s="165"/>
      <c r="U509" s="165"/>
      <c r="V509" s="165"/>
      <c r="W509" s="5"/>
    </row>
    <row r="510" spans="2:23" ht="15" x14ac:dyDescent="0.25">
      <c r="B510" s="5"/>
      <c r="C510" s="73"/>
      <c r="D510" s="73"/>
      <c r="E510" s="326" t="s">
        <v>694</v>
      </c>
      <c r="F510" s="329"/>
      <c r="G510" s="328">
        <f>HLOOKUP(E510,smoking, selection+1, FALSE)</f>
        <v>0.12971104936160943</v>
      </c>
      <c r="H510" s="77">
        <f>HLOOKUP(E510,smoking, selection2+1, FALSE)</f>
        <v>0.18712216950173294</v>
      </c>
      <c r="I510" s="73"/>
      <c r="J510" s="291">
        <f>G510-G508</f>
        <v>7.0998928149488216E-2</v>
      </c>
      <c r="K510" s="291">
        <f>H510-H508</f>
        <v>3.0508412887976316E-2</v>
      </c>
      <c r="L510" s="73"/>
      <c r="M510" s="277"/>
      <c r="N510" s="277"/>
      <c r="O510" s="165"/>
      <c r="P510" s="165"/>
      <c r="Q510" s="165"/>
      <c r="R510" s="165"/>
      <c r="S510" s="165"/>
      <c r="T510" s="165"/>
      <c r="U510" s="165"/>
      <c r="V510" s="165"/>
      <c r="W510" s="5"/>
    </row>
    <row r="511" spans="2:23" ht="22.5" x14ac:dyDescent="0.25">
      <c r="B511" s="5"/>
      <c r="C511" s="73"/>
      <c r="D511" s="73"/>
      <c r="E511" s="326" t="s">
        <v>785</v>
      </c>
      <c r="F511" s="327" t="s">
        <v>696</v>
      </c>
      <c r="G511" s="328">
        <f>HLOOKUP(F511,smoking, selection+1, FALSE)</f>
        <v>6.8813131313131312E-2</v>
      </c>
      <c r="H511" s="77">
        <f>HLOOKUP(F511,smoking, selection2+1, FALSE)</f>
        <v>0.18994708994708998</v>
      </c>
      <c r="I511" s="73"/>
      <c r="J511" s="73"/>
      <c r="K511" s="73"/>
      <c r="L511" s="73"/>
      <c r="M511" s="277"/>
      <c r="N511" s="277"/>
      <c r="O511" s="165"/>
      <c r="P511" s="165"/>
      <c r="Q511" s="165"/>
      <c r="R511" s="165"/>
      <c r="S511" s="165"/>
      <c r="T511" s="165"/>
      <c r="U511" s="165"/>
      <c r="V511" s="165"/>
      <c r="W511" s="5"/>
    </row>
    <row r="512" spans="2:23" ht="15" x14ac:dyDescent="0.25">
      <c r="B512" s="5"/>
      <c r="C512" s="73"/>
      <c r="D512" s="73"/>
      <c r="E512" s="326" t="s">
        <v>697</v>
      </c>
      <c r="F512" s="327"/>
      <c r="G512" s="328">
        <f>HLOOKUP(E512,smoking, selection+1, FALSE)</f>
        <v>3.5767126237989492E-2</v>
      </c>
      <c r="H512" s="77">
        <f>HLOOKUP(E512,smoking, selection2+1, FALSE)</f>
        <v>7.459006187684232E-2</v>
      </c>
      <c r="I512" s="73"/>
      <c r="J512" s="291">
        <f>G511-G512</f>
        <v>3.304600507514182E-2</v>
      </c>
      <c r="K512" s="291">
        <f>H511-H512</f>
        <v>0.11535702807024766</v>
      </c>
      <c r="L512" s="73"/>
      <c r="M512" s="165"/>
      <c r="N512" s="165"/>
      <c r="O512" s="165"/>
      <c r="P512" s="165"/>
      <c r="Q512" s="165"/>
      <c r="R512" s="165"/>
      <c r="S512" s="165"/>
      <c r="T512" s="165"/>
      <c r="U512" s="165"/>
      <c r="V512" s="165"/>
      <c r="W512" s="5"/>
    </row>
    <row r="513" spans="2:23" ht="15" x14ac:dyDescent="0.25">
      <c r="B513" s="5"/>
      <c r="C513" s="73"/>
      <c r="D513" s="73"/>
      <c r="E513" s="326" t="s">
        <v>698</v>
      </c>
      <c r="F513" s="327"/>
      <c r="G513" s="328">
        <f>HLOOKUP(E513,smoking, selection+1, FALSE)</f>
        <v>0.14293193307195745</v>
      </c>
      <c r="H513" s="77">
        <f>HLOOKUP(E513,smoking, selection2+1, FALSE)</f>
        <v>0.24268321474659466</v>
      </c>
      <c r="I513" s="73"/>
      <c r="J513" s="292">
        <f>G513-G511</f>
        <v>7.4118801758826139E-2</v>
      </c>
      <c r="K513" s="292">
        <f>H513-H511</f>
        <v>5.273612479950468E-2</v>
      </c>
      <c r="L513" s="73"/>
      <c r="M513" s="165"/>
      <c r="N513" s="165"/>
      <c r="O513" s="165"/>
      <c r="P513" s="165"/>
      <c r="Q513" s="165"/>
      <c r="R513" s="165"/>
      <c r="S513" s="165"/>
      <c r="T513" s="165"/>
      <c r="U513" s="165"/>
      <c r="V513" s="165"/>
      <c r="W513" s="5"/>
    </row>
    <row r="514" spans="2:23" s="325" customFormat="1" ht="15" x14ac:dyDescent="0.25">
      <c r="B514" s="324"/>
      <c r="C514" s="303"/>
      <c r="D514" s="303"/>
      <c r="E514" s="330" t="s">
        <v>700</v>
      </c>
      <c r="F514" s="331"/>
      <c r="G514" s="328">
        <f>HLOOKUP(E514,smoking, selection+1, FALSE)</f>
        <v>0.20391414141414141</v>
      </c>
      <c r="H514" s="77">
        <f>HLOOKUP(E514,smoking, selection2+1, FALSE)</f>
        <v>0.21177248677248675</v>
      </c>
      <c r="I514" s="303"/>
      <c r="J514" s="292"/>
      <c r="K514" s="303"/>
      <c r="L514" s="303"/>
      <c r="M514" s="301"/>
      <c r="N514" s="301"/>
      <c r="O514" s="301"/>
      <c r="P514" s="301"/>
      <c r="Q514" s="301"/>
      <c r="R514" s="301"/>
      <c r="S514" s="301"/>
      <c r="T514" s="301"/>
      <c r="U514" s="301"/>
      <c r="V514" s="301"/>
      <c r="W514" s="324"/>
    </row>
    <row r="515" spans="2:23" s="325" customFormat="1" ht="15" x14ac:dyDescent="0.25">
      <c r="B515" s="324"/>
      <c r="C515" s="303"/>
      <c r="D515" s="303"/>
      <c r="E515" s="567" t="s">
        <v>701</v>
      </c>
      <c r="F515" s="331"/>
      <c r="G515" s="328">
        <f>HLOOKUP(E515,smoking, selection+1, FALSE)</f>
        <v>0.14776236248775229</v>
      </c>
      <c r="H515" s="77">
        <f>HLOOKUP(E515,smoking, selection2+1, FALSE)</f>
        <v>0.17018055060319134</v>
      </c>
      <c r="I515" s="303"/>
      <c r="J515" s="292">
        <f>G514-G515</f>
        <v>5.6151778926389118E-2</v>
      </c>
      <c r="K515" s="332">
        <f>H514-H515</f>
        <v>4.1591936169295407E-2</v>
      </c>
      <c r="L515" s="303"/>
      <c r="M515" s="301"/>
      <c r="N515" s="301"/>
      <c r="O515" s="301"/>
      <c r="P515" s="301"/>
      <c r="Q515" s="301"/>
      <c r="R515" s="301"/>
      <c r="S515" s="301"/>
      <c r="T515" s="301"/>
      <c r="U515" s="301"/>
      <c r="V515" s="301"/>
      <c r="W515" s="324"/>
    </row>
    <row r="516" spans="2:23" s="325" customFormat="1" ht="15" x14ac:dyDescent="0.25">
      <c r="B516" s="324"/>
      <c r="C516" s="303"/>
      <c r="D516" s="303"/>
      <c r="E516" s="567" t="s">
        <v>702</v>
      </c>
      <c r="F516" s="303"/>
      <c r="G516" s="328">
        <f>HLOOKUP(E516,smoking, selection+1, FALSE)</f>
        <v>0.31138092047245669</v>
      </c>
      <c r="H516" s="77">
        <f>HLOOKUP(E516,smoking, selection2+1, FALSE)</f>
        <v>0.37951033397822453</v>
      </c>
      <c r="I516" s="303"/>
      <c r="J516" s="292">
        <f>G516-G514</f>
        <v>0.10746677905831528</v>
      </c>
      <c r="K516" s="332">
        <f>H516-H514</f>
        <v>0.16773784720573778</v>
      </c>
      <c r="L516" s="303"/>
      <c r="M516" s="301"/>
      <c r="N516" s="301"/>
      <c r="O516" s="301"/>
      <c r="P516" s="301"/>
      <c r="Q516" s="301"/>
      <c r="R516" s="301"/>
      <c r="S516" s="301"/>
      <c r="T516" s="301"/>
      <c r="U516" s="301"/>
      <c r="V516" s="301"/>
      <c r="W516" s="324"/>
    </row>
    <row r="517" spans="2:23" ht="15" x14ac:dyDescent="0.25">
      <c r="B517" s="5"/>
      <c r="C517" s="165"/>
      <c r="D517" s="165"/>
      <c r="E517" s="73"/>
      <c r="F517" s="73"/>
      <c r="G517" s="73"/>
      <c r="H517" s="73"/>
      <c r="I517" s="73"/>
      <c r="J517" s="73"/>
      <c r="K517" s="73"/>
      <c r="L517" s="165"/>
      <c r="M517" s="165"/>
      <c r="N517" s="165"/>
      <c r="O517" s="165"/>
      <c r="P517" s="165"/>
      <c r="Q517" s="165"/>
      <c r="R517" s="165"/>
      <c r="S517" s="165"/>
      <c r="T517" s="165"/>
      <c r="U517" s="165"/>
      <c r="V517" s="165"/>
      <c r="W517" s="5"/>
    </row>
    <row r="518" spans="2:23" ht="15" x14ac:dyDescent="0.25">
      <c r="B518" s="5"/>
      <c r="C518" s="165"/>
      <c r="D518" s="165"/>
      <c r="E518" s="165"/>
      <c r="F518" s="165"/>
      <c r="G518" s="165"/>
      <c r="H518" s="165"/>
      <c r="I518" s="165"/>
      <c r="J518" s="165"/>
      <c r="K518" s="165"/>
      <c r="L518" s="165"/>
      <c r="M518" s="165"/>
      <c r="N518" s="165"/>
      <c r="O518" s="165"/>
      <c r="P518" s="165"/>
      <c r="Q518" s="165"/>
      <c r="R518" s="165"/>
      <c r="S518" s="165"/>
      <c r="T518" s="165"/>
      <c r="U518" s="165"/>
      <c r="V518" s="165"/>
      <c r="W518" s="5"/>
    </row>
    <row r="519" spans="2:23" ht="15" x14ac:dyDescent="0.25">
      <c r="B519" s="5"/>
      <c r="C519" s="165"/>
      <c r="D519" s="165"/>
      <c r="E519" s="165"/>
      <c r="F519" s="165"/>
      <c r="G519" s="165"/>
      <c r="H519" s="165"/>
      <c r="I519" s="165"/>
      <c r="J519" s="165"/>
      <c r="K519" s="165"/>
      <c r="L519" s="165"/>
      <c r="M519" s="165"/>
      <c r="N519" s="165"/>
      <c r="O519" s="165"/>
      <c r="P519" s="165"/>
      <c r="Q519" s="165"/>
      <c r="R519" s="165"/>
      <c r="S519" s="165"/>
      <c r="T519" s="165"/>
      <c r="U519" s="165"/>
      <c r="V519" s="165"/>
      <c r="W519" s="5"/>
    </row>
    <row r="520" spans="2:23" s="69" customFormat="1" ht="18" customHeight="1" x14ac:dyDescent="0.25">
      <c r="B520" s="5"/>
      <c r="C520" s="729" t="s">
        <v>1008</v>
      </c>
      <c r="D520" s="729"/>
      <c r="E520" s="729"/>
      <c r="F520" s="729"/>
      <c r="G520" s="729"/>
      <c r="H520" s="729"/>
      <c r="I520" s="729"/>
      <c r="J520" s="729"/>
      <c r="K520" s="729"/>
      <c r="L520" s="729"/>
      <c r="M520" s="729"/>
      <c r="N520" s="729"/>
      <c r="O520" s="729"/>
      <c r="P520" s="729"/>
      <c r="Q520" s="729"/>
      <c r="R520" s="729"/>
      <c r="S520" s="729"/>
      <c r="T520" s="729"/>
      <c r="U520" s="729"/>
      <c r="V520" s="729"/>
      <c r="W520" s="5"/>
    </row>
    <row r="521" spans="2:23" s="69" customFormat="1" ht="54" customHeight="1" x14ac:dyDescent="0.25">
      <c r="B521" s="5"/>
      <c r="C521" s="711" t="s">
        <v>1010</v>
      </c>
      <c r="D521" s="711"/>
      <c r="E521" s="711"/>
      <c r="F521" s="711"/>
      <c r="G521" s="711"/>
      <c r="H521" s="711"/>
      <c r="I521" s="711"/>
      <c r="J521" s="711"/>
      <c r="K521" s="711"/>
      <c r="L521" s="711"/>
      <c r="M521" s="711"/>
      <c r="N521" s="711"/>
      <c r="O521" s="711"/>
      <c r="P521" s="711"/>
      <c r="Q521" s="711"/>
      <c r="R521" s="711"/>
      <c r="S521" s="711"/>
      <c r="T521" s="711"/>
      <c r="U521" s="711"/>
      <c r="V521" s="711"/>
      <c r="W521" s="5"/>
    </row>
    <row r="522" spans="2:23" s="69" customFormat="1" ht="39.75" customHeight="1" x14ac:dyDescent="0.25">
      <c r="B522" s="5"/>
      <c r="C522" s="711" t="s">
        <v>1009</v>
      </c>
      <c r="D522" s="711"/>
      <c r="E522" s="711"/>
      <c r="F522" s="711"/>
      <c r="G522" s="711"/>
      <c r="H522" s="711"/>
      <c r="I522" s="711"/>
      <c r="J522" s="711"/>
      <c r="K522" s="711"/>
      <c r="L522" s="711"/>
      <c r="M522" s="711"/>
      <c r="N522" s="711"/>
      <c r="O522" s="711"/>
      <c r="P522" s="711"/>
      <c r="Q522" s="711"/>
      <c r="R522" s="711"/>
      <c r="S522" s="711"/>
      <c r="T522" s="711"/>
      <c r="U522" s="711"/>
      <c r="V522" s="711"/>
      <c r="W522" s="5"/>
    </row>
    <row r="523" spans="2:23" s="69" customFormat="1" ht="15" customHeight="1" x14ac:dyDescent="0.25">
      <c r="B523" s="5"/>
      <c r="W523" s="5"/>
    </row>
    <row r="524" spans="2:23" s="69" customFormat="1" ht="15" x14ac:dyDescent="0.25">
      <c r="B524" s="5"/>
      <c r="E524" s="712" t="s">
        <v>591</v>
      </c>
      <c r="F524" s="712"/>
      <c r="G524" s="712"/>
      <c r="H524" s="712"/>
      <c r="I524" s="712"/>
      <c r="J524" s="712"/>
      <c r="K524" s="712"/>
      <c r="L524" s="68"/>
      <c r="M524" s="713" t="s">
        <v>592</v>
      </c>
      <c r="N524" s="713"/>
      <c r="O524" s="713"/>
      <c r="P524" s="713"/>
      <c r="Q524" s="713"/>
      <c r="R524" s="713"/>
      <c r="S524" s="713"/>
      <c r="W524" s="5"/>
    </row>
    <row r="525" spans="2:23" s="69" customFormat="1" ht="15" customHeight="1" x14ac:dyDescent="0.25">
      <c r="B525" s="5"/>
      <c r="C525" s="301"/>
      <c r="D525" s="301"/>
      <c r="E525" s="649" t="s">
        <v>1011</v>
      </c>
      <c r="F525" s="655"/>
      <c r="G525" s="655"/>
      <c r="H525" s="655"/>
      <c r="I525" s="655"/>
      <c r="J525" s="655"/>
      <c r="K525" s="714"/>
      <c r="L525" s="68"/>
      <c r="M525" s="649" t="s">
        <v>1012</v>
      </c>
      <c r="N525" s="655"/>
      <c r="O525" s="655"/>
      <c r="P525" s="655"/>
      <c r="Q525" s="655"/>
      <c r="R525" s="655"/>
      <c r="S525" s="714"/>
      <c r="T525" s="301"/>
      <c r="U525" s="301"/>
      <c r="V525" s="301"/>
      <c r="W525" s="5"/>
    </row>
    <row r="526" spans="2:23" s="69" customFormat="1" ht="15" x14ac:dyDescent="0.25">
      <c r="B526" s="5"/>
      <c r="C526" s="561"/>
      <c r="D526" s="561"/>
      <c r="E526" s="650"/>
      <c r="F526" s="656"/>
      <c r="G526" s="656"/>
      <c r="H526" s="656"/>
      <c r="I526" s="656"/>
      <c r="J526" s="656"/>
      <c r="K526" s="715"/>
      <c r="L526" s="68"/>
      <c r="M526" s="650"/>
      <c r="N526" s="656"/>
      <c r="O526" s="656"/>
      <c r="P526" s="656"/>
      <c r="Q526" s="656"/>
      <c r="R526" s="656"/>
      <c r="S526" s="715"/>
      <c r="T526" s="561"/>
      <c r="U526" s="561"/>
      <c r="V526" s="561"/>
      <c r="W526" s="5"/>
    </row>
    <row r="527" spans="2:23" s="69" customFormat="1" ht="15" x14ac:dyDescent="0.25">
      <c r="B527" s="5"/>
      <c r="C527" s="561"/>
      <c r="D527" s="561"/>
      <c r="E527" s="651"/>
      <c r="F527" s="657"/>
      <c r="G527" s="657"/>
      <c r="H527" s="657"/>
      <c r="I527" s="657"/>
      <c r="J527" s="657"/>
      <c r="K527" s="716"/>
      <c r="L527" s="68"/>
      <c r="M527" s="651"/>
      <c r="N527" s="657"/>
      <c r="O527" s="657"/>
      <c r="P527" s="657"/>
      <c r="Q527" s="657"/>
      <c r="R527" s="657"/>
      <c r="S527" s="716"/>
      <c r="T527" s="561"/>
      <c r="U527" s="561"/>
      <c r="V527" s="561"/>
      <c r="W527" s="5"/>
    </row>
    <row r="528" spans="2:23" s="69" customFormat="1" ht="15" x14ac:dyDescent="0.25">
      <c r="B528" s="5"/>
      <c r="C528" s="561"/>
      <c r="D528" s="561"/>
      <c r="E528" s="717" t="s">
        <v>593</v>
      </c>
      <c r="F528" s="717"/>
      <c r="G528" s="717"/>
      <c r="H528" s="717"/>
      <c r="I528" s="717"/>
      <c r="J528" s="717"/>
      <c r="K528" s="717"/>
      <c r="L528" s="68"/>
      <c r="M528" s="718" t="s">
        <v>594</v>
      </c>
      <c r="N528" s="718"/>
      <c r="O528" s="718"/>
      <c r="P528" s="718"/>
      <c r="Q528" s="718"/>
      <c r="R528" s="718"/>
      <c r="S528" s="718"/>
      <c r="T528" s="561"/>
      <c r="U528" s="561"/>
      <c r="V528" s="561"/>
      <c r="W528" s="5"/>
    </row>
    <row r="529" spans="2:23" s="69" customFormat="1" ht="15" customHeight="1" x14ac:dyDescent="0.25">
      <c r="B529" s="5"/>
      <c r="C529" s="561"/>
      <c r="D529" s="561"/>
      <c r="E529" s="640" t="s">
        <v>1013</v>
      </c>
      <c r="F529" s="817"/>
      <c r="G529" s="817"/>
      <c r="H529" s="817"/>
      <c r="I529" s="817"/>
      <c r="J529" s="817"/>
      <c r="K529" s="641"/>
      <c r="L529" s="68"/>
      <c r="M529" s="649" t="s">
        <v>1014</v>
      </c>
      <c r="N529" s="655"/>
      <c r="O529" s="655"/>
      <c r="P529" s="655"/>
      <c r="Q529" s="655"/>
      <c r="R529" s="655"/>
      <c r="S529" s="714"/>
      <c r="T529" s="561"/>
      <c r="U529" s="561"/>
      <c r="V529" s="561"/>
      <c r="W529" s="5"/>
    </row>
    <row r="530" spans="2:23" s="69" customFormat="1" ht="15" x14ac:dyDescent="0.25">
      <c r="B530" s="5"/>
      <c r="C530" s="561"/>
      <c r="D530" s="561"/>
      <c r="E530" s="818"/>
      <c r="F530" s="819"/>
      <c r="G530" s="819"/>
      <c r="H530" s="819"/>
      <c r="I530" s="819"/>
      <c r="J530" s="819"/>
      <c r="K530" s="820"/>
      <c r="L530" s="68"/>
      <c r="M530" s="650"/>
      <c r="N530" s="656"/>
      <c r="O530" s="656"/>
      <c r="P530" s="656"/>
      <c r="Q530" s="656"/>
      <c r="R530" s="656"/>
      <c r="S530" s="715"/>
      <c r="T530" s="561"/>
      <c r="U530" s="561"/>
      <c r="V530" s="561"/>
      <c r="W530" s="5"/>
    </row>
    <row r="531" spans="2:23" s="69" customFormat="1" ht="15" x14ac:dyDescent="0.25">
      <c r="B531" s="5"/>
      <c r="C531" s="561"/>
      <c r="D531" s="561"/>
      <c r="E531" s="642"/>
      <c r="F531" s="821"/>
      <c r="G531" s="821"/>
      <c r="H531" s="821"/>
      <c r="I531" s="821"/>
      <c r="J531" s="821"/>
      <c r="K531" s="643"/>
      <c r="L531" s="68"/>
      <c r="M531" s="651"/>
      <c r="N531" s="657"/>
      <c r="O531" s="657"/>
      <c r="P531" s="657"/>
      <c r="Q531" s="657"/>
      <c r="R531" s="657"/>
      <c r="S531" s="716"/>
      <c r="T531" s="561"/>
      <c r="U531" s="561"/>
      <c r="V531" s="561"/>
      <c r="W531" s="5"/>
    </row>
    <row r="532" spans="2:23" s="69" customFormat="1" ht="15" x14ac:dyDescent="0.25">
      <c r="B532" s="5"/>
      <c r="C532" s="561"/>
      <c r="D532" s="561"/>
      <c r="E532" s="561"/>
      <c r="F532" s="561"/>
      <c r="G532" s="561"/>
      <c r="H532" s="561"/>
      <c r="I532" s="561"/>
      <c r="J532" s="561"/>
      <c r="K532" s="561"/>
      <c r="L532" s="561"/>
      <c r="M532" s="561"/>
      <c r="N532" s="561"/>
      <c r="O532" s="561"/>
      <c r="P532" s="561"/>
      <c r="Q532" s="561"/>
      <c r="R532" s="561"/>
      <c r="S532" s="561"/>
      <c r="T532" s="561"/>
      <c r="U532" s="561"/>
      <c r="V532" s="561"/>
      <c r="W532" s="5"/>
    </row>
    <row r="533" spans="2:23" s="69" customFormat="1" ht="15" x14ac:dyDescent="0.25">
      <c r="B533" s="5"/>
      <c r="C533" s="561"/>
      <c r="D533" s="702"/>
      <c r="E533" s="703"/>
      <c r="F533" s="703"/>
      <c r="G533" s="704"/>
      <c r="H533" s="719" t="s">
        <v>1031</v>
      </c>
      <c r="I533" s="719"/>
      <c r="J533" s="719"/>
      <c r="K533" s="720" t="s">
        <v>1032</v>
      </c>
      <c r="L533" s="720"/>
      <c r="M533" s="720"/>
      <c r="N533" s="721" t="s">
        <v>1033</v>
      </c>
      <c r="O533" s="721"/>
      <c r="P533" s="721"/>
      <c r="Q533" s="722" t="s">
        <v>1034</v>
      </c>
      <c r="R533" s="722"/>
      <c r="S533" s="722"/>
      <c r="T533" s="561"/>
      <c r="U533" s="561"/>
      <c r="V533" s="561"/>
      <c r="W533" s="5"/>
    </row>
    <row r="534" spans="2:23" s="69" customFormat="1" ht="15" x14ac:dyDescent="0.25">
      <c r="B534" s="5"/>
      <c r="C534" s="561"/>
      <c r="D534" s="705"/>
      <c r="E534" s="706"/>
      <c r="F534" s="706"/>
      <c r="G534" s="707"/>
      <c r="H534" s="558" t="s">
        <v>741</v>
      </c>
      <c r="I534" s="558" t="s">
        <v>537</v>
      </c>
      <c r="J534" s="558" t="s">
        <v>538</v>
      </c>
      <c r="K534" s="559" t="s">
        <v>741</v>
      </c>
      <c r="L534" s="559" t="s">
        <v>537</v>
      </c>
      <c r="M534" s="559" t="s">
        <v>538</v>
      </c>
      <c r="N534" s="569" t="s">
        <v>741</v>
      </c>
      <c r="O534" s="569" t="s">
        <v>537</v>
      </c>
      <c r="P534" s="569" t="s">
        <v>538</v>
      </c>
      <c r="Q534" s="560" t="s">
        <v>741</v>
      </c>
      <c r="R534" s="560" t="s">
        <v>537</v>
      </c>
      <c r="S534" s="560" t="s">
        <v>538</v>
      </c>
      <c r="T534" s="561"/>
      <c r="U534" s="561"/>
      <c r="V534" s="561"/>
      <c r="W534" s="5"/>
    </row>
    <row r="535" spans="2:23" s="69" customFormat="1" ht="15" x14ac:dyDescent="0.25">
      <c r="B535" s="5"/>
      <c r="C535" s="561"/>
      <c r="D535" s="709" t="str">
        <f>INDEX(Locations,selection)</f>
        <v>Kingston Buci</v>
      </c>
      <c r="E535" s="709"/>
      <c r="F535" s="709"/>
      <c r="G535" s="709"/>
      <c r="H535" s="701">
        <f t="shared" ref="H535:S535" si="5">HLOOKUP(H541,Smoking2014, selection+1,FALSE)</f>
        <v>0.15384615384615385</v>
      </c>
      <c r="I535" s="700">
        <f t="shared" si="5"/>
        <v>8.0076850167803207E-2</v>
      </c>
      <c r="J535" s="700">
        <f t="shared" si="5"/>
        <v>0.27524085176410146</v>
      </c>
      <c r="K535" s="701">
        <f t="shared" si="5"/>
        <v>9.6153846153846159E-2</v>
      </c>
      <c r="L535" s="700">
        <f t="shared" si="5"/>
        <v>4.1774351052572475E-2</v>
      </c>
      <c r="M535" s="700">
        <f t="shared" si="5"/>
        <v>0.20609630120131633</v>
      </c>
      <c r="N535" s="701">
        <f t="shared" si="5"/>
        <v>9.6153846153846159E-2</v>
      </c>
      <c r="O535" s="700">
        <f t="shared" si="5"/>
        <v>4.1774351052572475E-2</v>
      </c>
      <c r="P535" s="700">
        <f t="shared" si="5"/>
        <v>0.20609630120131633</v>
      </c>
      <c r="Q535" s="701">
        <f t="shared" si="5"/>
        <v>0.17647058823529413</v>
      </c>
      <c r="R535" s="700">
        <f t="shared" si="5"/>
        <v>9.5724034691263171E-2</v>
      </c>
      <c r="S535" s="700">
        <f t="shared" si="5"/>
        <v>0.3025414252430807</v>
      </c>
      <c r="T535" s="561"/>
      <c r="U535" s="561"/>
      <c r="V535" s="561"/>
      <c r="W535" s="5"/>
    </row>
    <row r="536" spans="2:23" s="69" customFormat="1" ht="15" x14ac:dyDescent="0.25">
      <c r="B536" s="5"/>
      <c r="C536" s="561"/>
      <c r="D536" s="709"/>
      <c r="E536" s="709"/>
      <c r="F536" s="709"/>
      <c r="G536" s="709"/>
      <c r="H536" s="701"/>
      <c r="I536" s="700"/>
      <c r="J536" s="700"/>
      <c r="K536" s="701"/>
      <c r="L536" s="700"/>
      <c r="M536" s="700"/>
      <c r="N536" s="701"/>
      <c r="O536" s="700"/>
      <c r="P536" s="700"/>
      <c r="Q536" s="701"/>
      <c r="R536" s="700"/>
      <c r="S536" s="700"/>
      <c r="T536" s="561"/>
      <c r="U536" s="561"/>
      <c r="V536" s="561"/>
      <c r="W536" s="5"/>
    </row>
    <row r="537" spans="2:23" s="69" customFormat="1" ht="15" x14ac:dyDescent="0.25">
      <c r="B537" s="5"/>
      <c r="C537" s="561"/>
      <c r="D537" s="710" t="str">
        <f>INDEX(Locations, selection2)</f>
        <v>Stepping Stones</v>
      </c>
      <c r="E537" s="710"/>
      <c r="F537" s="710"/>
      <c r="G537" s="710"/>
      <c r="H537" s="701">
        <f t="shared" ref="H537:S537" si="6">HLOOKUP(H541,Smoking2014, selection2+1,FALSE)</f>
        <v>0.13793103448275862</v>
      </c>
      <c r="I537" s="700">
        <f t="shared" si="6"/>
        <v>5.4974399641119644E-2</v>
      </c>
      <c r="J537" s="700">
        <f t="shared" si="6"/>
        <v>0.30558993720352018</v>
      </c>
      <c r="K537" s="701">
        <f t="shared" si="6"/>
        <v>0.10344827586206896</v>
      </c>
      <c r="L537" s="700">
        <f t="shared" si="6"/>
        <v>3.5814891350677058E-2</v>
      </c>
      <c r="M537" s="700">
        <f t="shared" si="6"/>
        <v>0.26385081090773799</v>
      </c>
      <c r="N537" s="701">
        <f t="shared" si="6"/>
        <v>0.17241379310344829</v>
      </c>
      <c r="O537" s="700">
        <f t="shared" si="6"/>
        <v>7.5978572528912269E-2</v>
      </c>
      <c r="P537" s="700">
        <f t="shared" si="6"/>
        <v>0.34548439890195237</v>
      </c>
      <c r="Q537" s="701">
        <f t="shared" si="6"/>
        <v>0.27586206896551724</v>
      </c>
      <c r="R537" s="700">
        <f t="shared" si="6"/>
        <v>0.14698755102087954</v>
      </c>
      <c r="S537" s="700">
        <f t="shared" si="6"/>
        <v>0.45717132416865935</v>
      </c>
      <c r="T537" s="561"/>
      <c r="U537" s="561"/>
      <c r="V537" s="561"/>
      <c r="W537" s="5"/>
    </row>
    <row r="538" spans="2:23" s="69" customFormat="1" ht="15" x14ac:dyDescent="0.25">
      <c r="B538" s="5"/>
      <c r="C538" s="561"/>
      <c r="D538" s="710"/>
      <c r="E538" s="710"/>
      <c r="F538" s="710"/>
      <c r="G538" s="710"/>
      <c r="H538" s="701"/>
      <c r="I538" s="700"/>
      <c r="J538" s="700"/>
      <c r="K538" s="701"/>
      <c r="L538" s="700"/>
      <c r="M538" s="700"/>
      <c r="N538" s="701"/>
      <c r="O538" s="700"/>
      <c r="P538" s="700"/>
      <c r="Q538" s="701"/>
      <c r="R538" s="700"/>
      <c r="S538" s="700"/>
      <c r="T538" s="561"/>
      <c r="U538" s="561"/>
      <c r="V538" s="561"/>
      <c r="W538" s="5"/>
    </row>
    <row r="539" spans="2:23" s="69" customFormat="1" ht="15" x14ac:dyDescent="0.25">
      <c r="B539" s="5"/>
      <c r="C539" s="561"/>
      <c r="D539" s="708" t="s">
        <v>292</v>
      </c>
      <c r="E539" s="708"/>
      <c r="F539" s="708"/>
      <c r="G539" s="708"/>
      <c r="H539" s="701">
        <f>Data!KZ76</f>
        <v>0.10983191342390053</v>
      </c>
      <c r="I539" s="700">
        <f>Data!LA76</f>
        <v>0.10087506725523812</v>
      </c>
      <c r="J539" s="700">
        <f>Data!LB76</f>
        <v>0.11947837049828836</v>
      </c>
      <c r="K539" s="701">
        <f>Data!LE76</f>
        <v>8.4273543633433104E-2</v>
      </c>
      <c r="L539" s="700">
        <f>Data!LF76</f>
        <v>7.6374485919414287E-2</v>
      </c>
      <c r="M539" s="700">
        <f>Data!LG76</f>
        <v>9.2907385938946346E-2</v>
      </c>
      <c r="N539" s="701">
        <f>Data!LJ76</f>
        <v>9.8656785548865214E-2</v>
      </c>
      <c r="O539" s="700">
        <f>Data!LK76</f>
        <v>9.0115944888874061E-2</v>
      </c>
      <c r="P539" s="700">
        <f>Data!LL76</f>
        <v>0.10791109219134049</v>
      </c>
      <c r="Q539" s="701">
        <f>Data!LO76</f>
        <v>0.19104829210836277</v>
      </c>
      <c r="R539" s="700">
        <f>Data!LP76</f>
        <v>0.1795035530603909</v>
      </c>
      <c r="S539" s="700">
        <f>Data!LQ76</f>
        <v>0.20315168945175535</v>
      </c>
      <c r="T539" s="570"/>
      <c r="U539" s="570"/>
      <c r="V539" s="561"/>
      <c r="W539" s="5"/>
    </row>
    <row r="540" spans="2:23" s="69" customFormat="1" ht="15" x14ac:dyDescent="0.25">
      <c r="B540" s="5"/>
      <c r="C540" s="561"/>
      <c r="D540" s="708"/>
      <c r="E540" s="708"/>
      <c r="F540" s="708"/>
      <c r="G540" s="708"/>
      <c r="H540" s="701"/>
      <c r="I540" s="700"/>
      <c r="J540" s="700"/>
      <c r="K540" s="701"/>
      <c r="L540" s="700"/>
      <c r="M540" s="700"/>
      <c r="N540" s="701"/>
      <c r="O540" s="700"/>
      <c r="P540" s="700"/>
      <c r="Q540" s="701"/>
      <c r="R540" s="700"/>
      <c r="S540" s="700"/>
      <c r="T540" s="561"/>
      <c r="U540" s="561"/>
      <c r="V540" s="561"/>
      <c r="W540" s="5"/>
    </row>
    <row r="541" spans="2:23" s="69" customFormat="1" ht="15" x14ac:dyDescent="0.25">
      <c r="B541" s="5"/>
      <c r="C541" s="561"/>
      <c r="D541" s="561"/>
      <c r="H541" s="572" t="s">
        <v>1017</v>
      </c>
      <c r="I541" s="572" t="s">
        <v>690</v>
      </c>
      <c r="J541" s="572" t="s">
        <v>691</v>
      </c>
      <c r="K541" s="572" t="s">
        <v>1020</v>
      </c>
      <c r="L541" s="572" t="s">
        <v>693</v>
      </c>
      <c r="M541" s="572" t="s">
        <v>694</v>
      </c>
      <c r="N541" s="572" t="s">
        <v>1023</v>
      </c>
      <c r="O541" s="572" t="s">
        <v>1024</v>
      </c>
      <c r="P541" s="572" t="s">
        <v>1025</v>
      </c>
      <c r="Q541" s="572" t="s">
        <v>1028</v>
      </c>
      <c r="R541" s="572" t="s">
        <v>1029</v>
      </c>
      <c r="S541" s="572" t="s">
        <v>1030</v>
      </c>
      <c r="T541" s="561"/>
      <c r="U541" s="561"/>
      <c r="V541" s="561"/>
      <c r="W541" s="5"/>
    </row>
    <row r="542" spans="2:23" s="69" customFormat="1" ht="15" x14ac:dyDescent="0.25">
      <c r="B542" s="5"/>
      <c r="C542" s="561"/>
      <c r="D542" s="561"/>
      <c r="E542" s="561"/>
      <c r="F542" s="561"/>
      <c r="G542" s="570"/>
      <c r="T542" s="561"/>
      <c r="U542" s="561"/>
      <c r="V542" s="561"/>
      <c r="W542" s="5"/>
    </row>
    <row r="543" spans="2:23" s="69" customFormat="1" ht="15" x14ac:dyDescent="0.25">
      <c r="B543" s="5"/>
      <c r="C543" s="561"/>
      <c r="D543" s="561"/>
      <c r="E543" s="561"/>
      <c r="F543" s="561"/>
      <c r="G543" s="561"/>
      <c r="H543" s="561"/>
      <c r="I543" s="561"/>
      <c r="J543" s="561"/>
      <c r="K543" s="561"/>
      <c r="L543" s="561"/>
      <c r="M543" s="561"/>
      <c r="N543" s="561"/>
      <c r="O543" s="561"/>
      <c r="P543" s="561"/>
      <c r="Q543" s="561"/>
      <c r="R543" s="561"/>
      <c r="S543" s="561"/>
      <c r="T543" s="561"/>
      <c r="U543" s="561"/>
      <c r="V543" s="561"/>
      <c r="W543" s="5"/>
    </row>
    <row r="544" spans="2:23" s="69" customFormat="1" ht="15" x14ac:dyDescent="0.25">
      <c r="B544" s="5"/>
      <c r="C544" s="561"/>
      <c r="D544" s="561"/>
      <c r="E544" s="561"/>
      <c r="F544" s="561"/>
      <c r="G544" s="561"/>
      <c r="H544" s="561"/>
      <c r="I544" s="561"/>
      <c r="J544" s="561"/>
      <c r="K544" s="561"/>
      <c r="L544" s="561"/>
      <c r="M544" s="561"/>
      <c r="N544" s="561"/>
      <c r="O544" s="561"/>
      <c r="P544" s="561"/>
      <c r="Q544" s="561"/>
      <c r="R544" s="561"/>
      <c r="S544" s="561"/>
      <c r="T544" s="561"/>
      <c r="U544" s="561"/>
      <c r="V544" s="561"/>
      <c r="W544" s="5"/>
    </row>
    <row r="545" spans="2:23" s="69" customFormat="1" ht="15" x14ac:dyDescent="0.25">
      <c r="B545" s="5"/>
      <c r="C545" s="561"/>
      <c r="D545" s="73"/>
      <c r="E545" s="73"/>
      <c r="F545" s="73"/>
      <c r="G545" s="73"/>
      <c r="H545" s="73" t="str">
        <f>H533</f>
        <v>Q1 - booking</v>
      </c>
      <c r="I545" s="73" t="str">
        <f>K533</f>
        <v>Q2 - delivery</v>
      </c>
      <c r="J545" s="73" t="str">
        <f>N533</f>
        <v>Q3 - 12 week check</v>
      </c>
      <c r="K545" s="73" t="str">
        <f>Q533</f>
        <v>Q4 - in the home</v>
      </c>
      <c r="L545" s="73"/>
      <c r="M545" s="73" t="s">
        <v>537</v>
      </c>
      <c r="N545" s="73"/>
      <c r="O545" s="73"/>
      <c r="P545" s="73"/>
      <c r="Q545" s="73"/>
      <c r="R545" s="73" t="s">
        <v>538</v>
      </c>
      <c r="S545" s="73"/>
      <c r="T545" s="73"/>
      <c r="U545" s="73"/>
      <c r="V545" s="561"/>
      <c r="W545" s="5"/>
    </row>
    <row r="546" spans="2:23" s="69" customFormat="1" ht="15" x14ac:dyDescent="0.25">
      <c r="B546" s="5"/>
      <c r="C546" s="561"/>
      <c r="D546" s="73"/>
      <c r="E546" s="73"/>
      <c r="F546" s="73"/>
      <c r="G546" s="73" t="str">
        <f>D535</f>
        <v>Kingston Buci</v>
      </c>
      <c r="H546" s="291">
        <f>H535</f>
        <v>0.15384615384615385</v>
      </c>
      <c r="I546" s="291">
        <f>K535</f>
        <v>9.6153846153846159E-2</v>
      </c>
      <c r="J546" s="291">
        <f>N535</f>
        <v>9.6153846153846159E-2</v>
      </c>
      <c r="K546" s="291">
        <f>Q535</f>
        <v>0.17647058823529413</v>
      </c>
      <c r="L546" s="73"/>
      <c r="M546" s="291">
        <f>H546-H550</f>
        <v>7.3769303678350648E-2</v>
      </c>
      <c r="N546" s="291">
        <f t="shared" ref="N546:P546" si="7">I546-I550</f>
        <v>5.4379495101273684E-2</v>
      </c>
      <c r="O546" s="291">
        <f t="shared" si="7"/>
        <v>5.4379495101273684E-2</v>
      </c>
      <c r="P546" s="291">
        <f t="shared" si="7"/>
        <v>8.0746553544030958E-2</v>
      </c>
      <c r="Q546" s="73"/>
      <c r="R546" s="291">
        <f>N550-H546</f>
        <v>0.1213946979179476</v>
      </c>
      <c r="S546" s="291">
        <f t="shared" ref="S546:U546" si="8">O550-I546</f>
        <v>0.10994245504747018</v>
      </c>
      <c r="T546" s="291">
        <f t="shared" si="8"/>
        <v>0.10994245504747018</v>
      </c>
      <c r="U546" s="291">
        <f t="shared" si="8"/>
        <v>0.12607083700778657</v>
      </c>
      <c r="V546" s="561"/>
      <c r="W546" s="5"/>
    </row>
    <row r="547" spans="2:23" s="69" customFormat="1" ht="15" x14ac:dyDescent="0.25">
      <c r="B547" s="5"/>
      <c r="C547" s="561"/>
      <c r="D547" s="73"/>
      <c r="E547" s="73"/>
      <c r="F547" s="73"/>
      <c r="G547" s="73" t="str">
        <f>D537</f>
        <v>Stepping Stones</v>
      </c>
      <c r="H547" s="291">
        <f>H537</f>
        <v>0.13793103448275862</v>
      </c>
      <c r="I547" s="291">
        <f>K537</f>
        <v>0.10344827586206896</v>
      </c>
      <c r="J547" s="291">
        <f>N537</f>
        <v>0.17241379310344829</v>
      </c>
      <c r="K547" s="291">
        <f>Q537</f>
        <v>0.27586206896551724</v>
      </c>
      <c r="L547" s="73"/>
      <c r="M547" s="291">
        <f t="shared" ref="M547:M548" si="9">H547-H551</f>
        <v>8.2956634841638982E-2</v>
      </c>
      <c r="N547" s="291">
        <f t="shared" ref="N547:N548" si="10">I547-I551</f>
        <v>6.7633384511391906E-2</v>
      </c>
      <c r="O547" s="291">
        <f t="shared" ref="O547:O548" si="11">J547-J551</f>
        <v>9.6435220574536018E-2</v>
      </c>
      <c r="P547" s="291">
        <f t="shared" ref="P547:P548" si="12">K547-K551</f>
        <v>0.1288745179446377</v>
      </c>
      <c r="Q547" s="73"/>
      <c r="R547" s="291">
        <f t="shared" ref="R547:R548" si="13">N551-H547</f>
        <v>0.16765890272076156</v>
      </c>
      <c r="S547" s="291">
        <f t="shared" ref="S547:S548" si="14">O551-I547</f>
        <v>0.16040253504566904</v>
      </c>
      <c r="T547" s="291">
        <f t="shared" ref="T547:T548" si="15">P551-J547</f>
        <v>0.17307060579850408</v>
      </c>
      <c r="U547" s="291">
        <f t="shared" ref="U547:U548" si="16">Q551-K547</f>
        <v>0.18130925520314212</v>
      </c>
      <c r="V547" s="561"/>
      <c r="W547" s="5"/>
    </row>
    <row r="548" spans="2:23" s="69" customFormat="1" ht="15" x14ac:dyDescent="0.25">
      <c r="B548" s="5"/>
      <c r="C548" s="561"/>
      <c r="D548" s="73"/>
      <c r="E548" s="73"/>
      <c r="F548" s="73"/>
      <c r="G548" s="73" t="s">
        <v>292</v>
      </c>
      <c r="H548" s="291">
        <f>H539</f>
        <v>0.10983191342390053</v>
      </c>
      <c r="I548" s="291">
        <f>K539</f>
        <v>8.4273543633433104E-2</v>
      </c>
      <c r="J548" s="291">
        <f>N539</f>
        <v>9.8656785548865214E-2</v>
      </c>
      <c r="K548" s="291">
        <f>Q539</f>
        <v>0.19104829210836277</v>
      </c>
      <c r="L548" s="73"/>
      <c r="M548" s="291">
        <f t="shared" si="9"/>
        <v>8.9568461686624079E-3</v>
      </c>
      <c r="N548" s="291">
        <f t="shared" si="10"/>
        <v>7.8990577140188173E-3</v>
      </c>
      <c r="O548" s="291">
        <f t="shared" si="11"/>
        <v>8.5408406599911529E-3</v>
      </c>
      <c r="P548" s="291">
        <f t="shared" si="12"/>
        <v>1.1544739047971875E-2</v>
      </c>
      <c r="Q548" s="73"/>
      <c r="R548" s="291">
        <f t="shared" si="13"/>
        <v>9.6464570743878264E-3</v>
      </c>
      <c r="S548" s="291">
        <f t="shared" si="14"/>
        <v>8.6338423055132424E-3</v>
      </c>
      <c r="T548" s="291">
        <f t="shared" si="15"/>
        <v>9.2543066424752712E-3</v>
      </c>
      <c r="U548" s="291">
        <f t="shared" si="16"/>
        <v>1.210339734339258E-2</v>
      </c>
      <c r="V548" s="561"/>
      <c r="W548" s="5"/>
    </row>
    <row r="549" spans="2:23" s="69" customFormat="1" ht="15" x14ac:dyDescent="0.25">
      <c r="B549" s="5"/>
      <c r="C549" s="561"/>
      <c r="D549" s="73"/>
      <c r="E549" s="73"/>
      <c r="F549" s="73"/>
      <c r="G549" s="73"/>
      <c r="H549" s="291"/>
      <c r="I549" s="291"/>
      <c r="J549" s="291"/>
      <c r="K549" s="291"/>
      <c r="L549" s="73"/>
      <c r="M549" s="73"/>
      <c r="N549" s="73"/>
      <c r="O549" s="73"/>
      <c r="P549" s="73"/>
      <c r="Q549" s="73"/>
      <c r="R549" s="73"/>
      <c r="S549" s="73"/>
      <c r="T549" s="73"/>
      <c r="U549" s="73"/>
      <c r="V549" s="561"/>
      <c r="W549" s="5"/>
    </row>
    <row r="550" spans="2:23" s="69" customFormat="1" ht="15" x14ac:dyDescent="0.25">
      <c r="B550" s="5"/>
      <c r="C550" s="561"/>
      <c r="D550" s="73"/>
      <c r="E550" s="73"/>
      <c r="F550" s="73"/>
      <c r="G550" s="73"/>
      <c r="H550" s="292">
        <f>I535</f>
        <v>8.0076850167803207E-2</v>
      </c>
      <c r="I550" s="292">
        <f>L535</f>
        <v>4.1774351052572475E-2</v>
      </c>
      <c r="J550" s="292">
        <f>O535</f>
        <v>4.1774351052572475E-2</v>
      </c>
      <c r="K550" s="292">
        <f>R535</f>
        <v>9.5724034691263171E-2</v>
      </c>
      <c r="L550" s="73"/>
      <c r="M550" s="73"/>
      <c r="N550" s="291">
        <f>J535</f>
        <v>0.27524085176410146</v>
      </c>
      <c r="O550" s="291">
        <f>M535</f>
        <v>0.20609630120131633</v>
      </c>
      <c r="P550" s="291">
        <f>P535</f>
        <v>0.20609630120131633</v>
      </c>
      <c r="Q550" s="291">
        <f>S535</f>
        <v>0.3025414252430807</v>
      </c>
      <c r="R550" s="73"/>
      <c r="S550" s="73"/>
      <c r="T550" s="73"/>
      <c r="U550" s="73"/>
      <c r="V550" s="561"/>
      <c r="W550" s="5"/>
    </row>
    <row r="551" spans="2:23" s="69" customFormat="1" ht="15" x14ac:dyDescent="0.25">
      <c r="B551" s="5"/>
      <c r="C551" s="561"/>
      <c r="D551" s="73"/>
      <c r="E551" s="73"/>
      <c r="F551" s="73"/>
      <c r="G551" s="73"/>
      <c r="H551" s="292">
        <f>I537</f>
        <v>5.4974399641119644E-2</v>
      </c>
      <c r="I551" s="292">
        <f>L537</f>
        <v>3.5814891350677058E-2</v>
      </c>
      <c r="J551" s="292">
        <f>O537</f>
        <v>7.5978572528912269E-2</v>
      </c>
      <c r="K551" s="292">
        <f>R537</f>
        <v>0.14698755102087954</v>
      </c>
      <c r="L551" s="73"/>
      <c r="M551" s="73"/>
      <c r="N551" s="291">
        <f>J537</f>
        <v>0.30558993720352018</v>
      </c>
      <c r="O551" s="291">
        <f>M537</f>
        <v>0.26385081090773799</v>
      </c>
      <c r="P551" s="291">
        <f>P537</f>
        <v>0.34548439890195237</v>
      </c>
      <c r="Q551" s="291">
        <f>S537</f>
        <v>0.45717132416865935</v>
      </c>
      <c r="R551" s="73"/>
      <c r="S551" s="73"/>
      <c r="T551" s="73"/>
      <c r="U551" s="73"/>
      <c r="V551" s="561"/>
      <c r="W551" s="5"/>
    </row>
    <row r="552" spans="2:23" s="69" customFormat="1" ht="15" x14ac:dyDescent="0.25">
      <c r="B552" s="5"/>
      <c r="C552" s="561"/>
      <c r="D552" s="73"/>
      <c r="E552" s="73"/>
      <c r="F552" s="73"/>
      <c r="G552" s="73"/>
      <c r="H552" s="292">
        <f>I539</f>
        <v>0.10087506725523812</v>
      </c>
      <c r="I552" s="292">
        <f>L539</f>
        <v>7.6374485919414287E-2</v>
      </c>
      <c r="J552" s="292">
        <f>O539</f>
        <v>9.0115944888874061E-2</v>
      </c>
      <c r="K552" s="292">
        <f>R539</f>
        <v>0.1795035530603909</v>
      </c>
      <c r="L552" s="73"/>
      <c r="M552" s="73"/>
      <c r="N552" s="291">
        <f>J539</f>
        <v>0.11947837049828836</v>
      </c>
      <c r="O552" s="291">
        <f>M539</f>
        <v>9.2907385938946346E-2</v>
      </c>
      <c r="P552" s="291">
        <f>P539</f>
        <v>0.10791109219134049</v>
      </c>
      <c r="Q552" s="291">
        <f>S539</f>
        <v>0.20315168945175535</v>
      </c>
      <c r="R552" s="73"/>
      <c r="S552" s="73"/>
      <c r="T552" s="73"/>
      <c r="U552" s="73"/>
      <c r="V552" s="561"/>
      <c r="W552" s="5"/>
    </row>
    <row r="553" spans="2:23" s="69" customFormat="1" ht="15" x14ac:dyDescent="0.25">
      <c r="B553" s="5"/>
      <c r="C553" s="561"/>
      <c r="D553" s="73"/>
      <c r="E553" s="73"/>
      <c r="F553" s="73"/>
      <c r="G553" s="73"/>
      <c r="H553" s="292"/>
      <c r="I553" s="292"/>
      <c r="J553" s="292"/>
      <c r="K553" s="292"/>
      <c r="L553" s="73"/>
      <c r="M553" s="73"/>
      <c r="N553" s="291"/>
      <c r="O553" s="291"/>
      <c r="P553" s="291"/>
      <c r="Q553" s="291"/>
      <c r="R553" s="73"/>
      <c r="S553" s="73"/>
      <c r="T553" s="73"/>
      <c r="U553" s="73"/>
      <c r="V553" s="561"/>
      <c r="W553" s="5"/>
    </row>
    <row r="554" spans="2:23" s="69" customFormat="1" ht="15" x14ac:dyDescent="0.25">
      <c r="B554" s="5"/>
      <c r="C554" s="561"/>
      <c r="D554" s="561"/>
      <c r="E554" s="561"/>
      <c r="F554" s="561"/>
      <c r="G554" s="561"/>
      <c r="L554" s="561"/>
      <c r="M554" s="561"/>
      <c r="R554" s="561"/>
      <c r="S554" s="561"/>
      <c r="T554" s="561"/>
      <c r="U554" s="561"/>
      <c r="V554" s="561"/>
      <c r="W554" s="5"/>
    </row>
    <row r="555" spans="2:23" s="69" customFormat="1" ht="15" x14ac:dyDescent="0.25">
      <c r="B555" s="5"/>
      <c r="C555" s="561"/>
      <c r="D555" s="561"/>
      <c r="E555" s="561"/>
      <c r="F555" s="561"/>
      <c r="G555" s="561"/>
      <c r="H555" s="573"/>
      <c r="I555" s="573"/>
      <c r="J555" s="573"/>
      <c r="K555" s="573"/>
      <c r="L555" s="561"/>
      <c r="M555" s="561"/>
      <c r="N555" s="561"/>
      <c r="O555" s="561"/>
      <c r="P555" s="561"/>
      <c r="Q555" s="561"/>
      <c r="R555" s="561"/>
      <c r="S555" s="561"/>
      <c r="T555" s="561"/>
      <c r="U555" s="561"/>
      <c r="V555" s="561"/>
      <c r="W555" s="5"/>
    </row>
    <row r="556" spans="2:23" s="69" customFormat="1" ht="15" x14ac:dyDescent="0.25">
      <c r="B556" s="5"/>
      <c r="C556" s="561"/>
      <c r="D556" s="561"/>
      <c r="E556" s="561"/>
      <c r="F556" s="561"/>
      <c r="G556" s="561"/>
      <c r="H556" s="561"/>
      <c r="I556" s="561"/>
      <c r="J556" s="561"/>
      <c r="K556" s="561"/>
      <c r="L556" s="561"/>
      <c r="M556" s="561"/>
      <c r="N556" s="561"/>
      <c r="O556" s="561"/>
      <c r="P556" s="561"/>
      <c r="Q556" s="561"/>
      <c r="R556" s="561"/>
      <c r="S556" s="561"/>
      <c r="T556" s="561"/>
      <c r="U556" s="561"/>
      <c r="V556" s="561"/>
      <c r="W556" s="5"/>
    </row>
    <row r="557" spans="2:23" s="69" customFormat="1" ht="15" x14ac:dyDescent="0.25">
      <c r="B557" s="5"/>
      <c r="C557" s="561"/>
      <c r="D557" s="561"/>
      <c r="E557" s="561"/>
      <c r="F557" s="561"/>
      <c r="G557" s="561"/>
      <c r="H557" s="561"/>
      <c r="I557" s="561"/>
      <c r="J557" s="561"/>
      <c r="K557" s="561"/>
      <c r="L557" s="561"/>
      <c r="M557" s="561"/>
      <c r="N557" s="561"/>
      <c r="O557" s="561"/>
      <c r="P557" s="561"/>
      <c r="Q557" s="561"/>
      <c r="R557" s="561"/>
      <c r="S557" s="561"/>
      <c r="T557" s="561"/>
      <c r="U557" s="561"/>
      <c r="V557" s="561"/>
      <c r="W557" s="5"/>
    </row>
    <row r="558" spans="2:23" s="69" customFormat="1" ht="15" x14ac:dyDescent="0.25">
      <c r="B558" s="5"/>
      <c r="C558" s="561"/>
      <c r="D558" s="561"/>
      <c r="E558" s="561"/>
      <c r="F558" s="561"/>
      <c r="G558" s="561"/>
      <c r="H558" s="561"/>
      <c r="I558" s="561"/>
      <c r="J558" s="561"/>
      <c r="K558" s="561"/>
      <c r="L558" s="561"/>
      <c r="M558" s="561"/>
      <c r="N558" s="561"/>
      <c r="O558" s="561"/>
      <c r="P558" s="561"/>
      <c r="Q558" s="561"/>
      <c r="R558" s="561"/>
      <c r="S558" s="561"/>
      <c r="T558" s="561"/>
      <c r="U558" s="561"/>
      <c r="V558" s="561"/>
      <c r="W558" s="5"/>
    </row>
    <row r="559" spans="2:23" s="69" customFormat="1" ht="15" x14ac:dyDescent="0.25">
      <c r="B559" s="5"/>
      <c r="C559" s="561"/>
      <c r="D559" s="561"/>
      <c r="E559" s="561"/>
      <c r="F559" s="561"/>
      <c r="G559" s="561"/>
      <c r="H559" s="561"/>
      <c r="I559" s="561"/>
      <c r="J559" s="561"/>
      <c r="K559" s="561"/>
      <c r="L559" s="561"/>
      <c r="M559" s="561"/>
      <c r="N559" s="561"/>
      <c r="O559" s="561"/>
      <c r="P559" s="561"/>
      <c r="Q559" s="561"/>
      <c r="R559" s="561"/>
      <c r="S559" s="561"/>
      <c r="T559" s="561"/>
      <c r="U559" s="561"/>
      <c r="V559" s="561"/>
      <c r="W559" s="5"/>
    </row>
    <row r="560" spans="2:23" s="69" customFormat="1" ht="15" x14ac:dyDescent="0.25">
      <c r="B560" s="5"/>
      <c r="C560" s="561"/>
      <c r="D560" s="561"/>
      <c r="E560" s="561"/>
      <c r="F560" s="561"/>
      <c r="G560" s="561"/>
      <c r="H560" s="561"/>
      <c r="I560" s="561"/>
      <c r="J560" s="561"/>
      <c r="K560" s="561"/>
      <c r="L560" s="561"/>
      <c r="M560" s="561"/>
      <c r="N560" s="561"/>
      <c r="O560" s="561"/>
      <c r="P560" s="561"/>
      <c r="Q560" s="561"/>
      <c r="R560" s="561"/>
      <c r="S560" s="561"/>
      <c r="T560" s="561"/>
      <c r="U560" s="561"/>
      <c r="V560" s="561"/>
      <c r="W560" s="5"/>
    </row>
    <row r="561" spans="2:23" s="69" customFormat="1" ht="15" x14ac:dyDescent="0.25">
      <c r="B561" s="5"/>
      <c r="C561" s="561"/>
      <c r="D561" s="561"/>
      <c r="E561" s="561"/>
      <c r="F561" s="561"/>
      <c r="G561" s="561"/>
      <c r="H561" s="561"/>
      <c r="I561" s="561"/>
      <c r="J561" s="561"/>
      <c r="K561" s="561"/>
      <c r="L561" s="561"/>
      <c r="M561" s="561"/>
      <c r="N561" s="561"/>
      <c r="O561" s="561"/>
      <c r="P561" s="561"/>
      <c r="Q561" s="561"/>
      <c r="R561" s="561"/>
      <c r="S561" s="561"/>
      <c r="T561" s="561"/>
      <c r="U561" s="561"/>
      <c r="V561" s="561"/>
      <c r="W561" s="5"/>
    </row>
    <row r="562" spans="2:23" ht="15" x14ac:dyDescent="0.25">
      <c r="B562" s="5"/>
      <c r="C562" s="5"/>
      <c r="D562" s="5"/>
      <c r="E562" s="5"/>
      <c r="F562" s="5"/>
      <c r="G562" s="5"/>
      <c r="H562" s="5"/>
      <c r="I562" s="5"/>
      <c r="J562" s="5"/>
      <c r="K562" s="5"/>
      <c r="L562" s="5"/>
      <c r="M562" s="5"/>
      <c r="N562" s="5"/>
      <c r="O562" s="5"/>
      <c r="P562" s="5"/>
      <c r="Q562" s="5"/>
      <c r="R562" s="5"/>
      <c r="S562" s="5"/>
      <c r="T562" s="5"/>
      <c r="U562" s="5"/>
      <c r="V562" s="5"/>
      <c r="W562" s="5"/>
    </row>
    <row r="563" spans="2:23" ht="15" x14ac:dyDescent="0.25">
      <c r="B563" s="5"/>
      <c r="C563" s="5"/>
      <c r="D563" s="5"/>
      <c r="E563" s="5"/>
      <c r="F563" s="5"/>
      <c r="G563" s="5"/>
      <c r="H563" s="5"/>
      <c r="I563" s="5"/>
      <c r="J563" s="5"/>
      <c r="K563" s="5"/>
      <c r="L563" s="5"/>
      <c r="M563" s="5"/>
      <c r="N563" s="5"/>
      <c r="O563" s="5"/>
      <c r="P563" s="5"/>
      <c r="Q563" s="5"/>
      <c r="R563" s="5"/>
      <c r="S563" s="5"/>
      <c r="T563" s="5"/>
      <c r="U563" s="5"/>
      <c r="V563" s="5"/>
      <c r="W563" s="5"/>
    </row>
    <row r="564" spans="2:23" ht="15" x14ac:dyDescent="0.25">
      <c r="B564" s="5"/>
      <c r="C564" s="165"/>
      <c r="D564" s="165"/>
      <c r="E564" s="165"/>
      <c r="F564" s="165"/>
      <c r="G564" s="165"/>
      <c r="H564" s="165"/>
      <c r="I564" s="165"/>
      <c r="J564" s="165"/>
      <c r="K564" s="165"/>
      <c r="L564" s="165"/>
      <c r="M564" s="165"/>
      <c r="N564" s="165"/>
      <c r="O564" s="165"/>
      <c r="P564" s="165"/>
      <c r="Q564" s="165"/>
      <c r="R564" s="165"/>
      <c r="S564" s="165"/>
      <c r="T564" s="165"/>
      <c r="U564" s="165"/>
      <c r="V564" s="165"/>
      <c r="W564" s="5"/>
    </row>
    <row r="565" spans="2:23" ht="15" x14ac:dyDescent="0.25">
      <c r="B565" s="5"/>
      <c r="C565" s="165"/>
      <c r="D565" s="165"/>
      <c r="E565" s="165"/>
      <c r="F565" s="165"/>
      <c r="G565" s="165"/>
      <c r="H565" s="165"/>
      <c r="I565" s="165"/>
      <c r="J565" s="165"/>
      <c r="K565" s="165"/>
      <c r="L565" s="165"/>
      <c r="M565" s="165"/>
      <c r="N565" s="165"/>
      <c r="O565" s="165"/>
      <c r="P565" s="165"/>
      <c r="Q565" s="165"/>
      <c r="R565" s="165"/>
      <c r="S565" s="165"/>
      <c r="T565" s="165"/>
      <c r="U565" s="165"/>
      <c r="V565" s="165"/>
      <c r="W565" s="5"/>
    </row>
    <row r="566" spans="2:23" ht="15" x14ac:dyDescent="0.25">
      <c r="B566" s="5"/>
      <c r="C566" s="165"/>
      <c r="D566" s="165"/>
      <c r="E566" s="165"/>
      <c r="F566" s="165"/>
      <c r="G566" s="165"/>
      <c r="H566" s="165"/>
      <c r="I566" s="165"/>
      <c r="J566" s="165"/>
      <c r="K566" s="165"/>
      <c r="L566" s="165"/>
      <c r="M566" s="165"/>
      <c r="N566" s="165"/>
      <c r="O566" s="165"/>
      <c r="P566" s="165"/>
      <c r="Q566" s="165"/>
      <c r="R566" s="165"/>
      <c r="S566" s="165"/>
      <c r="T566" s="165"/>
      <c r="U566" s="165"/>
      <c r="V566" s="165"/>
      <c r="W566" s="5"/>
    </row>
    <row r="567" spans="2:23" ht="15" x14ac:dyDescent="0.25">
      <c r="B567" s="5"/>
      <c r="C567" s="165"/>
      <c r="D567" s="165"/>
      <c r="E567" s="165"/>
      <c r="F567" s="165"/>
      <c r="G567" s="165"/>
      <c r="H567" s="165"/>
      <c r="I567" s="165"/>
      <c r="J567" s="165"/>
      <c r="K567" s="165"/>
      <c r="L567" s="165"/>
      <c r="M567" s="165"/>
      <c r="N567" s="165"/>
      <c r="O567" s="165"/>
      <c r="P567" s="165"/>
      <c r="Q567" s="165"/>
      <c r="R567" s="165"/>
      <c r="S567" s="165"/>
      <c r="T567" s="165"/>
      <c r="U567" s="165"/>
      <c r="V567" s="165"/>
      <c r="W567" s="5"/>
    </row>
    <row r="568" spans="2:23" ht="15" x14ac:dyDescent="0.25">
      <c r="B568" s="5"/>
      <c r="C568" s="165"/>
      <c r="D568" s="165"/>
      <c r="E568" s="165"/>
      <c r="F568" s="165"/>
      <c r="G568" s="165"/>
      <c r="H568" s="165"/>
      <c r="I568" s="165"/>
      <c r="J568" s="165"/>
      <c r="K568" s="165"/>
      <c r="L568" s="165"/>
      <c r="M568" s="165"/>
      <c r="N568" s="165"/>
      <c r="O568" s="165"/>
      <c r="P568" s="165"/>
      <c r="Q568" s="165"/>
      <c r="R568" s="165"/>
      <c r="S568" s="165"/>
      <c r="T568" s="165"/>
      <c r="U568" s="165"/>
      <c r="V568" s="165"/>
      <c r="W568" s="5"/>
    </row>
    <row r="569" spans="2:23" ht="15" x14ac:dyDescent="0.25">
      <c r="B569" s="5"/>
      <c r="C569" s="165"/>
      <c r="D569" s="165"/>
      <c r="E569" s="165"/>
      <c r="F569" s="165"/>
      <c r="G569" s="165"/>
      <c r="H569" s="165"/>
      <c r="I569" s="165"/>
      <c r="J569" s="165"/>
      <c r="K569" s="165"/>
      <c r="L569" s="165"/>
      <c r="M569" s="165"/>
      <c r="N569" s="165"/>
      <c r="O569" s="165"/>
      <c r="P569" s="165"/>
      <c r="Q569" s="165"/>
      <c r="R569" s="165"/>
      <c r="S569" s="165"/>
      <c r="T569" s="165"/>
      <c r="U569" s="165"/>
      <c r="V569" s="165"/>
      <c r="W569" s="5"/>
    </row>
    <row r="570" spans="2:23" ht="15" x14ac:dyDescent="0.25">
      <c r="B570" s="5"/>
      <c r="C570" s="165"/>
      <c r="D570" s="165"/>
      <c r="E570" s="165"/>
      <c r="F570" s="165"/>
      <c r="G570" s="165"/>
      <c r="H570" s="165"/>
      <c r="I570" s="165"/>
      <c r="J570" s="165"/>
      <c r="K570" s="165"/>
      <c r="L570" s="165"/>
      <c r="M570" s="165"/>
      <c r="N570" s="165"/>
      <c r="O570" s="165"/>
      <c r="P570" s="165"/>
      <c r="Q570" s="165"/>
      <c r="R570" s="165"/>
      <c r="S570" s="165"/>
      <c r="T570" s="165"/>
      <c r="U570" s="165"/>
      <c r="V570" s="165"/>
      <c r="W570" s="5"/>
    </row>
    <row r="571" spans="2:23" ht="15" x14ac:dyDescent="0.25">
      <c r="B571" s="5"/>
      <c r="C571" s="165"/>
      <c r="D571" s="165"/>
      <c r="E571" s="165"/>
      <c r="F571" s="165"/>
      <c r="G571" s="165"/>
      <c r="H571" s="165"/>
      <c r="I571" s="165"/>
      <c r="J571" s="165"/>
      <c r="K571" s="165"/>
      <c r="L571" s="165"/>
      <c r="M571" s="165"/>
      <c r="N571" s="165"/>
      <c r="O571" s="165"/>
      <c r="P571" s="165"/>
      <c r="Q571" s="165"/>
      <c r="R571" s="165"/>
      <c r="S571" s="165"/>
      <c r="T571" s="165"/>
      <c r="U571" s="165"/>
      <c r="V571" s="165"/>
      <c r="W571" s="5"/>
    </row>
    <row r="572" spans="2:23" ht="15" x14ac:dyDescent="0.25">
      <c r="B572" s="5"/>
      <c r="C572" s="165"/>
      <c r="D572" s="165"/>
      <c r="E572" s="165"/>
      <c r="F572" s="165"/>
      <c r="G572" s="165"/>
      <c r="H572" s="165"/>
      <c r="I572" s="165"/>
      <c r="J572" s="165"/>
      <c r="K572" s="165"/>
      <c r="L572" s="165"/>
      <c r="M572" s="165"/>
      <c r="N572" s="165"/>
      <c r="O572" s="165"/>
      <c r="P572" s="165"/>
      <c r="Q572" s="165"/>
      <c r="R572" s="165"/>
      <c r="S572" s="165"/>
      <c r="T572" s="165"/>
      <c r="U572" s="165"/>
      <c r="V572" s="165"/>
      <c r="W572" s="5"/>
    </row>
    <row r="573" spans="2:23" ht="15" x14ac:dyDescent="0.25">
      <c r="B573" s="5"/>
      <c r="C573" s="165"/>
      <c r="D573" s="165"/>
      <c r="E573" s="165"/>
      <c r="F573" s="165"/>
      <c r="G573" s="165"/>
      <c r="H573" s="165"/>
      <c r="I573" s="165"/>
      <c r="J573" s="165"/>
      <c r="K573" s="165"/>
      <c r="L573" s="165"/>
      <c r="M573" s="165"/>
      <c r="N573" s="165"/>
      <c r="O573" s="165"/>
      <c r="P573" s="165"/>
      <c r="Q573" s="165"/>
      <c r="R573" s="165"/>
      <c r="S573" s="165"/>
      <c r="T573" s="165"/>
      <c r="U573" s="165"/>
      <c r="V573" s="165"/>
      <c r="W573" s="5"/>
    </row>
    <row r="574" spans="2:23" ht="15" x14ac:dyDescent="0.25">
      <c r="B574" s="5"/>
      <c r="C574" s="165"/>
      <c r="D574" s="165"/>
      <c r="E574" s="165"/>
      <c r="F574" s="165"/>
      <c r="G574" s="165"/>
      <c r="H574" s="165"/>
      <c r="I574" s="165"/>
      <c r="J574" s="165"/>
      <c r="K574" s="165"/>
      <c r="L574" s="165"/>
      <c r="M574" s="165"/>
      <c r="N574" s="165"/>
      <c r="O574" s="165"/>
      <c r="P574" s="165"/>
      <c r="Q574" s="165"/>
      <c r="R574" s="165"/>
      <c r="S574" s="165"/>
      <c r="T574" s="165"/>
      <c r="U574" s="165"/>
      <c r="V574" s="165"/>
      <c r="W574" s="5"/>
    </row>
    <row r="575" spans="2:23" ht="15" x14ac:dyDescent="0.25">
      <c r="B575" s="5"/>
      <c r="C575" s="165"/>
      <c r="D575" s="165"/>
      <c r="E575" s="165"/>
      <c r="F575" s="165"/>
      <c r="G575" s="165"/>
      <c r="H575" s="165"/>
      <c r="I575" s="165"/>
      <c r="J575" s="165"/>
      <c r="K575" s="165"/>
      <c r="L575" s="165"/>
      <c r="M575" s="165"/>
      <c r="N575" s="165"/>
      <c r="O575" s="165"/>
      <c r="P575" s="165"/>
      <c r="Q575" s="165"/>
      <c r="R575" s="165"/>
      <c r="S575" s="165"/>
      <c r="T575" s="165"/>
      <c r="U575" s="165"/>
      <c r="V575" s="165"/>
      <c r="W575" s="5"/>
    </row>
    <row r="576" spans="2:23" ht="15" x14ac:dyDescent="0.25">
      <c r="B576" s="5"/>
      <c r="C576" s="165"/>
      <c r="D576" s="165"/>
      <c r="E576" s="165"/>
      <c r="F576" s="165"/>
      <c r="G576" s="165"/>
      <c r="H576" s="165"/>
      <c r="I576" s="165"/>
      <c r="J576" s="165"/>
      <c r="K576" s="165"/>
      <c r="L576" s="165"/>
      <c r="M576" s="165"/>
      <c r="N576" s="165"/>
      <c r="O576" s="165"/>
      <c r="P576" s="165"/>
      <c r="Q576" s="165"/>
      <c r="R576" s="165"/>
      <c r="S576" s="165"/>
      <c r="T576" s="165"/>
      <c r="U576" s="165"/>
      <c r="V576" s="165"/>
      <c r="W576" s="5"/>
    </row>
    <row r="577" spans="2:23" ht="15" x14ac:dyDescent="0.25">
      <c r="B577" s="5"/>
      <c r="C577" s="165"/>
      <c r="D577" s="165"/>
      <c r="E577" s="165"/>
      <c r="F577" s="165"/>
      <c r="G577" s="165"/>
      <c r="H577" s="165"/>
      <c r="I577" s="165"/>
      <c r="J577" s="165"/>
      <c r="K577" s="165"/>
      <c r="L577" s="165"/>
      <c r="M577" s="165"/>
      <c r="N577" s="165"/>
      <c r="O577" s="165"/>
      <c r="P577" s="165"/>
      <c r="Q577" s="165"/>
      <c r="R577" s="165"/>
      <c r="S577" s="165"/>
      <c r="T577" s="165"/>
      <c r="U577" s="165"/>
      <c r="V577" s="165"/>
      <c r="W577" s="5"/>
    </row>
    <row r="578" spans="2:23" ht="15" x14ac:dyDescent="0.25">
      <c r="B578" s="5"/>
      <c r="C578" s="165"/>
      <c r="D578" s="165"/>
      <c r="E578" s="165"/>
      <c r="F578" s="165"/>
      <c r="G578" s="165"/>
      <c r="H578" s="165"/>
      <c r="I578" s="165"/>
      <c r="J578" s="165"/>
      <c r="K578" s="165"/>
      <c r="L578" s="165"/>
      <c r="M578" s="165"/>
      <c r="N578" s="165"/>
      <c r="O578" s="165"/>
      <c r="P578" s="165"/>
      <c r="Q578" s="165"/>
      <c r="R578" s="165"/>
      <c r="S578" s="165"/>
      <c r="T578" s="165"/>
      <c r="U578" s="165"/>
      <c r="V578" s="165"/>
      <c r="W578" s="5"/>
    </row>
    <row r="579" spans="2:23" ht="15" x14ac:dyDescent="0.25">
      <c r="B579" s="5"/>
      <c r="C579" s="165"/>
      <c r="D579" s="165"/>
      <c r="E579" s="165"/>
      <c r="F579" s="165"/>
      <c r="G579" s="165"/>
      <c r="H579" s="165"/>
      <c r="I579" s="165"/>
      <c r="J579" s="165"/>
      <c r="K579" s="165"/>
      <c r="L579" s="165"/>
      <c r="M579" s="165"/>
      <c r="N579" s="165"/>
      <c r="O579" s="165"/>
      <c r="P579" s="165"/>
      <c r="Q579" s="165"/>
      <c r="R579" s="165"/>
      <c r="S579" s="165"/>
      <c r="T579" s="165"/>
      <c r="U579" s="165"/>
      <c r="V579" s="165"/>
      <c r="W579" s="5"/>
    </row>
    <row r="580" spans="2:23" ht="15" x14ac:dyDescent="0.25">
      <c r="B580" s="5"/>
      <c r="C580" s="165"/>
      <c r="D580" s="165"/>
      <c r="E580" s="165"/>
      <c r="F580" s="165"/>
      <c r="G580" s="165"/>
      <c r="H580" s="165"/>
      <c r="I580" s="165"/>
      <c r="J580" s="165"/>
      <c r="K580" s="165"/>
      <c r="L580" s="165"/>
      <c r="M580" s="165"/>
      <c r="N580" s="165"/>
      <c r="O580" s="165"/>
      <c r="P580" s="165"/>
      <c r="Q580" s="165"/>
      <c r="R580" s="165"/>
      <c r="S580" s="165"/>
      <c r="T580" s="165"/>
      <c r="U580" s="165"/>
      <c r="V580" s="165"/>
      <c r="W580" s="5"/>
    </row>
    <row r="581" spans="2:23" ht="15" x14ac:dyDescent="0.25">
      <c r="B581" s="5"/>
      <c r="C581" s="165"/>
      <c r="D581" s="165"/>
      <c r="E581" s="165"/>
      <c r="F581" s="165"/>
      <c r="G581" s="165"/>
      <c r="H581" s="165"/>
      <c r="I581" s="165"/>
      <c r="J581" s="165"/>
      <c r="K581" s="165"/>
      <c r="L581" s="165"/>
      <c r="M581" s="165"/>
      <c r="N581" s="165"/>
      <c r="O581" s="165"/>
      <c r="P581" s="165"/>
      <c r="Q581" s="165"/>
      <c r="R581" s="165"/>
      <c r="S581" s="165"/>
      <c r="T581" s="165"/>
      <c r="U581" s="165"/>
      <c r="V581" s="165"/>
      <c r="W581" s="5"/>
    </row>
    <row r="582" spans="2:23" ht="15" x14ac:dyDescent="0.25">
      <c r="B582" s="5"/>
      <c r="C582" s="165"/>
      <c r="D582" s="165"/>
      <c r="E582" s="165"/>
      <c r="F582" s="165"/>
      <c r="G582" s="165"/>
      <c r="H582" s="165"/>
      <c r="I582" s="165"/>
      <c r="J582" s="165"/>
      <c r="K582" s="165"/>
      <c r="L582" s="165"/>
      <c r="M582" s="165"/>
      <c r="N582" s="165"/>
      <c r="O582" s="165"/>
      <c r="P582" s="165"/>
      <c r="Q582" s="165"/>
      <c r="R582" s="165"/>
      <c r="S582" s="165"/>
      <c r="T582" s="165"/>
      <c r="U582" s="165"/>
      <c r="V582" s="165"/>
      <c r="W582" s="5"/>
    </row>
    <row r="583" spans="2:23" ht="15" x14ac:dyDescent="0.25">
      <c r="B583" s="5"/>
      <c r="C583" s="165"/>
      <c r="D583" s="165"/>
      <c r="E583" s="165"/>
      <c r="F583" s="165"/>
      <c r="G583" s="165"/>
      <c r="H583" s="165"/>
      <c r="I583" s="165"/>
      <c r="J583" s="165"/>
      <c r="K583" s="165"/>
      <c r="L583" s="165"/>
      <c r="M583" s="165"/>
      <c r="N583" s="165"/>
      <c r="O583" s="165"/>
      <c r="P583" s="165"/>
      <c r="Q583" s="165"/>
      <c r="R583" s="165"/>
      <c r="S583" s="165"/>
      <c r="T583" s="165"/>
      <c r="U583" s="165"/>
      <c r="V583" s="165"/>
      <c r="W583" s="5"/>
    </row>
    <row r="584" spans="2:23" ht="15" x14ac:dyDescent="0.25">
      <c r="B584" s="5"/>
      <c r="C584" s="165"/>
      <c r="D584" s="165"/>
      <c r="E584" s="165"/>
      <c r="F584" s="165"/>
      <c r="G584" s="165"/>
      <c r="H584" s="165"/>
      <c r="I584" s="165"/>
      <c r="J584" s="165"/>
      <c r="K584" s="165"/>
      <c r="L584" s="165"/>
      <c r="M584" s="165"/>
      <c r="N584" s="165"/>
      <c r="O584" s="165"/>
      <c r="P584" s="165"/>
      <c r="Q584" s="165"/>
      <c r="R584" s="165"/>
      <c r="S584" s="165"/>
      <c r="T584" s="165"/>
      <c r="U584" s="165"/>
      <c r="V584" s="165"/>
      <c r="W584" s="5"/>
    </row>
    <row r="585" spans="2:23" s="69" customFormat="1" ht="15" x14ac:dyDescent="0.25">
      <c r="B585" s="5"/>
      <c r="C585" s="165"/>
      <c r="D585" s="165"/>
      <c r="E585" s="165"/>
      <c r="F585" s="165"/>
      <c r="G585" s="165"/>
      <c r="H585" s="165"/>
      <c r="I585" s="165"/>
      <c r="J585" s="165"/>
      <c r="K585" s="165"/>
      <c r="L585" s="165"/>
      <c r="M585" s="165"/>
      <c r="N585" s="165"/>
      <c r="O585" s="165"/>
      <c r="P585" s="165"/>
      <c r="Q585" s="165"/>
      <c r="R585" s="165"/>
      <c r="S585" s="165"/>
      <c r="T585" s="165"/>
      <c r="U585" s="165"/>
      <c r="V585" s="165"/>
      <c r="W585" s="5"/>
    </row>
    <row r="586" spans="2:23" ht="15" x14ac:dyDescent="0.25">
      <c r="B586" s="5"/>
      <c r="C586" s="195" t="s">
        <v>958</v>
      </c>
      <c r="D586" s="165"/>
      <c r="E586" s="165"/>
      <c r="F586" s="165"/>
      <c r="G586" s="165"/>
      <c r="H586" s="165"/>
      <c r="I586" s="165"/>
      <c r="J586" s="165"/>
      <c r="K586" s="165"/>
      <c r="L586" s="165"/>
      <c r="M586" s="165"/>
      <c r="N586" s="165"/>
      <c r="O586" s="165"/>
      <c r="P586" s="165"/>
      <c r="Q586" s="165"/>
      <c r="R586" s="165"/>
      <c r="S586" s="165"/>
      <c r="T586" s="165"/>
      <c r="U586" s="165"/>
      <c r="V586" s="165"/>
      <c r="W586" s="5"/>
    </row>
    <row r="587" spans="2:23" ht="70.5" customHeight="1" x14ac:dyDescent="0.25">
      <c r="B587" s="5"/>
      <c r="C587" s="895" t="s">
        <v>959</v>
      </c>
      <c r="D587" s="895"/>
      <c r="E587" s="895"/>
      <c r="F587" s="895"/>
      <c r="G587" s="895"/>
      <c r="H587" s="895"/>
      <c r="I587" s="895"/>
      <c r="J587" s="895"/>
      <c r="K587" s="895"/>
      <c r="L587" s="895"/>
      <c r="M587" s="895"/>
      <c r="N587" s="895"/>
      <c r="O587" s="895"/>
      <c r="P587" s="895"/>
      <c r="Q587" s="895"/>
      <c r="R587" s="895"/>
      <c r="S587" s="895"/>
      <c r="T587" s="895"/>
      <c r="U587" s="895"/>
      <c r="V587" s="165"/>
      <c r="W587" s="5"/>
    </row>
    <row r="588" spans="2:23" s="69" customFormat="1" ht="54.75" customHeight="1" x14ac:dyDescent="0.25">
      <c r="B588" s="5"/>
      <c r="C588" s="711" t="s">
        <v>960</v>
      </c>
      <c r="D588" s="711"/>
      <c r="E588" s="711"/>
      <c r="F588" s="711"/>
      <c r="G588" s="711"/>
      <c r="H588" s="711"/>
      <c r="I588" s="711"/>
      <c r="J588" s="711"/>
      <c r="K588" s="711"/>
      <c r="L588" s="711"/>
      <c r="M588" s="711"/>
      <c r="N588" s="711"/>
      <c r="O588" s="711"/>
      <c r="P588" s="711"/>
      <c r="Q588" s="711"/>
      <c r="R588" s="711"/>
      <c r="S588" s="711"/>
      <c r="T588" s="711"/>
      <c r="U588" s="711"/>
      <c r="V588" s="492"/>
      <c r="W588" s="5"/>
    </row>
    <row r="589" spans="2:23" ht="15" x14ac:dyDescent="0.25">
      <c r="B589" s="5"/>
      <c r="C589" s="195" t="s">
        <v>585</v>
      </c>
      <c r="D589" s="165"/>
      <c r="E589" s="165"/>
      <c r="F589" s="165"/>
      <c r="G589" s="165"/>
      <c r="H589" s="165"/>
      <c r="I589" s="165"/>
      <c r="J589" s="165"/>
      <c r="K589" s="165"/>
      <c r="L589" s="165"/>
      <c r="M589" s="165"/>
      <c r="N589" s="165"/>
      <c r="O589" s="165"/>
      <c r="P589" s="165"/>
      <c r="Q589" s="165"/>
      <c r="R589" s="165"/>
      <c r="S589" s="165"/>
      <c r="T589" s="165"/>
      <c r="U589" s="165"/>
      <c r="V589" s="165"/>
      <c r="W589" s="5"/>
    </row>
    <row r="590" spans="2:23" ht="29.25" customHeight="1" x14ac:dyDescent="0.25">
      <c r="B590" s="5"/>
      <c r="C590" s="165"/>
      <c r="D590" s="210" t="s">
        <v>595</v>
      </c>
      <c r="E590" s="165"/>
      <c r="F590" s="165"/>
      <c r="G590" s="165"/>
      <c r="H590" s="896" t="s">
        <v>601</v>
      </c>
      <c r="I590" s="896"/>
      <c r="J590" s="896"/>
      <c r="K590" s="896"/>
      <c r="L590" s="896"/>
      <c r="M590" s="896"/>
      <c r="N590" s="896"/>
      <c r="O590" s="896"/>
      <c r="P590" s="896"/>
      <c r="Q590" s="896"/>
      <c r="R590" s="896"/>
      <c r="S590" s="896"/>
      <c r="T590" s="896"/>
      <c r="U590" s="896"/>
      <c r="V590" s="165"/>
      <c r="W590" s="5"/>
    </row>
    <row r="591" spans="2:23" ht="32.25" customHeight="1" x14ac:dyDescent="0.25">
      <c r="B591" s="5"/>
      <c r="C591" s="165"/>
      <c r="D591" s="210" t="s">
        <v>596</v>
      </c>
      <c r="E591" s="106"/>
      <c r="F591" s="106"/>
      <c r="G591" s="106"/>
      <c r="H591" s="896" t="s">
        <v>602</v>
      </c>
      <c r="I591" s="896"/>
      <c r="J591" s="896"/>
      <c r="K591" s="896"/>
      <c r="L591" s="896"/>
      <c r="M591" s="896"/>
      <c r="N591" s="896"/>
      <c r="O591" s="896"/>
      <c r="P591" s="896"/>
      <c r="Q591" s="896"/>
      <c r="R591" s="896"/>
      <c r="S591" s="896"/>
      <c r="T591" s="896"/>
      <c r="U591" s="896"/>
      <c r="V591" s="165"/>
      <c r="W591" s="5"/>
    </row>
    <row r="592" spans="2:23" ht="15" x14ac:dyDescent="0.25">
      <c r="B592" s="5"/>
      <c r="C592" s="165"/>
      <c r="D592" s="209" t="s">
        <v>597</v>
      </c>
      <c r="E592" s="165"/>
      <c r="F592" s="165"/>
      <c r="G592" s="165"/>
      <c r="H592" s="894" t="s">
        <v>603</v>
      </c>
      <c r="I592" s="894"/>
      <c r="J592" s="894"/>
      <c r="K592" s="894"/>
      <c r="L592" s="894"/>
      <c r="M592" s="894"/>
      <c r="N592" s="894"/>
      <c r="O592" s="894"/>
      <c r="P592" s="894"/>
      <c r="Q592" s="894"/>
      <c r="R592" s="894"/>
      <c r="S592" s="894"/>
      <c r="T592" s="894"/>
      <c r="U592" s="894"/>
      <c r="V592" s="165"/>
      <c r="W592" s="5"/>
    </row>
    <row r="593" spans="2:23" ht="31.5" customHeight="1" x14ac:dyDescent="0.25">
      <c r="B593" s="5"/>
      <c r="C593" s="165"/>
      <c r="D593" s="210" t="s">
        <v>598</v>
      </c>
      <c r="E593" s="106"/>
      <c r="F593" s="106"/>
      <c r="G593" s="106"/>
      <c r="H593" s="896" t="s">
        <v>604</v>
      </c>
      <c r="I593" s="896"/>
      <c r="J593" s="896"/>
      <c r="K593" s="896"/>
      <c r="L593" s="896"/>
      <c r="M593" s="896"/>
      <c r="N593" s="896"/>
      <c r="O593" s="896"/>
      <c r="P593" s="896"/>
      <c r="Q593" s="896"/>
      <c r="R593" s="896"/>
      <c r="S593" s="896"/>
      <c r="T593" s="896"/>
      <c r="U593" s="896"/>
      <c r="V593" s="165"/>
      <c r="W593" s="5"/>
    </row>
    <row r="594" spans="2:23" ht="15" x14ac:dyDescent="0.25">
      <c r="B594" s="5"/>
      <c r="C594" s="165"/>
      <c r="D594" s="209" t="s">
        <v>599</v>
      </c>
      <c r="E594" s="165"/>
      <c r="F594" s="165"/>
      <c r="G594" s="165"/>
      <c r="H594" s="894" t="s">
        <v>605</v>
      </c>
      <c r="I594" s="894"/>
      <c r="J594" s="894"/>
      <c r="K594" s="894"/>
      <c r="L594" s="894"/>
      <c r="M594" s="894"/>
      <c r="N594" s="894"/>
      <c r="O594" s="894"/>
      <c r="P594" s="894"/>
      <c r="Q594" s="894"/>
      <c r="R594" s="894"/>
      <c r="S594" s="894"/>
      <c r="T594" s="894"/>
      <c r="U594" s="894"/>
      <c r="V594" s="165"/>
      <c r="W594" s="5"/>
    </row>
    <row r="595" spans="2:23" ht="15" x14ac:dyDescent="0.25">
      <c r="B595" s="5"/>
      <c r="C595" s="165"/>
      <c r="D595" s="209" t="s">
        <v>600</v>
      </c>
      <c r="E595" s="165"/>
      <c r="F595" s="165"/>
      <c r="G595" s="165"/>
      <c r="H595" s="894" t="s">
        <v>606</v>
      </c>
      <c r="I595" s="894"/>
      <c r="J595" s="894"/>
      <c r="K595" s="894"/>
      <c r="L595" s="894"/>
      <c r="M595" s="894"/>
      <c r="N595" s="894"/>
      <c r="O595" s="894"/>
      <c r="P595" s="894"/>
      <c r="Q595" s="894"/>
      <c r="R595" s="894"/>
      <c r="S595" s="894"/>
      <c r="T595" s="894"/>
      <c r="U595" s="894"/>
      <c r="V595" s="165"/>
      <c r="W595" s="5"/>
    </row>
    <row r="596" spans="2:23" ht="15" x14ac:dyDescent="0.25">
      <c r="B596" s="5"/>
      <c r="C596" s="165"/>
      <c r="D596" s="165"/>
      <c r="E596" s="165"/>
      <c r="F596" s="165"/>
      <c r="G596" s="165"/>
      <c r="H596" s="165"/>
      <c r="I596" s="165"/>
      <c r="J596" s="165"/>
      <c r="K596" s="165"/>
      <c r="L596" s="165"/>
      <c r="M596" s="165"/>
      <c r="N596" s="165"/>
      <c r="O596" s="165"/>
      <c r="P596" s="165"/>
      <c r="Q596" s="165"/>
      <c r="R596" s="165"/>
      <c r="S596" s="165"/>
      <c r="T596" s="165"/>
      <c r="U596" s="165"/>
      <c r="V596" s="165"/>
      <c r="W596" s="5"/>
    </row>
    <row r="597" spans="2:23" ht="32.25" customHeight="1" x14ac:dyDescent="0.25">
      <c r="B597" s="6"/>
      <c r="C597" s="711" t="s">
        <v>980</v>
      </c>
      <c r="D597" s="711"/>
      <c r="E597" s="711"/>
      <c r="F597" s="711"/>
      <c r="G597" s="711"/>
      <c r="H597" s="711"/>
      <c r="I597" s="711"/>
      <c r="J597" s="711"/>
      <c r="K597" s="711"/>
      <c r="L597" s="711"/>
      <c r="M597" s="711"/>
      <c r="N597" s="711"/>
      <c r="O597" s="711"/>
      <c r="P597" s="711"/>
      <c r="Q597" s="711"/>
      <c r="R597" s="711"/>
      <c r="S597" s="711"/>
      <c r="T597" s="711"/>
      <c r="U597" s="711"/>
      <c r="V597" s="165"/>
      <c r="W597" s="5"/>
    </row>
    <row r="598" spans="2:23" ht="15" x14ac:dyDescent="0.25">
      <c r="B598" s="6"/>
      <c r="C598" s="165"/>
      <c r="D598" s="165"/>
      <c r="E598" s="165"/>
      <c r="F598" s="165"/>
      <c r="G598" s="165"/>
      <c r="H598" s="165"/>
      <c r="I598" s="165"/>
      <c r="J598" s="165"/>
      <c r="K598" s="165"/>
      <c r="L598" s="165"/>
      <c r="M598" s="165"/>
      <c r="N598" s="165"/>
      <c r="O598" s="165"/>
      <c r="P598" s="165"/>
      <c r="Q598" s="165"/>
      <c r="R598" s="165"/>
      <c r="S598" s="165"/>
      <c r="T598" s="165"/>
      <c r="U598" s="165"/>
      <c r="V598" s="165"/>
      <c r="W598" s="5"/>
    </row>
    <row r="599" spans="2:23" s="69" customFormat="1" ht="15" x14ac:dyDescent="0.25">
      <c r="B599" s="6"/>
      <c r="C599" s="165"/>
      <c r="D599" s="165"/>
      <c r="E599" s="165"/>
      <c r="F599" s="165"/>
      <c r="G599" s="165"/>
      <c r="H599" s="165"/>
      <c r="I599" s="165"/>
      <c r="J599" s="165"/>
      <c r="K599" s="165"/>
      <c r="L599" s="165"/>
      <c r="M599" s="165"/>
      <c r="N599" s="165"/>
      <c r="O599" s="165"/>
      <c r="P599" s="165"/>
      <c r="Q599" s="165"/>
      <c r="R599" s="165"/>
      <c r="S599" s="165"/>
      <c r="T599" s="165"/>
      <c r="U599" s="165"/>
      <c r="V599" s="165"/>
      <c r="W599" s="5"/>
    </row>
    <row r="600" spans="2:23" ht="15" x14ac:dyDescent="0.25">
      <c r="B600" s="6"/>
      <c r="C600" s="165"/>
      <c r="D600" s="165"/>
      <c r="E600" s="165"/>
      <c r="F600" s="165"/>
      <c r="G600" s="165"/>
      <c r="H600" s="165"/>
      <c r="I600" s="165"/>
      <c r="J600" s="165"/>
      <c r="K600" s="165"/>
      <c r="L600" s="165"/>
      <c r="M600" s="165"/>
      <c r="N600" s="165"/>
      <c r="O600" s="165"/>
      <c r="P600" s="165"/>
      <c r="Q600" s="165"/>
      <c r="R600" s="165"/>
      <c r="S600" s="165"/>
      <c r="T600" s="165"/>
      <c r="U600" s="165"/>
      <c r="V600" s="165"/>
      <c r="W600" s="5"/>
    </row>
    <row r="601" spans="2:23" ht="15" x14ac:dyDescent="0.25">
      <c r="B601" s="6"/>
      <c r="C601" s="165"/>
      <c r="D601" s="165"/>
      <c r="E601" s="803"/>
      <c r="F601" s="803"/>
      <c r="G601" s="803"/>
      <c r="H601" s="803"/>
      <c r="I601" s="803"/>
      <c r="J601" s="803"/>
      <c r="K601" s="803"/>
      <c r="L601" s="746" t="str">
        <f>INDEX(Locations, selection)</f>
        <v>Kingston Buci</v>
      </c>
      <c r="M601" s="809"/>
      <c r="N601" s="809"/>
      <c r="O601" s="747"/>
      <c r="P601" s="752" t="str">
        <f>INDEX(Locations, selection2)</f>
        <v>Stepping Stones</v>
      </c>
      <c r="Q601" s="798"/>
      <c r="R601" s="798"/>
      <c r="S601" s="753"/>
      <c r="T601" s="165"/>
      <c r="U601" s="165"/>
      <c r="V601" s="165"/>
      <c r="W601" s="5"/>
    </row>
    <row r="602" spans="2:23" ht="15" x14ac:dyDescent="0.25">
      <c r="B602" s="6"/>
      <c r="C602" s="165"/>
      <c r="D602" s="165"/>
      <c r="E602" s="803"/>
      <c r="F602" s="803"/>
      <c r="G602" s="803"/>
      <c r="H602" s="803"/>
      <c r="I602" s="803"/>
      <c r="J602" s="803"/>
      <c r="K602" s="803"/>
      <c r="L602" s="748"/>
      <c r="M602" s="810"/>
      <c r="N602" s="810"/>
      <c r="O602" s="749"/>
      <c r="P602" s="754"/>
      <c r="Q602" s="799"/>
      <c r="R602" s="799"/>
      <c r="S602" s="755"/>
      <c r="T602" s="165"/>
      <c r="U602" s="165"/>
      <c r="V602" s="165"/>
      <c r="W602" s="5"/>
    </row>
    <row r="603" spans="2:23" ht="15.75" thickBot="1" x14ac:dyDescent="0.3">
      <c r="B603" s="6"/>
      <c r="C603" s="165"/>
      <c r="D603" s="165"/>
      <c r="E603" s="808"/>
      <c r="F603" s="808"/>
      <c r="G603" s="808"/>
      <c r="H603" s="808"/>
      <c r="I603" s="808"/>
      <c r="J603" s="808"/>
      <c r="K603" s="808"/>
      <c r="L603" s="811"/>
      <c r="M603" s="812"/>
      <c r="N603" s="812"/>
      <c r="O603" s="813"/>
      <c r="P603" s="800"/>
      <c r="Q603" s="801"/>
      <c r="R603" s="801"/>
      <c r="S603" s="802"/>
      <c r="T603" s="165"/>
      <c r="U603" s="165"/>
      <c r="V603" s="165"/>
      <c r="W603" s="5"/>
    </row>
    <row r="604" spans="2:23" s="69" customFormat="1" ht="16.5" thickTop="1" thickBot="1" x14ac:dyDescent="0.3">
      <c r="B604" s="6"/>
      <c r="C604" s="165"/>
      <c r="D604" s="73" t="s">
        <v>918</v>
      </c>
      <c r="E604" s="891" t="s">
        <v>610</v>
      </c>
      <c r="F604" s="892"/>
      <c r="G604" s="892"/>
      <c r="H604" s="892"/>
      <c r="I604" s="892"/>
      <c r="J604" s="892"/>
      <c r="K604" s="893"/>
      <c r="L604" s="869">
        <f>IF(HLOOKUP(D604,Imms201415,selection+1,FALSE)="","n/a",(HLOOKUP(D604,Imms201415,selection+1,FALSE)))</f>
        <v>286</v>
      </c>
      <c r="M604" s="870"/>
      <c r="N604" s="870"/>
      <c r="O604" s="871"/>
      <c r="P604" s="869">
        <f>IF(HLOOKUP(D604,Imms201415,selection2+1,FALSE)="","n/a",(HLOOKUP(D604,Imms201415,selection2+1,FALSE)))</f>
        <v>111</v>
      </c>
      <c r="Q604" s="870"/>
      <c r="R604" s="870"/>
      <c r="S604" s="871"/>
      <c r="T604" s="165"/>
      <c r="U604" s="165"/>
      <c r="V604" s="165"/>
      <c r="W604" s="5"/>
    </row>
    <row r="605" spans="2:23" ht="15.75" thickTop="1" x14ac:dyDescent="0.25">
      <c r="B605" s="6"/>
      <c r="C605" s="165"/>
      <c r="D605" s="73" t="s">
        <v>922</v>
      </c>
      <c r="E605" s="775" t="s">
        <v>963</v>
      </c>
      <c r="F605" s="776"/>
      <c r="G605" s="776"/>
      <c r="H605" s="777"/>
      <c r="I605" s="853" t="s">
        <v>607</v>
      </c>
      <c r="J605" s="853"/>
      <c r="K605" s="853"/>
      <c r="L605" s="888">
        <f>IF(HLOOKUP(D605,Imms201415,selection+1,FALSE)="","n/a",(HLOOKUP(D605,Imms201415,selection+1,FALSE)))</f>
        <v>271</v>
      </c>
      <c r="M605" s="889"/>
      <c r="N605" s="889"/>
      <c r="O605" s="890"/>
      <c r="P605" s="888">
        <f>IF(HLOOKUP(D605,Imms201415,selection2+1,FALSE)="","n/a",(HLOOKUP(D605,Imms201415,selection2+1,FALSE)))</f>
        <v>108</v>
      </c>
      <c r="Q605" s="889"/>
      <c r="R605" s="889"/>
      <c r="S605" s="890"/>
      <c r="T605" s="165"/>
      <c r="U605" s="165"/>
      <c r="V605" s="165"/>
      <c r="W605" s="5"/>
    </row>
    <row r="606" spans="2:23" ht="15" x14ac:dyDescent="0.25">
      <c r="B606" s="6"/>
      <c r="C606" s="165"/>
      <c r="D606" s="73"/>
      <c r="E606" s="775"/>
      <c r="F606" s="776"/>
      <c r="G606" s="776"/>
      <c r="H606" s="777"/>
      <c r="I606" s="622" t="s">
        <v>608</v>
      </c>
      <c r="J606" s="622"/>
      <c r="K606" s="622"/>
      <c r="L606" s="882">
        <f>IF(L605="*", "*",L605/L604)</f>
        <v>0.94755244755244761</v>
      </c>
      <c r="M606" s="883"/>
      <c r="N606" s="883"/>
      <c r="O606" s="884"/>
      <c r="P606" s="882">
        <f>IF(P605="*", "*",P605/P604)</f>
        <v>0.97297297297297303</v>
      </c>
      <c r="Q606" s="883"/>
      <c r="R606" s="883"/>
      <c r="S606" s="884"/>
      <c r="T606" s="165"/>
      <c r="U606" s="165"/>
      <c r="V606" s="165"/>
      <c r="W606" s="5"/>
    </row>
    <row r="607" spans="2:23" ht="15" x14ac:dyDescent="0.25">
      <c r="B607" s="6"/>
      <c r="C607" s="165"/>
      <c r="D607" s="73"/>
      <c r="E607" s="850"/>
      <c r="F607" s="851"/>
      <c r="G607" s="851"/>
      <c r="H607" s="852"/>
      <c r="I607" s="622" t="s">
        <v>609</v>
      </c>
      <c r="J607" s="622"/>
      <c r="K607" s="622"/>
      <c r="L607" s="803" t="str">
        <f>IF(L606="*","*",IF(L606&lt; 0.95, "Lower than required coverage", IF(L606 &gt;=0.95, "Required coverage or above")))</f>
        <v>Lower than required coverage</v>
      </c>
      <c r="M607" s="803"/>
      <c r="N607" s="803"/>
      <c r="O607" s="803"/>
      <c r="P607" s="803" t="str">
        <f>IF(P606="*","*",IF(P606&lt; 0.95, "Lower than required coverage", IF(P606 &gt;=0.95, "Required coverage or above")))</f>
        <v>Required coverage or above</v>
      </c>
      <c r="Q607" s="803"/>
      <c r="R607" s="803"/>
      <c r="S607" s="803"/>
      <c r="T607" s="165"/>
      <c r="U607" s="165"/>
      <c r="V607" s="165"/>
      <c r="W607" s="5"/>
    </row>
    <row r="608" spans="2:23" ht="15" x14ac:dyDescent="0.25">
      <c r="B608" s="6"/>
      <c r="C608" s="165"/>
      <c r="D608" s="73" t="s">
        <v>923</v>
      </c>
      <c r="E608" s="814" t="s">
        <v>961</v>
      </c>
      <c r="F608" s="815"/>
      <c r="G608" s="815"/>
      <c r="H608" s="816"/>
      <c r="I608" s="622" t="s">
        <v>607</v>
      </c>
      <c r="J608" s="622"/>
      <c r="K608" s="622"/>
      <c r="L608" s="885">
        <f>IF(HLOOKUP(D608,Imms201415,selection+1,FALSE)="","n/a",(HLOOKUP(D608,Imms201415,selection+1,FALSE)))</f>
        <v>2</v>
      </c>
      <c r="M608" s="886"/>
      <c r="N608" s="886"/>
      <c r="O608" s="887"/>
      <c r="P608" s="803">
        <f>IF(HLOOKUP(D608,Imms201415,selection2+1,FALSE)="","n/a",(HLOOKUP(D608,Imms201415,selection2+1,FALSE)))</f>
        <v>1</v>
      </c>
      <c r="Q608" s="803"/>
      <c r="R608" s="803"/>
      <c r="S608" s="803"/>
      <c r="T608" s="165"/>
      <c r="U608" s="165"/>
      <c r="V608" s="165"/>
      <c r="W608" s="5"/>
    </row>
    <row r="609" spans="2:23" ht="15" x14ac:dyDescent="0.25">
      <c r="B609" s="6"/>
      <c r="C609" s="165"/>
      <c r="D609" s="73"/>
      <c r="E609" s="775"/>
      <c r="F609" s="776"/>
      <c r="G609" s="776"/>
      <c r="H609" s="777"/>
      <c r="I609" s="622" t="s">
        <v>608</v>
      </c>
      <c r="J609" s="622"/>
      <c r="K609" s="622"/>
      <c r="L609" s="822">
        <f>IF($L604="*","*",L608/L$604)</f>
        <v>6.993006993006993E-3</v>
      </c>
      <c r="M609" s="822"/>
      <c r="N609" s="822"/>
      <c r="O609" s="822"/>
      <c r="P609" s="822">
        <f>IF(P604="*","*",P608/P$604)</f>
        <v>9.0090090090090089E-3</v>
      </c>
      <c r="Q609" s="822"/>
      <c r="R609" s="822"/>
      <c r="S609" s="822"/>
      <c r="T609" s="165"/>
      <c r="U609" s="165"/>
      <c r="V609" s="165"/>
      <c r="W609" s="5"/>
    </row>
    <row r="610" spans="2:23" ht="15" x14ac:dyDescent="0.25">
      <c r="B610" s="6"/>
      <c r="C610" s="165"/>
      <c r="D610" s="73"/>
      <c r="E610" s="850"/>
      <c r="F610" s="851"/>
      <c r="G610" s="851"/>
      <c r="H610" s="852"/>
      <c r="I610" s="622" t="s">
        <v>609</v>
      </c>
      <c r="J610" s="622"/>
      <c r="K610" s="622"/>
      <c r="L610" s="885" t="str">
        <f>IF(L609="*","*",IF(L609&lt; 0.95, "Lower than required coverage", IF(L609 &gt;=0.95, "Required coverage or above")))</f>
        <v>Lower than required coverage</v>
      </c>
      <c r="M610" s="886"/>
      <c r="N610" s="886"/>
      <c r="O610" s="887"/>
      <c r="P610" s="885" t="str">
        <f>IF(P609="*","*",IF(P609&lt; 0.95, "Lower than required coverage", IF(P609 &gt;=0.95, "Required coverage or above")))</f>
        <v>Lower than required coverage</v>
      </c>
      <c r="Q610" s="886"/>
      <c r="R610" s="886"/>
      <c r="S610" s="887"/>
      <c r="T610" s="165"/>
      <c r="U610" s="165"/>
      <c r="V610" s="165"/>
      <c r="W610" s="5"/>
    </row>
    <row r="611" spans="2:23" ht="15" x14ac:dyDescent="0.25">
      <c r="B611" s="6"/>
      <c r="C611" s="165"/>
      <c r="D611" s="73" t="s">
        <v>924</v>
      </c>
      <c r="E611" s="814" t="s">
        <v>972</v>
      </c>
      <c r="F611" s="815"/>
      <c r="G611" s="815"/>
      <c r="H611" s="816"/>
      <c r="I611" s="622" t="s">
        <v>607</v>
      </c>
      <c r="J611" s="622"/>
      <c r="K611" s="622"/>
      <c r="L611" s="803">
        <f>IF(HLOOKUP(D611,Imms201415,selection+1,FALSE)="","n/a",(HLOOKUP(D611,Imms201415,selection+1,FALSE)))</f>
        <v>267</v>
      </c>
      <c r="M611" s="803"/>
      <c r="N611" s="803"/>
      <c r="O611" s="803"/>
      <c r="P611" s="803">
        <f>IF(HLOOKUP(D611,Imms201415,selection2+1,FALSE)="","n/a",(HLOOKUP(D611,Imms201415,selection2+1,FALSE)))</f>
        <v>107</v>
      </c>
      <c r="Q611" s="803"/>
      <c r="R611" s="803"/>
      <c r="S611" s="803"/>
      <c r="T611" s="165"/>
      <c r="U611" s="165"/>
      <c r="V611" s="165"/>
      <c r="W611" s="5"/>
    </row>
    <row r="612" spans="2:23" ht="15" x14ac:dyDescent="0.25">
      <c r="B612" s="6"/>
      <c r="C612" s="165"/>
      <c r="D612" s="73"/>
      <c r="E612" s="775"/>
      <c r="F612" s="776"/>
      <c r="G612" s="776"/>
      <c r="H612" s="777"/>
      <c r="I612" s="622" t="s">
        <v>608</v>
      </c>
      <c r="J612" s="622"/>
      <c r="K612" s="622"/>
      <c r="L612" s="882">
        <f>IF($L604="*","*",L611/L$604)</f>
        <v>0.93356643356643354</v>
      </c>
      <c r="M612" s="883"/>
      <c r="N612" s="883"/>
      <c r="O612" s="884"/>
      <c r="P612" s="822">
        <f>IF($P604="*","*",P611/P$604)</f>
        <v>0.963963963963964</v>
      </c>
      <c r="Q612" s="822"/>
      <c r="R612" s="822"/>
      <c r="S612" s="822"/>
      <c r="T612" s="165"/>
      <c r="U612" s="165"/>
      <c r="V612" s="165"/>
      <c r="W612" s="5"/>
    </row>
    <row r="613" spans="2:23" ht="15" x14ac:dyDescent="0.25">
      <c r="B613" s="6"/>
      <c r="C613" s="165"/>
      <c r="D613" s="73"/>
      <c r="E613" s="850"/>
      <c r="F613" s="851"/>
      <c r="G613" s="851"/>
      <c r="H613" s="852"/>
      <c r="I613" s="622" t="s">
        <v>609</v>
      </c>
      <c r="J613" s="622"/>
      <c r="K613" s="622"/>
      <c r="L613" s="885" t="str">
        <f>IF(L612="*","*",IF(L612&lt; 0.95, "Lower than required coverage", IF(L612 &gt;=0.95, "Required coverage or above")))</f>
        <v>Lower than required coverage</v>
      </c>
      <c r="M613" s="886"/>
      <c r="N613" s="886"/>
      <c r="O613" s="887"/>
      <c r="P613" s="885" t="str">
        <f>IF(P612="*","*",IF(P612&lt; 0.95, "Lower than required coverage", IF(P612 &gt;=0.95, "Required coverage or above")))</f>
        <v>Required coverage or above</v>
      </c>
      <c r="Q613" s="886"/>
      <c r="R613" s="886"/>
      <c r="S613" s="887"/>
      <c r="T613" s="165"/>
      <c r="U613" s="165"/>
      <c r="V613" s="165"/>
      <c r="W613" s="5"/>
    </row>
    <row r="614" spans="2:23" ht="15" x14ac:dyDescent="0.25">
      <c r="B614" s="6"/>
      <c r="C614" s="165"/>
      <c r="D614" s="165"/>
      <c r="E614" s="3" t="s">
        <v>962</v>
      </c>
      <c r="F614" s="165"/>
      <c r="G614" s="165"/>
      <c r="H614" s="165"/>
      <c r="I614" s="165"/>
      <c r="J614" s="165"/>
      <c r="K614" s="165"/>
      <c r="L614" s="165"/>
      <c r="M614" s="165"/>
      <c r="N614" s="165"/>
      <c r="O614" s="165"/>
      <c r="P614" s="165"/>
      <c r="Q614" s="165"/>
      <c r="R614" s="165"/>
      <c r="S614" s="165"/>
      <c r="T614" s="165"/>
      <c r="U614" s="165"/>
      <c r="V614" s="165"/>
      <c r="W614" s="5"/>
    </row>
    <row r="615" spans="2:23" s="69" customFormat="1" ht="15" x14ac:dyDescent="0.25">
      <c r="B615" s="6"/>
      <c r="C615" s="492"/>
      <c r="D615" s="492"/>
      <c r="E615" s="492"/>
      <c r="F615" s="492"/>
      <c r="G615" s="492"/>
      <c r="H615" s="492"/>
      <c r="I615" s="492"/>
      <c r="J615" s="492"/>
      <c r="K615" s="492"/>
      <c r="L615" s="492"/>
      <c r="M615" s="492"/>
      <c r="N615" s="492"/>
      <c r="O615" s="492"/>
      <c r="P615" s="492"/>
      <c r="Q615" s="492"/>
      <c r="R615" s="492"/>
      <c r="S615" s="492"/>
      <c r="T615" s="492"/>
      <c r="U615" s="492"/>
      <c r="V615" s="492"/>
      <c r="W615" s="5"/>
    </row>
    <row r="616" spans="2:23" ht="15" x14ac:dyDescent="0.25">
      <c r="B616" s="6"/>
      <c r="C616" s="165"/>
      <c r="D616" s="165"/>
      <c r="E616" s="165"/>
      <c r="F616" s="165"/>
      <c r="G616" s="165"/>
      <c r="H616" s="165"/>
      <c r="I616" s="165"/>
      <c r="J616" s="165"/>
      <c r="K616" s="165"/>
      <c r="L616" s="165"/>
      <c r="M616" s="165"/>
      <c r="N616" s="165"/>
      <c r="O616" s="165"/>
      <c r="P616" s="165"/>
      <c r="Q616" s="165"/>
      <c r="R616" s="165"/>
      <c r="S616" s="165"/>
      <c r="T616" s="165"/>
      <c r="U616" s="165"/>
      <c r="V616" s="165"/>
      <c r="W616" s="5"/>
    </row>
    <row r="617" spans="2:23" ht="15" x14ac:dyDescent="0.25">
      <c r="B617" s="6"/>
      <c r="C617" s="165"/>
      <c r="D617" s="165"/>
      <c r="E617" s="165"/>
      <c r="F617" s="165"/>
      <c r="G617" s="165"/>
      <c r="H617" s="165"/>
      <c r="I617" s="165"/>
      <c r="J617" s="165"/>
      <c r="K617" s="165"/>
      <c r="L617" s="165"/>
      <c r="M617" s="165"/>
      <c r="N617" s="165"/>
      <c r="O617" s="165"/>
      <c r="P617" s="165"/>
      <c r="Q617" s="165"/>
      <c r="R617" s="165"/>
      <c r="S617" s="165"/>
      <c r="T617" s="165"/>
      <c r="U617" s="165"/>
      <c r="V617" s="165"/>
      <c r="W617" s="5"/>
    </row>
    <row r="618" spans="2:23" ht="15" x14ac:dyDescent="0.25">
      <c r="B618" s="6"/>
      <c r="C618" s="165"/>
      <c r="D618" s="165"/>
      <c r="E618" s="803"/>
      <c r="F618" s="803"/>
      <c r="G618" s="803"/>
      <c r="H618" s="803"/>
      <c r="I618" s="803"/>
      <c r="J618" s="803"/>
      <c r="K618" s="803"/>
      <c r="L618" s="746" t="str">
        <f>INDEX(Locations, selection)</f>
        <v>Kingston Buci</v>
      </c>
      <c r="M618" s="809"/>
      <c r="N618" s="809"/>
      <c r="O618" s="747"/>
      <c r="P618" s="752" t="str">
        <f>INDEX(Locations, selection2)</f>
        <v>Stepping Stones</v>
      </c>
      <c r="Q618" s="798"/>
      <c r="R618" s="798"/>
      <c r="S618" s="753"/>
      <c r="T618" s="165"/>
      <c r="U618" s="165"/>
      <c r="V618" s="165"/>
      <c r="W618" s="5"/>
    </row>
    <row r="619" spans="2:23" ht="15" x14ac:dyDescent="0.25">
      <c r="B619" s="6"/>
      <c r="C619" s="165"/>
      <c r="D619" s="165"/>
      <c r="E619" s="803"/>
      <c r="F619" s="803"/>
      <c r="G619" s="803"/>
      <c r="H619" s="803"/>
      <c r="I619" s="803"/>
      <c r="J619" s="803"/>
      <c r="K619" s="803"/>
      <c r="L619" s="748"/>
      <c r="M619" s="810"/>
      <c r="N619" s="810"/>
      <c r="O619" s="749"/>
      <c r="P619" s="754"/>
      <c r="Q619" s="799"/>
      <c r="R619" s="799"/>
      <c r="S619" s="755"/>
      <c r="T619" s="165"/>
      <c r="U619" s="165"/>
      <c r="V619" s="165"/>
      <c r="W619" s="5"/>
    </row>
    <row r="620" spans="2:23" ht="15.75" thickBot="1" x14ac:dyDescent="0.3">
      <c r="B620" s="6"/>
      <c r="C620" s="165"/>
      <c r="D620" s="165"/>
      <c r="E620" s="808"/>
      <c r="F620" s="808"/>
      <c r="G620" s="808"/>
      <c r="H620" s="808"/>
      <c r="I620" s="808"/>
      <c r="J620" s="808"/>
      <c r="K620" s="808"/>
      <c r="L620" s="811"/>
      <c r="M620" s="812"/>
      <c r="N620" s="812"/>
      <c r="O620" s="813"/>
      <c r="P620" s="800"/>
      <c r="Q620" s="801"/>
      <c r="R620" s="801"/>
      <c r="S620" s="802"/>
      <c r="T620" s="165"/>
      <c r="U620" s="165"/>
      <c r="V620" s="165"/>
      <c r="W620" s="5"/>
    </row>
    <row r="621" spans="2:23" ht="16.5" thickTop="1" thickBot="1" x14ac:dyDescent="0.3">
      <c r="B621" s="6"/>
      <c r="C621" s="165"/>
      <c r="D621" s="73" t="s">
        <v>925</v>
      </c>
      <c r="E621" s="858" t="s">
        <v>611</v>
      </c>
      <c r="F621" s="859"/>
      <c r="G621" s="859"/>
      <c r="H621" s="859"/>
      <c r="I621" s="859"/>
      <c r="J621" s="859"/>
      <c r="K621" s="860"/>
      <c r="L621" s="869">
        <f>IF(HLOOKUP(D621,Imms201415,selection+1,FALSE)="","n/a",(HLOOKUP(D621,Imms201415,selection+1,FALSE)))</f>
        <v>300</v>
      </c>
      <c r="M621" s="870"/>
      <c r="N621" s="870"/>
      <c r="O621" s="871"/>
      <c r="P621" s="869">
        <f>IF(HLOOKUP(D621,Imms201415,selection2+1,FALSE)="","n/a",(HLOOKUP(D621,Imms201415,selection2+1,FALSE)))</f>
        <v>139</v>
      </c>
      <c r="Q621" s="870"/>
      <c r="R621" s="870"/>
      <c r="S621" s="871"/>
      <c r="T621" s="165"/>
      <c r="U621" s="165"/>
      <c r="V621" s="165"/>
      <c r="W621" s="5"/>
    </row>
    <row r="622" spans="2:23" s="69" customFormat="1" ht="15.75" thickTop="1" x14ac:dyDescent="0.25">
      <c r="B622" s="6"/>
      <c r="C622" s="492"/>
      <c r="D622" s="73" t="s">
        <v>933</v>
      </c>
      <c r="E622" s="861" t="s">
        <v>969</v>
      </c>
      <c r="F622" s="862"/>
      <c r="G622" s="862"/>
      <c r="H622" s="863"/>
      <c r="I622" s="864" t="s">
        <v>607</v>
      </c>
      <c r="J622" s="864"/>
      <c r="K622" s="864"/>
      <c r="L622" s="868">
        <f>IF(HLOOKUP(D622,Imms201415,selection+1,FALSE)="","n/a",(HLOOKUP(D622,Imms201415,selection+1,FALSE)))</f>
        <v>290</v>
      </c>
      <c r="M622" s="868"/>
      <c r="N622" s="868"/>
      <c r="O622" s="868"/>
      <c r="P622" s="868">
        <f>IF(HLOOKUP(D622,Imms201415,selection2+1,FALSE)="","n/a",(HLOOKUP(D622,Imms201415,selection2+1,FALSE)))</f>
        <v>127</v>
      </c>
      <c r="Q622" s="868"/>
      <c r="R622" s="868"/>
      <c r="S622" s="868"/>
      <c r="T622" s="492"/>
      <c r="U622" s="492"/>
      <c r="V622" s="492"/>
      <c r="W622" s="5"/>
    </row>
    <row r="623" spans="2:23" s="69" customFormat="1" ht="15" x14ac:dyDescent="0.25">
      <c r="B623" s="6"/>
      <c r="C623" s="492"/>
      <c r="D623" s="73"/>
      <c r="E623" s="775"/>
      <c r="F623" s="776"/>
      <c r="G623" s="776"/>
      <c r="H623" s="777"/>
      <c r="I623" s="622" t="s">
        <v>608</v>
      </c>
      <c r="J623" s="622"/>
      <c r="K623" s="622"/>
      <c r="L623" s="822">
        <f>IF(L621 = "*", "*",L622/L621)</f>
        <v>0.96666666666666667</v>
      </c>
      <c r="M623" s="822"/>
      <c r="N623" s="822"/>
      <c r="O623" s="822"/>
      <c r="P623" s="822">
        <f>IF(P621 = "*", "*",P622/P621)</f>
        <v>0.91366906474820142</v>
      </c>
      <c r="Q623" s="822"/>
      <c r="R623" s="822"/>
      <c r="S623" s="822"/>
      <c r="T623" s="492"/>
      <c r="U623" s="492"/>
      <c r="V623" s="492"/>
      <c r="W623" s="5"/>
    </row>
    <row r="624" spans="2:23" s="69" customFormat="1" ht="15.75" thickBot="1" x14ac:dyDescent="0.3">
      <c r="B624" s="6"/>
      <c r="C624" s="492"/>
      <c r="D624" s="73"/>
      <c r="E624" s="872"/>
      <c r="F624" s="873"/>
      <c r="G624" s="873"/>
      <c r="H624" s="874"/>
      <c r="I624" s="875" t="s">
        <v>609</v>
      </c>
      <c r="J624" s="875"/>
      <c r="K624" s="875"/>
      <c r="L624" s="876" t="str">
        <f>IF(L623="*","*",IF(L623&lt; 0.95, "Lower than required coverage", IF(L623 &gt;=0.95, "Required coverage or above")))</f>
        <v>Required coverage or above</v>
      </c>
      <c r="M624" s="877"/>
      <c r="N624" s="877"/>
      <c r="O624" s="878"/>
      <c r="P624" s="879" t="str">
        <f>IF(P623="*","*",IF(P623&lt; 0.95, "Lower than required coverage", IF(P623 &gt;=0.95, "Required coverage or above")))</f>
        <v>Lower than required coverage</v>
      </c>
      <c r="Q624" s="880"/>
      <c r="R624" s="880"/>
      <c r="S624" s="881"/>
      <c r="T624" s="492"/>
      <c r="U624" s="492"/>
      <c r="V624" s="492"/>
      <c r="W624" s="5"/>
    </row>
    <row r="625" spans="2:23" s="69" customFormat="1" ht="15.75" customHeight="1" thickTop="1" x14ac:dyDescent="0.25">
      <c r="B625" s="6"/>
      <c r="C625" s="492"/>
      <c r="D625" s="73" t="s">
        <v>934</v>
      </c>
      <c r="E625" s="775" t="s">
        <v>967</v>
      </c>
      <c r="F625" s="776"/>
      <c r="G625" s="776"/>
      <c r="H625" s="777"/>
      <c r="I625" s="853" t="s">
        <v>607</v>
      </c>
      <c r="J625" s="853"/>
      <c r="K625" s="853"/>
      <c r="L625" s="854">
        <f>IF(HLOOKUP(D625,Imms201415,selection+1,FALSE)="","n/a",(HLOOKUP(D625,Imms201415,selection+1,FALSE)))</f>
        <v>282</v>
      </c>
      <c r="M625" s="855"/>
      <c r="N625" s="855"/>
      <c r="O625" s="856"/>
      <c r="P625" s="857">
        <f>IF(HLOOKUP(D625,Imms201415,selection2+1,FALSE)="","n/a",(HLOOKUP(D625,Imms201415,selection2+1,FALSE)))</f>
        <v>125</v>
      </c>
      <c r="Q625" s="857"/>
      <c r="R625" s="857"/>
      <c r="S625" s="857"/>
      <c r="T625" s="492"/>
      <c r="U625" s="492"/>
      <c r="V625" s="492"/>
      <c r="W625" s="5"/>
    </row>
    <row r="626" spans="2:23" s="69" customFormat="1" ht="15" x14ac:dyDescent="0.25">
      <c r="B626" s="6"/>
      <c r="C626" s="492"/>
      <c r="D626" s="73"/>
      <c r="E626" s="775"/>
      <c r="F626" s="776"/>
      <c r="G626" s="776"/>
      <c r="H626" s="777"/>
      <c r="I626" s="622" t="s">
        <v>608</v>
      </c>
      <c r="J626" s="622"/>
      <c r="K626" s="622"/>
      <c r="L626" s="822">
        <f>IF(L621 = "*", "*",L625/L621)</f>
        <v>0.94</v>
      </c>
      <c r="M626" s="822"/>
      <c r="N626" s="822"/>
      <c r="O626" s="822"/>
      <c r="P626" s="822">
        <f>IF(P621 = "*", "*",P625/P621)</f>
        <v>0.89928057553956831</v>
      </c>
      <c r="Q626" s="822"/>
      <c r="R626" s="822"/>
      <c r="S626" s="822"/>
      <c r="T626" s="492"/>
      <c r="U626" s="492"/>
      <c r="V626" s="492"/>
      <c r="W626" s="5"/>
    </row>
    <row r="627" spans="2:23" s="69" customFormat="1" ht="15" x14ac:dyDescent="0.25">
      <c r="B627" s="6"/>
      <c r="C627" s="492"/>
      <c r="D627" s="73"/>
      <c r="E627" s="850"/>
      <c r="F627" s="851"/>
      <c r="G627" s="851"/>
      <c r="H627" s="852"/>
      <c r="I627" s="622" t="s">
        <v>609</v>
      </c>
      <c r="J627" s="622"/>
      <c r="K627" s="622"/>
      <c r="L627" s="803" t="str">
        <f>IF(L626="*","*",IF(L626&lt; 0.95, "Lower than required coverage", IF(L626 &gt;=0.95, "Required coverage or above")))</f>
        <v>Lower than required coverage</v>
      </c>
      <c r="M627" s="803"/>
      <c r="N627" s="803"/>
      <c r="O627" s="803"/>
      <c r="P627" s="803" t="str">
        <f>IF(P626="*","*",IF(P626&lt; 0.95, "Lower than required coverage", IF(P626 &gt;=0.95, "Required coverage or above")))</f>
        <v>Lower than required coverage</v>
      </c>
      <c r="Q627" s="803"/>
      <c r="R627" s="803"/>
      <c r="S627" s="803"/>
      <c r="T627" s="492"/>
      <c r="U627" s="492"/>
      <c r="V627" s="492"/>
      <c r="W627" s="5"/>
    </row>
    <row r="628" spans="2:23" ht="15" x14ac:dyDescent="0.25">
      <c r="B628" s="6"/>
      <c r="C628" s="165"/>
      <c r="D628" s="73" t="s">
        <v>931</v>
      </c>
      <c r="E628" s="775" t="s">
        <v>964</v>
      </c>
      <c r="F628" s="776"/>
      <c r="G628" s="776"/>
      <c r="H628" s="777"/>
      <c r="I628" s="853" t="s">
        <v>607</v>
      </c>
      <c r="J628" s="853"/>
      <c r="K628" s="853"/>
      <c r="L628" s="854">
        <f>IF(HLOOKUP(D628,Imms201415,selection+1,FALSE)="","n/a",(HLOOKUP(D628,Imms201415,selection+1,FALSE)))</f>
        <v>290</v>
      </c>
      <c r="M628" s="855"/>
      <c r="N628" s="855"/>
      <c r="O628" s="856"/>
      <c r="P628" s="857">
        <f>IF(HLOOKUP(D628,Imms201415,selection2+1,FALSE)="","n/a",(HLOOKUP(D628,Imms201415,selection2+1,FALSE)))</f>
        <v>131</v>
      </c>
      <c r="Q628" s="857"/>
      <c r="R628" s="857"/>
      <c r="S628" s="857"/>
      <c r="T628" s="165"/>
      <c r="U628" s="165"/>
      <c r="V628" s="165"/>
      <c r="W628" s="5"/>
    </row>
    <row r="629" spans="2:23" ht="15" x14ac:dyDescent="0.25">
      <c r="B629" s="6"/>
      <c r="C629" s="165"/>
      <c r="D629" s="73"/>
      <c r="E629" s="775"/>
      <c r="F629" s="776"/>
      <c r="G629" s="776"/>
      <c r="H629" s="777"/>
      <c r="I629" s="622" t="s">
        <v>608</v>
      </c>
      <c r="J629" s="622"/>
      <c r="K629" s="622"/>
      <c r="L629" s="822">
        <f>IF(L621 = "*", "*",L628/L621)</f>
        <v>0.96666666666666667</v>
      </c>
      <c r="M629" s="822"/>
      <c r="N629" s="822"/>
      <c r="O629" s="822"/>
      <c r="P629" s="822">
        <f>IF(P621 = "*", "*",P628/P621)</f>
        <v>0.94244604316546765</v>
      </c>
      <c r="Q629" s="822"/>
      <c r="R629" s="822"/>
      <c r="S629" s="822"/>
      <c r="T629" s="165"/>
      <c r="U629" s="165"/>
      <c r="V629" s="165"/>
      <c r="W629" s="5"/>
    </row>
    <row r="630" spans="2:23" ht="15" x14ac:dyDescent="0.25">
      <c r="B630" s="6"/>
      <c r="C630" s="165"/>
      <c r="D630" s="73"/>
      <c r="E630" s="850"/>
      <c r="F630" s="851"/>
      <c r="G630" s="851"/>
      <c r="H630" s="852"/>
      <c r="I630" s="622" t="s">
        <v>609</v>
      </c>
      <c r="J630" s="622"/>
      <c r="K630" s="622"/>
      <c r="L630" s="803" t="str">
        <f>IF(L629="*","*",IF(L629&lt; 0.95, "Lower than required coverage", IF(L629 &gt;=0.95, "Required coverage or above")))</f>
        <v>Required coverage or above</v>
      </c>
      <c r="M630" s="803"/>
      <c r="N630" s="803"/>
      <c r="O630" s="803"/>
      <c r="P630" s="803" t="str">
        <f>IF(P629="*","*",IF(P629&lt; 0.95, "Lower than required coverage", IF(P629 &gt;=0.95, "Required coverage or above")))</f>
        <v>Lower than required coverage</v>
      </c>
      <c r="Q630" s="803"/>
      <c r="R630" s="803"/>
      <c r="S630" s="803"/>
      <c r="T630" s="165"/>
      <c r="U630" s="165"/>
      <c r="V630" s="165"/>
      <c r="W630" s="5"/>
    </row>
    <row r="631" spans="2:23" ht="15" x14ac:dyDescent="0.25">
      <c r="B631" s="6"/>
      <c r="C631" s="165"/>
      <c r="D631" s="73" t="s">
        <v>935</v>
      </c>
      <c r="E631" s="775" t="s">
        <v>968</v>
      </c>
      <c r="F631" s="776"/>
      <c r="G631" s="776"/>
      <c r="H631" s="777"/>
      <c r="I631" s="853" t="s">
        <v>607</v>
      </c>
      <c r="J631" s="853"/>
      <c r="K631" s="853"/>
      <c r="L631" s="857">
        <f>IF(HLOOKUP(D631,Imms201415,selection+1,FALSE)="","n/a",(HLOOKUP(D631,Imms201415,selection+1,FALSE)))</f>
        <v>282</v>
      </c>
      <c r="M631" s="857"/>
      <c r="N631" s="857"/>
      <c r="O631" s="857"/>
      <c r="P631" s="857">
        <f>IF(HLOOKUP(D631,Imms201415,selection2+1,FALSE)="","n/a",(HLOOKUP(D631,Imms201415,selection2+1,FALSE)))</f>
        <v>124</v>
      </c>
      <c r="Q631" s="857"/>
      <c r="R631" s="857"/>
      <c r="S631" s="857"/>
      <c r="T631" s="165"/>
      <c r="U631" s="165"/>
      <c r="V631" s="165"/>
      <c r="W631" s="5"/>
    </row>
    <row r="632" spans="2:23" ht="15" x14ac:dyDescent="0.25">
      <c r="B632" s="6"/>
      <c r="C632" s="165"/>
      <c r="D632" s="73"/>
      <c r="E632" s="775"/>
      <c r="F632" s="776"/>
      <c r="G632" s="776"/>
      <c r="H632" s="777"/>
      <c r="I632" s="622" t="s">
        <v>608</v>
      </c>
      <c r="J632" s="622"/>
      <c r="K632" s="622"/>
      <c r="L632" s="822">
        <f>IF(L621 = "*", "*",L631/L621)</f>
        <v>0.94</v>
      </c>
      <c r="M632" s="822"/>
      <c r="N632" s="822"/>
      <c r="O632" s="822"/>
      <c r="P632" s="822">
        <f>IF(P621 = "*", "*",P631/P621)</f>
        <v>0.8920863309352518</v>
      </c>
      <c r="Q632" s="822"/>
      <c r="R632" s="822"/>
      <c r="S632" s="822"/>
      <c r="T632" s="165"/>
      <c r="U632" s="165"/>
      <c r="V632" s="165"/>
      <c r="W632" s="5"/>
    </row>
    <row r="633" spans="2:23" ht="15" x14ac:dyDescent="0.25">
      <c r="B633" s="6"/>
      <c r="C633" s="165"/>
      <c r="D633" s="73"/>
      <c r="E633" s="850"/>
      <c r="F633" s="851"/>
      <c r="G633" s="851"/>
      <c r="H633" s="852"/>
      <c r="I633" s="622" t="s">
        <v>609</v>
      </c>
      <c r="J633" s="622"/>
      <c r="K633" s="622"/>
      <c r="L633" s="803" t="str">
        <f>IF(L632="*","*",IF(L632&lt; 0.95, "Lower than required coverage", IF(L632 &gt;=0.95, "Required coverage or above")))</f>
        <v>Lower than required coverage</v>
      </c>
      <c r="M633" s="803"/>
      <c r="N633" s="803"/>
      <c r="O633" s="803"/>
      <c r="P633" s="803" t="str">
        <f>IF(P632="*","*",IF(P632&lt; 0.95, "Lower than required coverage", IF(P632 &gt;=0.95, "Required coverage or above")))</f>
        <v>Lower than required coverage</v>
      </c>
      <c r="Q633" s="803"/>
      <c r="R633" s="803"/>
      <c r="S633" s="803"/>
      <c r="T633" s="165"/>
      <c r="U633" s="165"/>
      <c r="V633" s="165"/>
      <c r="W633" s="5"/>
    </row>
    <row r="634" spans="2:23" ht="15" x14ac:dyDescent="0.25">
      <c r="B634" s="6"/>
      <c r="C634" s="165"/>
      <c r="D634" s="73" t="s">
        <v>934</v>
      </c>
      <c r="E634" s="814" t="s">
        <v>966</v>
      </c>
      <c r="F634" s="815"/>
      <c r="G634" s="815"/>
      <c r="H634" s="816"/>
      <c r="I634" s="622" t="s">
        <v>607</v>
      </c>
      <c r="J634" s="622"/>
      <c r="K634" s="622"/>
      <c r="L634" s="803">
        <f>IF(HLOOKUP(D634,Imms201415,selection+1,FALSE)="","n/a",(HLOOKUP(D634,Imms201415,selection+1,FALSE)))</f>
        <v>282</v>
      </c>
      <c r="M634" s="803"/>
      <c r="N634" s="803"/>
      <c r="O634" s="803"/>
      <c r="P634" s="803">
        <f>IF(HLOOKUP(D634,Imms201415,selection2+1,FALSE)="","n/a",(HLOOKUP(D634,Imms201415,selection2+1,FALSE)))</f>
        <v>125</v>
      </c>
      <c r="Q634" s="803"/>
      <c r="R634" s="803"/>
      <c r="S634" s="803"/>
      <c r="T634" s="165"/>
      <c r="U634" s="165"/>
      <c r="V634" s="165"/>
      <c r="W634" s="5"/>
    </row>
    <row r="635" spans="2:23" ht="15" x14ac:dyDescent="0.25">
      <c r="B635" s="6"/>
      <c r="C635" s="165"/>
      <c r="D635" s="73"/>
      <c r="E635" s="775"/>
      <c r="F635" s="776"/>
      <c r="G635" s="776"/>
      <c r="H635" s="777"/>
      <c r="I635" s="622" t="s">
        <v>608</v>
      </c>
      <c r="J635" s="622"/>
      <c r="K635" s="622"/>
      <c r="L635" s="822">
        <f>IF(L621 = "*", "*",L634/L621)</f>
        <v>0.94</v>
      </c>
      <c r="M635" s="822"/>
      <c r="N635" s="822"/>
      <c r="O635" s="822"/>
      <c r="P635" s="822">
        <f>IF(P621 = "*", "*",P634/P621)</f>
        <v>0.89928057553956831</v>
      </c>
      <c r="Q635" s="822"/>
      <c r="R635" s="822"/>
      <c r="S635" s="822"/>
      <c r="T635" s="165"/>
      <c r="U635" s="165"/>
      <c r="V635" s="165"/>
      <c r="W635" s="5"/>
    </row>
    <row r="636" spans="2:23" ht="15" x14ac:dyDescent="0.25">
      <c r="B636" s="6"/>
      <c r="C636" s="165"/>
      <c r="D636" s="73"/>
      <c r="E636" s="850"/>
      <c r="F636" s="851"/>
      <c r="G636" s="851"/>
      <c r="H636" s="852"/>
      <c r="I636" s="622" t="s">
        <v>609</v>
      </c>
      <c r="J636" s="622"/>
      <c r="K636" s="622"/>
      <c r="L636" s="803" t="str">
        <f>IF(L635="*","*",IF(L635&lt; 0.95, "Lower than required coverage", IF(L635 &gt;=0.95, "Required coverage or above")))</f>
        <v>Lower than required coverage</v>
      </c>
      <c r="M636" s="803"/>
      <c r="N636" s="803"/>
      <c r="O636" s="803"/>
      <c r="P636" s="803" t="str">
        <f>IF(P635="*","*",IF(P635&lt; 0.95, "Lower than required coverage", IF(P635 &gt;=0.95, "Required coverage or above")))</f>
        <v>Lower than required coverage</v>
      </c>
      <c r="Q636" s="803"/>
      <c r="R636" s="803"/>
      <c r="S636" s="803"/>
      <c r="T636" s="165"/>
      <c r="U636" s="165"/>
      <c r="V636" s="165"/>
      <c r="W636" s="5"/>
    </row>
    <row r="637" spans="2:23" ht="15" x14ac:dyDescent="0.25">
      <c r="B637" s="6"/>
      <c r="C637" s="165"/>
      <c r="D637" s="73" t="s">
        <v>932</v>
      </c>
      <c r="E637" s="814" t="s">
        <v>965</v>
      </c>
      <c r="F637" s="815"/>
      <c r="G637" s="815"/>
      <c r="H637" s="816"/>
      <c r="I637" s="622" t="s">
        <v>607</v>
      </c>
      <c r="J637" s="622"/>
      <c r="K637" s="622"/>
      <c r="L637" s="803">
        <f>IF(HLOOKUP(D637,Imms201415,selection+1,FALSE)="","n/a",(HLOOKUP(D637,Imms201415,selection+1,FALSE)))</f>
        <v>278</v>
      </c>
      <c r="M637" s="803"/>
      <c r="N637" s="803"/>
      <c r="O637" s="803"/>
      <c r="P637" s="803">
        <f>IF(HLOOKUP(D637,Imms201415,selection2+1,FALSE)="","n/a",(HLOOKUP(D637,Imms201415,selection2+1,FALSE)))</f>
        <v>124</v>
      </c>
      <c r="Q637" s="803"/>
      <c r="R637" s="803"/>
      <c r="S637" s="803"/>
      <c r="T637" s="165"/>
      <c r="U637" s="165"/>
      <c r="V637" s="165"/>
      <c r="W637" s="5"/>
    </row>
    <row r="638" spans="2:23" ht="15" x14ac:dyDescent="0.25">
      <c r="B638" s="6"/>
      <c r="C638" s="165"/>
      <c r="D638" s="165"/>
      <c r="E638" s="775"/>
      <c r="F638" s="776"/>
      <c r="G638" s="776"/>
      <c r="H638" s="777"/>
      <c r="I638" s="622" t="s">
        <v>608</v>
      </c>
      <c r="J638" s="622"/>
      <c r="K638" s="622"/>
      <c r="L638" s="822">
        <f>IF(L621 = "*", "*",L637/L621)</f>
        <v>0.92666666666666664</v>
      </c>
      <c r="M638" s="822"/>
      <c r="N638" s="822"/>
      <c r="O638" s="822"/>
      <c r="P638" s="822">
        <f>IF(P621 = "*", "*",P637/P621)</f>
        <v>0.8920863309352518</v>
      </c>
      <c r="Q638" s="822"/>
      <c r="R638" s="822"/>
      <c r="S638" s="822"/>
      <c r="T638" s="165"/>
      <c r="U638" s="165"/>
      <c r="V638" s="165"/>
      <c r="W638" s="5"/>
    </row>
    <row r="639" spans="2:23" ht="15.75" thickBot="1" x14ac:dyDescent="0.3">
      <c r="B639" s="6"/>
      <c r="C639" s="165"/>
      <c r="D639" s="165"/>
      <c r="E639" s="778"/>
      <c r="F639" s="779"/>
      <c r="G639" s="779"/>
      <c r="H639" s="780"/>
      <c r="I639" s="796" t="s">
        <v>609</v>
      </c>
      <c r="J639" s="796"/>
      <c r="K639" s="796"/>
      <c r="L639" s="808" t="str">
        <f>IF(L638="*","*",IF(L638&lt; 0.95, "Lower than required coverage", IF(L638 &gt;=0.95, "Required coverage or above")))</f>
        <v>Lower than required coverage</v>
      </c>
      <c r="M639" s="808"/>
      <c r="N639" s="808"/>
      <c r="O639" s="808"/>
      <c r="P639" s="808" t="str">
        <f>IF(P638="*","*",IF(P638&lt; 0.95, "Lower than required coverage", IF(P638 &gt;=0.95, "Required coverage or above")))</f>
        <v>Lower than required coverage</v>
      </c>
      <c r="Q639" s="808"/>
      <c r="R639" s="808"/>
      <c r="S639" s="808"/>
      <c r="T639" s="165"/>
      <c r="U639" s="165"/>
      <c r="V639" s="165"/>
      <c r="W639" s="5"/>
    </row>
    <row r="640" spans="2:23" ht="15.75" thickTop="1" x14ac:dyDescent="0.25">
      <c r="B640" s="6"/>
      <c r="C640" s="165"/>
      <c r="D640" s="165"/>
      <c r="E640" s="165"/>
      <c r="F640" s="165"/>
      <c r="G640" s="165"/>
      <c r="H640" s="165"/>
      <c r="I640" s="165"/>
      <c r="J640" s="165"/>
      <c r="K640" s="165"/>
      <c r="L640" s="165"/>
      <c r="M640" s="165"/>
      <c r="N640" s="165"/>
      <c r="O640" s="165"/>
      <c r="P640" s="165"/>
      <c r="Q640" s="165"/>
      <c r="R640" s="165"/>
      <c r="S640" s="165"/>
      <c r="T640" s="165"/>
      <c r="U640" s="165"/>
      <c r="V640" s="165"/>
      <c r="W640" s="5"/>
    </row>
    <row r="641" spans="2:23" ht="15" x14ac:dyDescent="0.25">
      <c r="B641" s="6"/>
      <c r="C641" s="165"/>
      <c r="D641" s="165"/>
      <c r="E641" s="165"/>
      <c r="F641" s="165"/>
      <c r="G641" s="165"/>
      <c r="H641" s="165"/>
      <c r="I641" s="165"/>
      <c r="J641" s="165"/>
      <c r="K641" s="165"/>
      <c r="L641" s="165"/>
      <c r="M641" s="165"/>
      <c r="N641" s="165"/>
      <c r="O641" s="165"/>
      <c r="P641" s="165"/>
      <c r="Q641" s="165"/>
      <c r="R641" s="165"/>
      <c r="S641" s="165"/>
      <c r="T641" s="165"/>
      <c r="U641" s="165"/>
      <c r="V641" s="165"/>
      <c r="W641" s="5"/>
    </row>
    <row r="642" spans="2:23" ht="15" x14ac:dyDescent="0.25">
      <c r="B642" s="6"/>
      <c r="C642" s="165"/>
      <c r="D642" s="165"/>
      <c r="E642" s="165"/>
      <c r="F642" s="165"/>
      <c r="G642" s="165"/>
      <c r="H642" s="165"/>
      <c r="I642" s="165"/>
      <c r="J642" s="165"/>
      <c r="K642" s="165"/>
      <c r="L642" s="165"/>
      <c r="M642" s="165"/>
      <c r="N642" s="165"/>
      <c r="O642" s="165"/>
      <c r="P642" s="165"/>
      <c r="Q642" s="165"/>
      <c r="R642" s="165"/>
      <c r="S642" s="165"/>
      <c r="T642" s="165"/>
      <c r="U642" s="165"/>
      <c r="V642" s="165"/>
      <c r="W642" s="5"/>
    </row>
    <row r="643" spans="2:23" ht="15" x14ac:dyDescent="0.25">
      <c r="B643" s="6"/>
      <c r="C643" s="165"/>
      <c r="D643" s="165"/>
      <c r="E643" s="803"/>
      <c r="F643" s="803"/>
      <c r="G643" s="803"/>
      <c r="H643" s="803"/>
      <c r="I643" s="803"/>
      <c r="J643" s="803"/>
      <c r="K643" s="803"/>
      <c r="L643" s="746" t="str">
        <f>INDEX(Locations, selection)</f>
        <v>Kingston Buci</v>
      </c>
      <c r="M643" s="809"/>
      <c r="N643" s="809"/>
      <c r="O643" s="747"/>
      <c r="P643" s="752" t="str">
        <f>INDEX(Locations, selection2)</f>
        <v>Stepping Stones</v>
      </c>
      <c r="Q643" s="798"/>
      <c r="R643" s="798"/>
      <c r="S643" s="753"/>
      <c r="T643" s="165"/>
      <c r="U643" s="165"/>
      <c r="V643" s="165"/>
      <c r="W643" s="5"/>
    </row>
    <row r="644" spans="2:23" ht="15" x14ac:dyDescent="0.25">
      <c r="B644" s="6"/>
      <c r="C644" s="165"/>
      <c r="D644" s="165"/>
      <c r="E644" s="803"/>
      <c r="F644" s="803"/>
      <c r="G644" s="803"/>
      <c r="H644" s="803"/>
      <c r="I644" s="803"/>
      <c r="J644" s="803"/>
      <c r="K644" s="803"/>
      <c r="L644" s="748"/>
      <c r="M644" s="810"/>
      <c r="N644" s="810"/>
      <c r="O644" s="749"/>
      <c r="P644" s="754"/>
      <c r="Q644" s="799"/>
      <c r="R644" s="799"/>
      <c r="S644" s="755"/>
      <c r="T644" s="165"/>
      <c r="U644" s="165"/>
      <c r="V644" s="165"/>
      <c r="W644" s="5"/>
    </row>
    <row r="645" spans="2:23" ht="15" thickBot="1" x14ac:dyDescent="0.25">
      <c r="B645" s="6"/>
      <c r="C645" s="69"/>
      <c r="D645" s="69"/>
      <c r="E645" s="808"/>
      <c r="F645" s="808"/>
      <c r="G645" s="808"/>
      <c r="H645" s="808"/>
      <c r="I645" s="808"/>
      <c r="J645" s="808"/>
      <c r="K645" s="808"/>
      <c r="L645" s="811"/>
      <c r="M645" s="812"/>
      <c r="N645" s="812"/>
      <c r="O645" s="813"/>
      <c r="P645" s="800"/>
      <c r="Q645" s="801"/>
      <c r="R645" s="801"/>
      <c r="S645" s="802"/>
      <c r="T645" s="69"/>
      <c r="U645" s="69"/>
      <c r="V645" s="69"/>
      <c r="W645" s="6"/>
    </row>
    <row r="646" spans="2:23" ht="16.5" thickTop="1" thickBot="1" x14ac:dyDescent="0.3">
      <c r="B646" s="6"/>
      <c r="C646" s="69"/>
      <c r="D646" s="76" t="s">
        <v>936</v>
      </c>
      <c r="E646" s="858" t="s">
        <v>612</v>
      </c>
      <c r="F646" s="859"/>
      <c r="G646" s="859"/>
      <c r="H646" s="859"/>
      <c r="I646" s="859"/>
      <c r="J646" s="859"/>
      <c r="K646" s="860"/>
      <c r="L646" s="869">
        <f>HLOOKUP(D646,Imms201415,selection+1, FALSE)</f>
        <v>302</v>
      </c>
      <c r="M646" s="870"/>
      <c r="N646" s="870"/>
      <c r="O646" s="871"/>
      <c r="P646" s="869">
        <f>HLOOKUP(D646,Imms201415,selection2+1,FALSE)</f>
        <v>114</v>
      </c>
      <c r="Q646" s="870"/>
      <c r="R646" s="870"/>
      <c r="S646" s="871"/>
      <c r="T646" s="69"/>
      <c r="U646" s="69"/>
      <c r="V646" s="69"/>
      <c r="W646" s="6"/>
    </row>
    <row r="647" spans="2:23" ht="15.75" thickTop="1" x14ac:dyDescent="0.25">
      <c r="B647" s="6"/>
      <c r="C647" s="69"/>
      <c r="D647" s="76" t="s">
        <v>950</v>
      </c>
      <c r="E647" s="861" t="s">
        <v>971</v>
      </c>
      <c r="F647" s="862"/>
      <c r="G647" s="862"/>
      <c r="H647" s="863"/>
      <c r="I647" s="864" t="s">
        <v>607</v>
      </c>
      <c r="J647" s="864"/>
      <c r="K647" s="864"/>
      <c r="L647" s="865">
        <f>IF(HLOOKUP(D647,Imms201415,selection+1,FALSE)="","n/a",(HLOOKUP(D647,Imms201415,selection+1,FALSE)))</f>
        <v>292</v>
      </c>
      <c r="M647" s="866"/>
      <c r="N647" s="866"/>
      <c r="O647" s="867"/>
      <c r="P647" s="868">
        <f>IF(HLOOKUP(D647,Imms201415,selection2+1,FALSE)="","n/a",(HLOOKUP(D647,Imms201415,selection2+1,FALSE)))</f>
        <v>112</v>
      </c>
      <c r="Q647" s="868"/>
      <c r="R647" s="868"/>
      <c r="S647" s="868"/>
      <c r="T647" s="69"/>
      <c r="U647" s="69"/>
      <c r="V647" s="69"/>
      <c r="W647" s="6"/>
    </row>
    <row r="648" spans="2:23" ht="15" x14ac:dyDescent="0.25">
      <c r="B648" s="6"/>
      <c r="C648" s="69"/>
      <c r="D648" s="76"/>
      <c r="E648" s="775"/>
      <c r="F648" s="776"/>
      <c r="G648" s="776"/>
      <c r="H648" s="777"/>
      <c r="I648" s="622" t="s">
        <v>608</v>
      </c>
      <c r="J648" s="622"/>
      <c r="K648" s="622"/>
      <c r="L648" s="822">
        <f>IF(L$646 = "*", "*",L647/L$646)</f>
        <v>0.9668874172185431</v>
      </c>
      <c r="M648" s="822"/>
      <c r="N648" s="822"/>
      <c r="O648" s="822"/>
      <c r="P648" s="822">
        <f>IF(P646 = "*", "*",P647/P646)</f>
        <v>0.98245614035087714</v>
      </c>
      <c r="Q648" s="822"/>
      <c r="R648" s="822"/>
      <c r="S648" s="822"/>
      <c r="T648" s="69"/>
      <c r="U648" s="69"/>
      <c r="V648" s="69"/>
      <c r="W648" s="6"/>
    </row>
    <row r="649" spans="2:23" ht="15" x14ac:dyDescent="0.25">
      <c r="B649" s="6"/>
      <c r="C649" s="69"/>
      <c r="D649" s="76"/>
      <c r="E649" s="787"/>
      <c r="F649" s="788"/>
      <c r="G649" s="788"/>
      <c r="H649" s="789"/>
      <c r="I649" s="785" t="s">
        <v>609</v>
      </c>
      <c r="J649" s="785"/>
      <c r="K649" s="785"/>
      <c r="L649" s="786" t="str">
        <f>IF(L648="*","*",IF(L648&lt; 0.95, "Lower than required coverage", IF(L648 &gt;=0.95, "Required coverage or above")))</f>
        <v>Required coverage or above</v>
      </c>
      <c r="M649" s="786"/>
      <c r="N649" s="786"/>
      <c r="O649" s="786"/>
      <c r="P649" s="786" t="str">
        <f>IF(P648="*","*",IF(P648&lt; 0.95, "Lower than required coverage", IF(P648 &gt;=0.95, "Required coverage or above")))</f>
        <v>Required coverage or above</v>
      </c>
      <c r="Q649" s="786"/>
      <c r="R649" s="786"/>
      <c r="S649" s="786"/>
      <c r="T649" s="69"/>
      <c r="U649" s="69"/>
      <c r="V649" s="69"/>
      <c r="W649" s="6"/>
    </row>
    <row r="650" spans="2:23" ht="15" customHeight="1" x14ac:dyDescent="0.25">
      <c r="B650" s="6"/>
      <c r="C650" s="69"/>
      <c r="D650" s="76" t="s">
        <v>951</v>
      </c>
      <c r="E650" s="772" t="s">
        <v>970</v>
      </c>
      <c r="F650" s="773"/>
      <c r="G650" s="773"/>
      <c r="H650" s="774"/>
      <c r="I650" s="781" t="s">
        <v>607</v>
      </c>
      <c r="J650" s="781"/>
      <c r="K650" s="781"/>
      <c r="L650" s="782">
        <f>IF(HLOOKUP(D650,Imms201415,selection+1,FALSE)="","n/a",(HLOOKUP(D650,Imms201415,selection+1,FALSE)))</f>
        <v>294</v>
      </c>
      <c r="M650" s="783"/>
      <c r="N650" s="783"/>
      <c r="O650" s="784"/>
      <c r="P650" s="797">
        <f>IF(HLOOKUP(D650,Imms201415,selection2+1,FALSE)="","n/a",(HLOOKUP(D650,Imms201415,selection2+1,FALSE)))</f>
        <v>111</v>
      </c>
      <c r="Q650" s="797"/>
      <c r="R650" s="797"/>
      <c r="S650" s="797"/>
      <c r="T650" s="69"/>
      <c r="U650" s="69"/>
      <c r="V650" s="69"/>
      <c r="W650" s="6"/>
    </row>
    <row r="651" spans="2:23" ht="15" x14ac:dyDescent="0.25">
      <c r="B651" s="6"/>
      <c r="C651" s="69"/>
      <c r="D651" s="76"/>
      <c r="E651" s="775"/>
      <c r="F651" s="776"/>
      <c r="G651" s="776"/>
      <c r="H651" s="777"/>
      <c r="I651" s="622" t="s">
        <v>608</v>
      </c>
      <c r="J651" s="622"/>
      <c r="K651" s="622"/>
      <c r="L651" s="822">
        <f>IF(L$646 = "*", "*",L650/L$646)</f>
        <v>0.97350993377483441</v>
      </c>
      <c r="M651" s="822"/>
      <c r="N651" s="822"/>
      <c r="O651" s="822"/>
      <c r="P651" s="822">
        <f>IF(P$646 = "*", "*",P650/P$646)</f>
        <v>0.97368421052631582</v>
      </c>
      <c r="Q651" s="822"/>
      <c r="R651" s="822"/>
      <c r="S651" s="822"/>
      <c r="T651" s="69"/>
      <c r="U651" s="69"/>
      <c r="V651" s="69"/>
      <c r="W651" s="6"/>
    </row>
    <row r="652" spans="2:23" ht="15" x14ac:dyDescent="0.25">
      <c r="B652" s="6"/>
      <c r="C652" s="69"/>
      <c r="D652" s="76"/>
      <c r="E652" s="787"/>
      <c r="F652" s="788"/>
      <c r="G652" s="788"/>
      <c r="H652" s="789"/>
      <c r="I652" s="785" t="s">
        <v>609</v>
      </c>
      <c r="J652" s="785"/>
      <c r="K652" s="785"/>
      <c r="L652" s="786" t="str">
        <f>IF(L651="*","*",IF(L651&lt; 0.95, "Lower than required coverage", IF(L651 &gt;=0.95, "Required coverage or above")))</f>
        <v>Required coverage or above</v>
      </c>
      <c r="M652" s="786"/>
      <c r="N652" s="786"/>
      <c r="O652" s="786"/>
      <c r="P652" s="786" t="str">
        <f>IF(P651="*","*",IF(P651&lt; 0.95, "Lower than required coverage", IF(P651 &gt;=0.95, "Required coverage or above")))</f>
        <v>Required coverage or above</v>
      </c>
      <c r="Q652" s="786"/>
      <c r="R652" s="786"/>
      <c r="S652" s="786"/>
      <c r="T652" s="69"/>
      <c r="U652" s="69"/>
      <c r="V652" s="69"/>
      <c r="W652" s="6"/>
    </row>
    <row r="653" spans="2:23" ht="15" x14ac:dyDescent="0.25">
      <c r="B653" s="6"/>
      <c r="C653" s="69"/>
      <c r="D653" s="76" t="s">
        <v>955</v>
      </c>
      <c r="E653" s="772" t="s">
        <v>973</v>
      </c>
      <c r="F653" s="773"/>
      <c r="G653" s="773"/>
      <c r="H653" s="774"/>
      <c r="I653" s="781" t="s">
        <v>607</v>
      </c>
      <c r="J653" s="781"/>
      <c r="K653" s="781"/>
      <c r="L653" s="782">
        <f>IF(HLOOKUP(D653,Imms201415,selection+1,FALSE)="","n/a",(HLOOKUP(D653,Imms201415,selection+1,FALSE)))</f>
        <v>293</v>
      </c>
      <c r="M653" s="783"/>
      <c r="N653" s="783"/>
      <c r="O653" s="784"/>
      <c r="P653" s="797">
        <f>IF(HLOOKUP(D653,Imms201415,selection2+1,FALSE)="","n/a",(HLOOKUP(D653,Imms201415,selection2+1,FALSE)))</f>
        <v>112</v>
      </c>
      <c r="Q653" s="797"/>
      <c r="R653" s="797"/>
      <c r="S653" s="797"/>
      <c r="T653" s="69"/>
      <c r="U653" s="69"/>
      <c r="V653" s="69"/>
      <c r="W653" s="6"/>
    </row>
    <row r="654" spans="2:23" ht="15" x14ac:dyDescent="0.25">
      <c r="B654" s="6"/>
      <c r="C654" s="69"/>
      <c r="D654" s="76"/>
      <c r="E654" s="775"/>
      <c r="F654" s="776"/>
      <c r="G654" s="776"/>
      <c r="H654" s="777"/>
      <c r="I654" s="622" t="s">
        <v>608</v>
      </c>
      <c r="J654" s="622"/>
      <c r="K654" s="622"/>
      <c r="L654" s="822">
        <f>IF(L$646 = "*", "*",L653/L$646)</f>
        <v>0.9701986754966887</v>
      </c>
      <c r="M654" s="822"/>
      <c r="N654" s="822"/>
      <c r="O654" s="822"/>
      <c r="P654" s="822">
        <f>IF(P$646 = "*", "*",P653/P$646)</f>
        <v>0.98245614035087714</v>
      </c>
      <c r="Q654" s="822"/>
      <c r="R654" s="822"/>
      <c r="S654" s="822"/>
      <c r="T654" s="69"/>
      <c r="U654" s="69"/>
      <c r="V654" s="69"/>
      <c r="W654" s="6"/>
    </row>
    <row r="655" spans="2:23" ht="15" x14ac:dyDescent="0.25">
      <c r="B655" s="6"/>
      <c r="C655" s="69"/>
      <c r="D655" s="76"/>
      <c r="E655" s="787"/>
      <c r="F655" s="788"/>
      <c r="G655" s="788"/>
      <c r="H655" s="789"/>
      <c r="I655" s="785" t="s">
        <v>609</v>
      </c>
      <c r="J655" s="785"/>
      <c r="K655" s="785"/>
      <c r="L655" s="786" t="str">
        <f>IF(L654="*","*",IF(L654&lt; 0.95, "Lower than required coverage", IF(L654 &gt;=0.95, "Required coverage or above")))</f>
        <v>Required coverage or above</v>
      </c>
      <c r="M655" s="786"/>
      <c r="N655" s="786"/>
      <c r="O655" s="786"/>
      <c r="P655" s="786" t="str">
        <f>IF(P654="*","*",IF(P654&lt; 0.95, "Lower than required coverage", IF(P654 &gt;=0.95, "Required coverage or above")))</f>
        <v>Required coverage or above</v>
      </c>
      <c r="Q655" s="786"/>
      <c r="R655" s="786"/>
      <c r="S655" s="786"/>
      <c r="T655" s="69"/>
      <c r="U655" s="69"/>
      <c r="V655" s="69"/>
      <c r="W655" s="6"/>
    </row>
    <row r="656" spans="2:23" s="69" customFormat="1" ht="15" x14ac:dyDescent="0.25">
      <c r="B656" s="6"/>
      <c r="D656" s="76" t="s">
        <v>953</v>
      </c>
      <c r="E656" s="772" t="s">
        <v>976</v>
      </c>
      <c r="F656" s="773"/>
      <c r="G656" s="773"/>
      <c r="H656" s="774"/>
      <c r="I656" s="781" t="s">
        <v>607</v>
      </c>
      <c r="J656" s="781"/>
      <c r="K656" s="781"/>
      <c r="L656" s="782">
        <f>IF(HLOOKUP(D656,Imms201415,selection+1,FALSE)="","n/a",(HLOOKUP(D656,Imms201415,selection+1,FALSE)))</f>
        <v>287</v>
      </c>
      <c r="M656" s="783"/>
      <c r="N656" s="783"/>
      <c r="O656" s="784"/>
      <c r="P656" s="797">
        <f>IF(HLOOKUP(D656,Imms201415,selection2+1,FALSE)="","n/a",(HLOOKUP(D656,Imms201415,selection2+1,FALSE)))</f>
        <v>111</v>
      </c>
      <c r="Q656" s="797"/>
      <c r="R656" s="797"/>
      <c r="S656" s="797"/>
      <c r="W656" s="6"/>
    </row>
    <row r="657" spans="2:23" s="69" customFormat="1" ht="15" x14ac:dyDescent="0.25">
      <c r="B657" s="6"/>
      <c r="D657" s="76"/>
      <c r="E657" s="775"/>
      <c r="F657" s="776"/>
      <c r="G657" s="776"/>
      <c r="H657" s="777"/>
      <c r="I657" s="622" t="s">
        <v>608</v>
      </c>
      <c r="J657" s="622"/>
      <c r="K657" s="622"/>
      <c r="L657" s="822">
        <f>IF(L$646 = "*", "*",L656/L$646)</f>
        <v>0.95033112582781454</v>
      </c>
      <c r="M657" s="822"/>
      <c r="N657" s="822"/>
      <c r="O657" s="822"/>
      <c r="P657" s="822">
        <f>IF(P$646 = "*", "*",P656/P$646)</f>
        <v>0.97368421052631582</v>
      </c>
      <c r="Q657" s="822"/>
      <c r="R657" s="822"/>
      <c r="S657" s="822"/>
      <c r="W657" s="6"/>
    </row>
    <row r="658" spans="2:23" s="69" customFormat="1" ht="15.75" thickBot="1" x14ac:dyDescent="0.3">
      <c r="B658" s="6"/>
      <c r="D658" s="76"/>
      <c r="E658" s="778"/>
      <c r="F658" s="779"/>
      <c r="G658" s="779"/>
      <c r="H658" s="780"/>
      <c r="I658" s="796" t="s">
        <v>609</v>
      </c>
      <c r="J658" s="796"/>
      <c r="K658" s="796"/>
      <c r="L658" s="808" t="str">
        <f>IF(L657="*","*",IF(L657&lt; 0.95, "Lower than required coverage", IF(L657 &gt;=0.95, "Required coverage or above")))</f>
        <v>Required coverage or above</v>
      </c>
      <c r="M658" s="808"/>
      <c r="N658" s="808"/>
      <c r="O658" s="808"/>
      <c r="P658" s="808" t="str">
        <f>IF(P657="*","*",IF(P657&lt; 0.95, "Lower than required coverage", IF(P657 &gt;=0.95, "Required coverage or above")))</f>
        <v>Required coverage or above</v>
      </c>
      <c r="Q658" s="808"/>
      <c r="R658" s="808"/>
      <c r="S658" s="808"/>
      <c r="W658" s="6"/>
    </row>
    <row r="659" spans="2:23" s="69" customFormat="1" ht="15.75" thickTop="1" x14ac:dyDescent="0.25">
      <c r="B659" s="6"/>
      <c r="D659" s="76" t="s">
        <v>948</v>
      </c>
      <c r="E659" s="775" t="s">
        <v>979</v>
      </c>
      <c r="F659" s="776"/>
      <c r="G659" s="776"/>
      <c r="H659" s="777"/>
      <c r="I659" s="853" t="s">
        <v>607</v>
      </c>
      <c r="J659" s="853"/>
      <c r="K659" s="853"/>
      <c r="L659" s="854">
        <f>IF(HLOOKUP(D659,Imms201415,selection+1,FALSE)="","n/a",(HLOOKUP(D659,Imms201415,selection+1,FALSE)))</f>
        <v>292</v>
      </c>
      <c r="M659" s="855"/>
      <c r="N659" s="855"/>
      <c r="O659" s="856"/>
      <c r="P659" s="857">
        <f>IF(HLOOKUP(D659,Imms201415,selection2+1,FALSE)="","n/a",(HLOOKUP(D659,Imms201415,selection2+1,FALSE)))</f>
        <v>112</v>
      </c>
      <c r="Q659" s="857"/>
      <c r="R659" s="857"/>
      <c r="S659" s="857"/>
      <c r="W659" s="6"/>
    </row>
    <row r="660" spans="2:23" s="69" customFormat="1" ht="15" x14ac:dyDescent="0.25">
      <c r="B660" s="6"/>
      <c r="D660" s="76"/>
      <c r="E660" s="775"/>
      <c r="F660" s="776"/>
      <c r="G660" s="776"/>
      <c r="H660" s="777"/>
      <c r="I660" s="622" t="s">
        <v>608</v>
      </c>
      <c r="J660" s="622"/>
      <c r="K660" s="622"/>
      <c r="L660" s="822">
        <f>IF(L$646 = "*", "*",L659/L$646)</f>
        <v>0.9668874172185431</v>
      </c>
      <c r="M660" s="822"/>
      <c r="N660" s="822"/>
      <c r="O660" s="822"/>
      <c r="P660" s="822">
        <f>IF(P$646 = "*", "*",P659/P$646)</f>
        <v>0.98245614035087714</v>
      </c>
      <c r="Q660" s="822"/>
      <c r="R660" s="822"/>
      <c r="S660" s="822"/>
      <c r="W660" s="6"/>
    </row>
    <row r="661" spans="2:23" s="69" customFormat="1" ht="15" x14ac:dyDescent="0.25">
      <c r="B661" s="6"/>
      <c r="D661" s="76"/>
      <c r="E661" s="787"/>
      <c r="F661" s="788"/>
      <c r="G661" s="788"/>
      <c r="H661" s="789"/>
      <c r="I661" s="785" t="s">
        <v>609</v>
      </c>
      <c r="J661" s="785"/>
      <c r="K661" s="785"/>
      <c r="L661" s="786" t="str">
        <f>IF(L660="*","*",IF(L660&lt; 0.95, "Lower than required coverage", IF(L660 &gt;=0.95, "Required coverage or above")))</f>
        <v>Required coverage or above</v>
      </c>
      <c r="M661" s="786"/>
      <c r="N661" s="786"/>
      <c r="O661" s="786"/>
      <c r="P661" s="786" t="str">
        <f>IF(P660="*","*",IF(P660&lt; 0.95, "Lower than required coverage", IF(P660 &gt;=0.95, "Required coverage or above")))</f>
        <v>Required coverage or above</v>
      </c>
      <c r="Q661" s="786"/>
      <c r="R661" s="786"/>
      <c r="S661" s="786"/>
      <c r="W661" s="6"/>
    </row>
    <row r="662" spans="2:23" ht="15" x14ac:dyDescent="0.25">
      <c r="B662" s="6"/>
      <c r="C662" s="69"/>
      <c r="D662" s="76" t="s">
        <v>956</v>
      </c>
      <c r="E662" s="775" t="s">
        <v>974</v>
      </c>
      <c r="F662" s="776"/>
      <c r="G662" s="776"/>
      <c r="H662" s="777"/>
      <c r="I662" s="853" t="s">
        <v>607</v>
      </c>
      <c r="J662" s="853"/>
      <c r="K662" s="853"/>
      <c r="L662" s="854">
        <f>IF(HLOOKUP(D662,Imms201415,selection+1,FALSE)="","n/a",(HLOOKUP(D662,Imms201415,selection+1,FALSE)))</f>
        <v>279</v>
      </c>
      <c r="M662" s="855"/>
      <c r="N662" s="855"/>
      <c r="O662" s="856"/>
      <c r="P662" s="857">
        <f>IF(HLOOKUP(D662,Imms201415,selection2+1,FALSE)="","n/a",(HLOOKUP(D662,Imms201415,selection2+1,FALSE)))</f>
        <v>111</v>
      </c>
      <c r="Q662" s="857"/>
      <c r="R662" s="857"/>
      <c r="S662" s="857"/>
      <c r="T662" s="69"/>
      <c r="U662" s="69"/>
      <c r="V662" s="69"/>
      <c r="W662" s="6"/>
    </row>
    <row r="663" spans="2:23" ht="15" x14ac:dyDescent="0.25">
      <c r="B663" s="6"/>
      <c r="C663" s="69"/>
      <c r="D663" s="76"/>
      <c r="E663" s="775"/>
      <c r="F663" s="776"/>
      <c r="G663" s="776"/>
      <c r="H663" s="777"/>
      <c r="I663" s="622" t="s">
        <v>608</v>
      </c>
      <c r="J663" s="622"/>
      <c r="K663" s="622"/>
      <c r="L663" s="822">
        <f>IF(L$646 = "*", "*",L662/L$646)</f>
        <v>0.92384105960264906</v>
      </c>
      <c r="M663" s="822"/>
      <c r="N663" s="822"/>
      <c r="O663" s="822"/>
      <c r="P663" s="822">
        <f>IF(P$646 = "*", "*",P662/P$646)</f>
        <v>0.97368421052631582</v>
      </c>
      <c r="Q663" s="822"/>
      <c r="R663" s="822"/>
      <c r="S663" s="822"/>
      <c r="T663" s="69"/>
      <c r="U663" s="69"/>
      <c r="V663" s="69"/>
      <c r="W663" s="6"/>
    </row>
    <row r="664" spans="2:23" ht="15" x14ac:dyDescent="0.25">
      <c r="B664" s="6"/>
      <c r="C664" s="69"/>
      <c r="D664" s="76"/>
      <c r="E664" s="787"/>
      <c r="F664" s="788"/>
      <c r="G664" s="788"/>
      <c r="H664" s="789"/>
      <c r="I664" s="785" t="s">
        <v>609</v>
      </c>
      <c r="J664" s="785"/>
      <c r="K664" s="785"/>
      <c r="L664" s="786" t="str">
        <f>IF(L663="*","*",IF(L663&lt; 0.95, "Lower than required coverage", IF(L663 &gt;=0.95, "Required coverage or above")))</f>
        <v>Lower than required coverage</v>
      </c>
      <c r="M664" s="786"/>
      <c r="N664" s="786"/>
      <c r="O664" s="786"/>
      <c r="P664" s="786" t="str">
        <f>IF(P663="*","*",IF(P663&lt; 0.95, "Lower than required coverage", IF(P663 &gt;=0.95, "Required coverage or above")))</f>
        <v>Required coverage or above</v>
      </c>
      <c r="Q664" s="786"/>
      <c r="R664" s="786"/>
      <c r="S664" s="786"/>
      <c r="T664" s="69"/>
      <c r="U664" s="69"/>
      <c r="V664" s="69"/>
      <c r="W664" s="6"/>
    </row>
    <row r="665" spans="2:23" ht="15" x14ac:dyDescent="0.25">
      <c r="B665" s="6"/>
      <c r="C665" s="69"/>
      <c r="D665" s="76" t="s">
        <v>952</v>
      </c>
      <c r="E665" s="772" t="s">
        <v>977</v>
      </c>
      <c r="F665" s="773"/>
      <c r="G665" s="773"/>
      <c r="H665" s="774"/>
      <c r="I665" s="781" t="s">
        <v>607</v>
      </c>
      <c r="J665" s="781"/>
      <c r="K665" s="781"/>
      <c r="L665" s="782">
        <f>IF(HLOOKUP(D665,Imms201415,selection+1,FALSE)="","n/a",(HLOOKUP(D665,Imms201415,selection+1,FALSE)))</f>
        <v>274</v>
      </c>
      <c r="M665" s="783"/>
      <c r="N665" s="783"/>
      <c r="O665" s="784"/>
      <c r="P665" s="797">
        <f>IF(HLOOKUP(D665,Imms201415,selection2+1,FALSE)="","n/a",(HLOOKUP(D665,Imms201415,selection2+1,FALSE)))</f>
        <v>106</v>
      </c>
      <c r="Q665" s="797"/>
      <c r="R665" s="797"/>
      <c r="S665" s="797"/>
      <c r="T665" s="69"/>
      <c r="U665" s="69"/>
      <c r="V665" s="69"/>
      <c r="W665" s="6"/>
    </row>
    <row r="666" spans="2:23" ht="15" x14ac:dyDescent="0.25">
      <c r="B666" s="6"/>
      <c r="C666" s="69"/>
      <c r="D666" s="76"/>
      <c r="E666" s="775"/>
      <c r="F666" s="776"/>
      <c r="G666" s="776"/>
      <c r="H666" s="777"/>
      <c r="I666" s="622" t="s">
        <v>608</v>
      </c>
      <c r="J666" s="622"/>
      <c r="K666" s="622"/>
      <c r="L666" s="822">
        <f>IF(L$646 = "*", "*",L665/L$646)</f>
        <v>0.9072847682119205</v>
      </c>
      <c r="M666" s="822"/>
      <c r="N666" s="822"/>
      <c r="O666" s="822"/>
      <c r="P666" s="822">
        <f>IF(P$646 = "*", "*",P665/P$646)</f>
        <v>0.92982456140350878</v>
      </c>
      <c r="Q666" s="822"/>
      <c r="R666" s="822"/>
      <c r="S666" s="822"/>
      <c r="T666" s="69"/>
      <c r="U666" s="69"/>
      <c r="V666" s="69"/>
      <c r="W666" s="6"/>
    </row>
    <row r="667" spans="2:23" ht="15" x14ac:dyDescent="0.25">
      <c r="B667" s="6"/>
      <c r="C667" s="69"/>
      <c r="D667" s="76"/>
      <c r="E667" s="787"/>
      <c r="F667" s="788"/>
      <c r="G667" s="788"/>
      <c r="H667" s="789"/>
      <c r="I667" s="785" t="s">
        <v>609</v>
      </c>
      <c r="J667" s="785"/>
      <c r="K667" s="785"/>
      <c r="L667" s="786" t="str">
        <f>IF(L666="*","*",IF(L666&lt; 0.95, "Lower than required coverage", IF(L666 &gt;=0.95, "Required coverage or above")))</f>
        <v>Lower than required coverage</v>
      </c>
      <c r="M667" s="786"/>
      <c r="N667" s="786"/>
      <c r="O667" s="786"/>
      <c r="P667" s="786" t="str">
        <f>IF(P666="*","*",IF(P666&lt; 0.95, "Lower than required coverage", IF(P666 &gt;=0.95, "Required coverage or above")))</f>
        <v>Lower than required coverage</v>
      </c>
      <c r="Q667" s="786"/>
      <c r="R667" s="786"/>
      <c r="S667" s="786"/>
      <c r="T667" s="69"/>
      <c r="U667" s="69"/>
      <c r="V667" s="69"/>
      <c r="W667" s="6"/>
    </row>
    <row r="668" spans="2:23" ht="15.75" customHeight="1" x14ac:dyDescent="0.25">
      <c r="B668" s="6"/>
      <c r="D668" s="76" t="s">
        <v>949</v>
      </c>
      <c r="E668" s="775" t="s">
        <v>978</v>
      </c>
      <c r="F668" s="776"/>
      <c r="G668" s="776"/>
      <c r="H668" s="777"/>
      <c r="I668" s="853" t="s">
        <v>607</v>
      </c>
      <c r="J668" s="853"/>
      <c r="K668" s="853"/>
      <c r="L668" s="854">
        <f>IF(HLOOKUP(D668,Imms201415,selection+1,FALSE)="","n/a",(HLOOKUP(D668,Imms201415,selection+1,FALSE)))</f>
        <v>279</v>
      </c>
      <c r="M668" s="855"/>
      <c r="N668" s="855"/>
      <c r="O668" s="856"/>
      <c r="P668" s="857">
        <f>IF(HLOOKUP(D668,Imms201415,selection2+1,FALSE)="","n/a",(HLOOKUP(D668,Imms201415,selection2+1,FALSE)))</f>
        <v>108</v>
      </c>
      <c r="Q668" s="857"/>
      <c r="R668" s="857"/>
      <c r="S668" s="857"/>
      <c r="W668" s="6"/>
    </row>
    <row r="669" spans="2:23" ht="14.25" customHeight="1" x14ac:dyDescent="0.25">
      <c r="B669" s="6"/>
      <c r="D669" s="76"/>
      <c r="E669" s="775"/>
      <c r="F669" s="776"/>
      <c r="G669" s="776"/>
      <c r="H669" s="777"/>
      <c r="I669" s="622" t="s">
        <v>608</v>
      </c>
      <c r="J669" s="622"/>
      <c r="K669" s="622"/>
      <c r="L669" s="822">
        <f>IF(L$646 = "*", "*",L668/L$646)</f>
        <v>0.92384105960264906</v>
      </c>
      <c r="M669" s="822"/>
      <c r="N669" s="822"/>
      <c r="O669" s="822"/>
      <c r="P669" s="822">
        <f>IF(P$646 = "*", "*",P668/P$646)</f>
        <v>0.94736842105263153</v>
      </c>
      <c r="Q669" s="822"/>
      <c r="R669" s="822"/>
      <c r="S669" s="822"/>
      <c r="W669" s="6"/>
    </row>
    <row r="670" spans="2:23" ht="14.25" customHeight="1" x14ac:dyDescent="0.25">
      <c r="B670" s="6"/>
      <c r="D670" s="76"/>
      <c r="E670" s="850"/>
      <c r="F670" s="851"/>
      <c r="G670" s="851"/>
      <c r="H670" s="852"/>
      <c r="I670" s="622" t="s">
        <v>609</v>
      </c>
      <c r="J670" s="622"/>
      <c r="K670" s="622"/>
      <c r="L670" s="803" t="str">
        <f>IF(L669="*","*",IF(L669&lt; 0.95, "Lower than required coverage", IF(L669 &gt;=0.95, "Required coverage or above")))</f>
        <v>Lower than required coverage</v>
      </c>
      <c r="M670" s="803"/>
      <c r="N670" s="803"/>
      <c r="O670" s="803"/>
      <c r="P670" s="803" t="str">
        <f>IF(P669="*","*",IF(P669&lt; 0.95, "Lower than required coverage", IF(P669 &gt;=0.95, "Required coverage or above")))</f>
        <v>Lower than required coverage</v>
      </c>
      <c r="Q670" s="803"/>
      <c r="R670" s="803"/>
      <c r="S670" s="803"/>
      <c r="W670" s="6"/>
    </row>
    <row r="671" spans="2:23" ht="15" x14ac:dyDescent="0.25">
      <c r="B671" s="6"/>
      <c r="D671" s="76" t="s">
        <v>954</v>
      </c>
      <c r="E671" s="814" t="s">
        <v>975</v>
      </c>
      <c r="F671" s="815"/>
      <c r="G671" s="815"/>
      <c r="H671" s="816"/>
      <c r="I671" s="622" t="s">
        <v>607</v>
      </c>
      <c r="J671" s="622"/>
      <c r="K671" s="622"/>
      <c r="L671" s="854">
        <f>IF(HLOOKUP(D671,Imms201415,selection+1,FALSE)="","n/a",(HLOOKUP(D671,Imms201415,selection+1,FALSE)))</f>
        <v>286</v>
      </c>
      <c r="M671" s="855"/>
      <c r="N671" s="855"/>
      <c r="O671" s="856"/>
      <c r="P671" s="857">
        <f>IF(HLOOKUP(D671,Imms201415,selection2+1,FALSE)="","n/a",(HLOOKUP(D671,Imms201415,selection2+1,FALSE)))</f>
        <v>109</v>
      </c>
      <c r="Q671" s="857"/>
      <c r="R671" s="857"/>
      <c r="S671" s="857"/>
      <c r="W671" s="6"/>
    </row>
    <row r="672" spans="2:23" ht="15" x14ac:dyDescent="0.25">
      <c r="B672" s="6"/>
      <c r="E672" s="775"/>
      <c r="F672" s="776"/>
      <c r="G672" s="776"/>
      <c r="H672" s="777"/>
      <c r="I672" s="622" t="s">
        <v>608</v>
      </c>
      <c r="J672" s="622"/>
      <c r="K672" s="622"/>
      <c r="L672" s="822">
        <f>IF(L$646 = "*", "*",L671/L$646)</f>
        <v>0.94701986754966883</v>
      </c>
      <c r="M672" s="822"/>
      <c r="N672" s="822"/>
      <c r="O672" s="822"/>
      <c r="P672" s="822">
        <f>IF(P$646 = "*", "*",P671/P$646)</f>
        <v>0.95614035087719296</v>
      </c>
      <c r="Q672" s="822"/>
      <c r="R672" s="822"/>
      <c r="S672" s="822"/>
      <c r="W672" s="6"/>
    </row>
    <row r="673" spans="2:23" ht="15.75" thickBot="1" x14ac:dyDescent="0.3">
      <c r="B673" s="6"/>
      <c r="E673" s="778"/>
      <c r="F673" s="779"/>
      <c r="G673" s="779"/>
      <c r="H673" s="780"/>
      <c r="I673" s="796" t="s">
        <v>609</v>
      </c>
      <c r="J673" s="796"/>
      <c r="K673" s="796"/>
      <c r="L673" s="808" t="str">
        <f>IF(L672="*","*",IF(L672&lt; 0.95, "Lower than required coverage", IF(L672 &gt;=0.95, "Required coverage or above")))</f>
        <v>Lower than required coverage</v>
      </c>
      <c r="M673" s="808"/>
      <c r="N673" s="808"/>
      <c r="O673" s="808"/>
      <c r="P673" s="808" t="str">
        <f>IF(P672="*","*",IF(P672&lt; 0.95, "Lower than required coverage", IF(P672 &gt;=0.95, "Required coverage or above")))</f>
        <v>Required coverage or above</v>
      </c>
      <c r="Q673" s="808"/>
      <c r="R673" s="808"/>
      <c r="S673" s="808"/>
      <c r="W673" s="6"/>
    </row>
    <row r="674" spans="2:23" ht="15" thickTop="1" x14ac:dyDescent="0.2">
      <c r="B674" s="6"/>
      <c r="E674" s="3"/>
      <c r="W674" s="6"/>
    </row>
    <row r="675" spans="2:23" x14ac:dyDescent="0.2">
      <c r="B675" s="6"/>
      <c r="W675" s="6"/>
    </row>
    <row r="676" spans="2:23" x14ac:dyDescent="0.2">
      <c r="B676" s="6"/>
      <c r="C676" s="6"/>
      <c r="D676" s="6"/>
      <c r="E676" s="6"/>
      <c r="F676" s="6"/>
      <c r="G676" s="6"/>
      <c r="H676" s="6"/>
      <c r="I676" s="6"/>
      <c r="J676" s="6"/>
      <c r="K676" s="6"/>
      <c r="L676" s="6"/>
      <c r="M676" s="6"/>
      <c r="N676" s="6"/>
      <c r="O676" s="6"/>
      <c r="P676" s="6"/>
      <c r="Q676" s="6"/>
      <c r="R676" s="6"/>
      <c r="S676" s="6"/>
      <c r="T676" s="6"/>
      <c r="U676" s="6"/>
      <c r="V676" s="6"/>
      <c r="W676" s="6"/>
    </row>
    <row r="677" spans="2:23" x14ac:dyDescent="0.2">
      <c r="B677" s="6"/>
      <c r="C677" s="6"/>
      <c r="D677" s="6"/>
      <c r="E677" s="6"/>
      <c r="F677" s="6"/>
      <c r="G677" s="6"/>
      <c r="H677" s="6"/>
      <c r="I677" s="6"/>
      <c r="J677" s="6"/>
      <c r="K677" s="6"/>
      <c r="L677" s="6"/>
      <c r="M677" s="6"/>
      <c r="N677" s="6"/>
      <c r="O677" s="6"/>
      <c r="P677" s="6"/>
      <c r="Q677" s="6"/>
      <c r="R677" s="6"/>
      <c r="S677" s="6"/>
      <c r="T677" s="6"/>
      <c r="U677" s="6"/>
      <c r="V677" s="6"/>
      <c r="W677" s="6"/>
    </row>
    <row r="678" spans="2:23" x14ac:dyDescent="0.2">
      <c r="B678" s="6"/>
      <c r="C678" s="6"/>
      <c r="D678" s="6"/>
      <c r="E678" s="6"/>
      <c r="F678" s="6"/>
      <c r="G678" s="6"/>
      <c r="H678" s="6"/>
      <c r="I678" s="6"/>
      <c r="J678" s="6"/>
      <c r="K678" s="6"/>
      <c r="L678" s="6"/>
      <c r="M678" s="6"/>
      <c r="N678" s="6"/>
      <c r="O678" s="6"/>
      <c r="P678" s="6"/>
      <c r="Q678" s="6"/>
      <c r="R678" s="6"/>
      <c r="S678" s="6"/>
      <c r="T678" s="6"/>
      <c r="U678" s="6"/>
      <c r="V678" s="6"/>
      <c r="W678" s="6"/>
    </row>
    <row r="679" spans="2:23" x14ac:dyDescent="0.2">
      <c r="B679" s="6"/>
      <c r="C679" s="69"/>
      <c r="D679" s="69"/>
      <c r="E679" s="69"/>
      <c r="F679" s="69"/>
      <c r="G679" s="69"/>
      <c r="H679" s="69"/>
      <c r="I679" s="69"/>
      <c r="J679" s="69"/>
      <c r="K679" s="69"/>
      <c r="L679" s="69"/>
      <c r="M679" s="69"/>
      <c r="N679" s="69"/>
      <c r="O679" s="69"/>
      <c r="Q679" s="69"/>
      <c r="R679" s="69"/>
      <c r="S679" s="69"/>
      <c r="T679" s="69"/>
      <c r="U679" s="69"/>
      <c r="V679" s="69"/>
      <c r="W679" s="6"/>
    </row>
    <row r="680" spans="2:23" x14ac:dyDescent="0.2">
      <c r="B680" s="6"/>
      <c r="C680" s="69"/>
      <c r="D680" s="69"/>
      <c r="E680" s="69"/>
      <c r="F680" s="69"/>
      <c r="G680" s="69"/>
      <c r="H680" s="69"/>
      <c r="I680" s="69"/>
      <c r="J680" s="69"/>
      <c r="K680" s="69"/>
      <c r="L680" s="69"/>
      <c r="M680" s="69"/>
      <c r="N680" s="69"/>
      <c r="O680" s="69"/>
      <c r="Q680" s="69"/>
      <c r="R680" s="69"/>
      <c r="S680" s="69"/>
      <c r="T680" s="69"/>
      <c r="U680" s="69"/>
      <c r="V680" s="69"/>
      <c r="W680" s="6"/>
    </row>
    <row r="681" spans="2:23" x14ac:dyDescent="0.2">
      <c r="B681" s="6"/>
      <c r="C681" s="69"/>
      <c r="D681" s="69"/>
      <c r="E681" s="69"/>
      <c r="F681" s="69"/>
      <c r="G681" s="69"/>
      <c r="H681" s="69"/>
      <c r="I681" s="69"/>
      <c r="J681" s="69"/>
      <c r="K681" s="69"/>
      <c r="L681" s="69"/>
      <c r="M681" s="69"/>
      <c r="N681" s="69"/>
      <c r="O681" s="69"/>
      <c r="Q681" s="69"/>
      <c r="R681" s="69"/>
      <c r="S681" s="69"/>
      <c r="T681" s="69"/>
      <c r="U681" s="69"/>
      <c r="V681" s="69"/>
      <c r="W681" s="6"/>
    </row>
    <row r="682" spans="2:23" x14ac:dyDescent="0.2">
      <c r="B682" s="6"/>
      <c r="C682" s="69"/>
      <c r="D682" s="69"/>
      <c r="E682" s="69"/>
      <c r="F682" s="69"/>
      <c r="G682" s="69"/>
      <c r="H682" s="69"/>
      <c r="I682" s="69"/>
      <c r="J682" s="69"/>
      <c r="K682" s="69"/>
      <c r="L682" s="69"/>
      <c r="M682" s="69"/>
      <c r="N682" s="69"/>
      <c r="O682" s="69"/>
      <c r="Q682" s="69"/>
      <c r="R682" s="69"/>
      <c r="S682" s="69"/>
      <c r="T682" s="69"/>
      <c r="U682" s="69"/>
      <c r="V682" s="69"/>
      <c r="W682" s="6"/>
    </row>
    <row r="683" spans="2:23" x14ac:dyDescent="0.2">
      <c r="B683" s="6"/>
      <c r="C683" s="69"/>
      <c r="D683" s="69"/>
      <c r="E683" s="69"/>
      <c r="F683" s="69"/>
      <c r="G683" s="69"/>
      <c r="H683" s="69"/>
      <c r="I683" s="69"/>
      <c r="J683" s="69"/>
      <c r="K683" s="69"/>
      <c r="L683" s="69"/>
      <c r="M683" s="69"/>
      <c r="N683" s="69"/>
      <c r="O683" s="69"/>
      <c r="Q683" s="69"/>
      <c r="R683" s="69"/>
      <c r="S683" s="69"/>
      <c r="T683" s="69"/>
      <c r="U683" s="69"/>
      <c r="V683" s="69"/>
      <c r="W683" s="6"/>
    </row>
    <row r="684" spans="2:23" x14ac:dyDescent="0.2">
      <c r="B684" s="6"/>
      <c r="C684" s="69"/>
      <c r="D684" s="69"/>
      <c r="E684" s="69"/>
      <c r="F684" s="69"/>
      <c r="G684" s="69"/>
      <c r="H684" s="69"/>
      <c r="I684" s="69"/>
      <c r="J684" s="69"/>
      <c r="K684" s="69"/>
      <c r="L684" s="69"/>
      <c r="M684" s="69"/>
      <c r="N684" s="69"/>
      <c r="O684" s="69"/>
      <c r="Q684" s="69"/>
      <c r="R684" s="69"/>
      <c r="S684" s="69"/>
      <c r="T684" s="69"/>
      <c r="U684" s="69"/>
      <c r="V684" s="69"/>
      <c r="W684" s="6"/>
    </row>
    <row r="685" spans="2:23" x14ac:dyDescent="0.2">
      <c r="B685" s="6"/>
      <c r="C685" s="69"/>
      <c r="D685" s="69"/>
      <c r="E685" s="69"/>
      <c r="F685" s="69"/>
      <c r="G685" s="69"/>
      <c r="H685" s="69"/>
      <c r="I685" s="69"/>
      <c r="J685" s="69"/>
      <c r="K685" s="69"/>
      <c r="L685" s="69"/>
      <c r="M685" s="69"/>
      <c r="N685" s="69"/>
      <c r="O685" s="69"/>
      <c r="Q685" s="69"/>
      <c r="R685" s="69"/>
      <c r="S685" s="69"/>
      <c r="T685" s="69"/>
      <c r="U685" s="69"/>
      <c r="V685" s="69"/>
      <c r="W685" s="6"/>
    </row>
    <row r="686" spans="2:23" s="69" customFormat="1" x14ac:dyDescent="0.2">
      <c r="B686" s="6"/>
      <c r="W686" s="6"/>
    </row>
    <row r="687" spans="2:23" s="69" customFormat="1" x14ac:dyDescent="0.2">
      <c r="B687" s="6"/>
      <c r="W687" s="6"/>
    </row>
    <row r="688" spans="2:23" x14ac:dyDescent="0.2">
      <c r="B688" s="6"/>
      <c r="C688" s="69"/>
      <c r="D688" s="69"/>
      <c r="E688" s="69"/>
      <c r="F688" s="69"/>
      <c r="G688" s="69"/>
      <c r="H688" s="69"/>
      <c r="I688" s="69"/>
      <c r="J688" s="69"/>
      <c r="K688" s="69"/>
      <c r="L688" s="69"/>
      <c r="M688" s="69"/>
      <c r="N688" s="69"/>
      <c r="O688" s="69"/>
      <c r="Q688" s="69"/>
      <c r="R688" s="69"/>
      <c r="S688" s="69"/>
      <c r="T688" s="69"/>
      <c r="U688" s="69"/>
      <c r="V688" s="69"/>
      <c r="W688" s="6"/>
    </row>
    <row r="689" spans="2:23" x14ac:dyDescent="0.2">
      <c r="B689" s="6"/>
      <c r="C689" s="69"/>
      <c r="D689" s="69"/>
      <c r="E689" s="69"/>
      <c r="F689" s="69"/>
      <c r="G689" s="69"/>
      <c r="H689" s="69"/>
      <c r="I689" s="69"/>
      <c r="J689" s="69"/>
      <c r="K689" s="69"/>
      <c r="L689" s="69"/>
      <c r="M689" s="69"/>
      <c r="N689" s="69"/>
      <c r="O689" s="69"/>
      <c r="Q689" s="69"/>
      <c r="R689" s="69"/>
      <c r="S689" s="69"/>
      <c r="T689" s="69"/>
      <c r="U689" s="69"/>
      <c r="V689" s="69"/>
      <c r="W689" s="6"/>
    </row>
    <row r="690" spans="2:23" x14ac:dyDescent="0.2">
      <c r="B690" s="6"/>
      <c r="C690" s="69"/>
      <c r="D690" s="69"/>
      <c r="E690" s="69"/>
      <c r="F690" s="69"/>
      <c r="G690" s="69"/>
      <c r="H690" s="69"/>
      <c r="I690" s="69"/>
      <c r="J690" s="69"/>
      <c r="K690" s="69"/>
      <c r="L690" s="69"/>
      <c r="M690" s="69"/>
      <c r="N690" s="69"/>
      <c r="O690" s="69"/>
      <c r="Q690" s="69"/>
      <c r="R690" s="69"/>
      <c r="S690" s="69"/>
      <c r="T690" s="69"/>
      <c r="U690" s="69"/>
      <c r="V690" s="69"/>
      <c r="W690" s="6"/>
    </row>
    <row r="691" spans="2:23" s="69" customFormat="1" x14ac:dyDescent="0.2">
      <c r="B691" s="6"/>
      <c r="W691" s="6"/>
    </row>
    <row r="692" spans="2:23" s="69" customFormat="1" x14ac:dyDescent="0.2">
      <c r="B692" s="6"/>
      <c r="W692" s="6"/>
    </row>
    <row r="693" spans="2:23" x14ac:dyDescent="0.2">
      <c r="B693" s="6"/>
      <c r="C693" s="69"/>
      <c r="D693" s="69"/>
      <c r="E693" s="69"/>
      <c r="F693" s="69"/>
      <c r="G693" s="69"/>
      <c r="H693" s="69"/>
      <c r="I693" s="69"/>
      <c r="J693" s="69"/>
      <c r="K693" s="69"/>
      <c r="L693" s="69"/>
      <c r="M693" s="69"/>
      <c r="N693" s="69"/>
      <c r="O693" s="69"/>
      <c r="Q693" s="69"/>
      <c r="R693" s="69"/>
      <c r="S693" s="69"/>
      <c r="T693" s="69"/>
      <c r="U693" s="69"/>
      <c r="V693" s="69"/>
      <c r="W693" s="6"/>
    </row>
    <row r="694" spans="2:23" x14ac:dyDescent="0.2">
      <c r="B694" s="6"/>
      <c r="C694" s="69"/>
      <c r="D694" s="69"/>
      <c r="E694" s="69"/>
      <c r="F694" s="69"/>
      <c r="G694" s="69"/>
      <c r="H694" s="69"/>
      <c r="I694" s="69"/>
      <c r="J694" s="69"/>
      <c r="K694" s="69"/>
      <c r="L694" s="69"/>
      <c r="M694" s="69"/>
      <c r="N694" s="69"/>
      <c r="O694" s="69"/>
      <c r="Q694" s="69"/>
      <c r="R694" s="69"/>
      <c r="S694" s="69"/>
      <c r="T694" s="69"/>
      <c r="U694" s="69"/>
      <c r="V694" s="69"/>
      <c r="W694" s="6"/>
    </row>
    <row r="695" spans="2:23" x14ac:dyDescent="0.2">
      <c r="B695" s="6"/>
      <c r="C695" s="69"/>
      <c r="D695" s="69"/>
      <c r="E695" s="69"/>
      <c r="F695" s="69"/>
      <c r="G695" s="69"/>
      <c r="H695" s="69"/>
      <c r="I695" s="69"/>
      <c r="J695" s="69"/>
      <c r="K695" s="69"/>
      <c r="L695" s="69"/>
      <c r="M695" s="69"/>
      <c r="N695" s="69"/>
      <c r="O695" s="69"/>
      <c r="Q695" s="69"/>
      <c r="R695" s="69"/>
      <c r="S695" s="69"/>
      <c r="T695" s="69"/>
      <c r="U695" s="69"/>
      <c r="V695" s="69"/>
      <c r="W695" s="6"/>
    </row>
    <row r="696" spans="2:23" x14ac:dyDescent="0.2">
      <c r="B696" s="6"/>
      <c r="C696" s="69"/>
      <c r="D696" s="69"/>
      <c r="E696" s="69"/>
      <c r="F696" s="69"/>
      <c r="G696" s="69"/>
      <c r="H696" s="69"/>
      <c r="I696" s="69"/>
      <c r="J696" s="69"/>
      <c r="K696" s="69"/>
      <c r="L696" s="69"/>
      <c r="M696" s="69"/>
      <c r="N696" s="69"/>
      <c r="O696" s="69"/>
      <c r="Q696" s="69"/>
      <c r="R696" s="69"/>
      <c r="S696" s="69"/>
      <c r="T696" s="69"/>
      <c r="U696" s="69"/>
      <c r="V696" s="69"/>
      <c r="W696" s="6"/>
    </row>
    <row r="697" spans="2:23" x14ac:dyDescent="0.2">
      <c r="B697" s="6"/>
      <c r="C697" s="69"/>
      <c r="D697" s="69"/>
      <c r="E697" s="69"/>
      <c r="F697" s="69"/>
      <c r="G697" s="69"/>
      <c r="H697" s="69"/>
      <c r="I697" s="69"/>
      <c r="J697" s="69"/>
      <c r="K697" s="69"/>
      <c r="L697" s="69"/>
      <c r="M697" s="69"/>
      <c r="N697" s="69"/>
      <c r="O697" s="69"/>
      <c r="Q697" s="69"/>
      <c r="R697" s="69"/>
      <c r="S697" s="69"/>
      <c r="T697" s="69"/>
      <c r="U697" s="69"/>
      <c r="V697" s="69"/>
      <c r="W697" s="6"/>
    </row>
    <row r="698" spans="2:23" x14ac:dyDescent="0.2">
      <c r="B698" s="6"/>
      <c r="C698" s="69"/>
      <c r="D698" s="69"/>
      <c r="E698" s="69"/>
      <c r="F698" s="69"/>
      <c r="G698" s="69"/>
      <c r="H698" s="69"/>
      <c r="I698" s="69"/>
      <c r="J698" s="69"/>
      <c r="K698" s="69"/>
      <c r="L698" s="69"/>
      <c r="M698" s="69"/>
      <c r="N698" s="69"/>
      <c r="O698" s="69"/>
      <c r="Q698" s="69"/>
      <c r="R698" s="69"/>
      <c r="S698" s="69"/>
      <c r="T698" s="69"/>
      <c r="U698" s="69"/>
      <c r="V698" s="69"/>
      <c r="W698" s="6"/>
    </row>
    <row r="699" spans="2:23" x14ac:dyDescent="0.2">
      <c r="B699" s="6"/>
      <c r="C699" s="69"/>
      <c r="D699" s="69"/>
      <c r="E699" s="69"/>
      <c r="F699" s="69"/>
      <c r="G699" s="69"/>
      <c r="H699" s="69"/>
      <c r="I699" s="69"/>
      <c r="J699" s="69"/>
      <c r="K699" s="69"/>
      <c r="L699" s="69"/>
      <c r="M699" s="69"/>
      <c r="N699" s="69"/>
      <c r="O699" s="69"/>
      <c r="Q699" s="69"/>
      <c r="R699" s="69"/>
      <c r="S699" s="69"/>
      <c r="T699" s="69"/>
      <c r="U699" s="69"/>
      <c r="V699" s="69"/>
      <c r="W699" s="6"/>
    </row>
    <row r="700" spans="2:23" x14ac:dyDescent="0.2">
      <c r="B700" s="6"/>
      <c r="C700" s="69"/>
      <c r="D700" s="69"/>
      <c r="E700" s="69"/>
      <c r="F700" s="69"/>
      <c r="G700" s="69"/>
      <c r="H700" s="69"/>
      <c r="I700" s="69"/>
      <c r="J700" s="69"/>
      <c r="K700" s="69"/>
      <c r="L700" s="69"/>
      <c r="M700" s="69"/>
      <c r="N700" s="69"/>
      <c r="O700" s="69"/>
      <c r="Q700" s="69"/>
      <c r="R700" s="69"/>
      <c r="S700" s="69"/>
      <c r="T700" s="69"/>
      <c r="U700" s="69"/>
      <c r="V700" s="69"/>
      <c r="W700" s="6"/>
    </row>
    <row r="701" spans="2:23" x14ac:dyDescent="0.2">
      <c r="B701" s="6"/>
      <c r="C701" s="69"/>
      <c r="D701" s="69"/>
      <c r="E701" s="69"/>
      <c r="F701" s="69"/>
      <c r="G701" s="69"/>
      <c r="H701" s="69"/>
      <c r="I701" s="69"/>
      <c r="J701" s="69"/>
      <c r="K701" s="69"/>
      <c r="L701" s="69"/>
      <c r="M701" s="69"/>
      <c r="N701" s="69"/>
      <c r="O701" s="69"/>
      <c r="Q701" s="69"/>
      <c r="R701" s="69"/>
      <c r="S701" s="69"/>
      <c r="T701" s="69"/>
      <c r="U701" s="69"/>
      <c r="V701" s="69"/>
      <c r="W701" s="6"/>
    </row>
    <row r="702" spans="2:23" x14ac:dyDescent="0.2">
      <c r="B702" s="6"/>
      <c r="C702" s="69"/>
      <c r="D702" s="69"/>
      <c r="E702" s="69"/>
      <c r="F702" s="69"/>
      <c r="G702" s="69"/>
      <c r="H702" s="69"/>
      <c r="I702" s="69"/>
      <c r="J702" s="69"/>
      <c r="K702" s="69"/>
      <c r="L702" s="69"/>
      <c r="M702" s="69"/>
      <c r="N702" s="69"/>
      <c r="O702" s="69"/>
      <c r="Q702" s="69"/>
      <c r="R702" s="69"/>
      <c r="S702" s="69"/>
      <c r="T702" s="69"/>
      <c r="U702" s="69"/>
      <c r="V702" s="69"/>
      <c r="W702" s="6"/>
    </row>
    <row r="703" spans="2:23" x14ac:dyDescent="0.2">
      <c r="B703" s="6"/>
      <c r="C703" s="69"/>
      <c r="D703" s="69"/>
      <c r="E703" s="69"/>
      <c r="F703" s="69"/>
      <c r="G703" s="69"/>
      <c r="H703" s="69"/>
      <c r="I703" s="69"/>
      <c r="J703" s="69"/>
      <c r="K703" s="69"/>
      <c r="L703" s="69"/>
      <c r="M703" s="69"/>
      <c r="N703" s="69"/>
      <c r="O703" s="69"/>
      <c r="Q703" s="69"/>
      <c r="R703" s="69"/>
      <c r="S703" s="69"/>
      <c r="T703" s="69"/>
      <c r="U703" s="69"/>
      <c r="V703" s="69"/>
      <c r="W703" s="6"/>
    </row>
    <row r="704" spans="2:23" x14ac:dyDescent="0.2">
      <c r="B704" s="6"/>
      <c r="C704" s="69"/>
      <c r="D704" s="69"/>
      <c r="E704" s="69"/>
      <c r="F704" s="69"/>
      <c r="G704" s="69"/>
      <c r="H704" s="69"/>
      <c r="I704" s="69"/>
      <c r="J704" s="69"/>
      <c r="K704" s="69"/>
      <c r="L704" s="69"/>
      <c r="M704" s="69"/>
      <c r="N704" s="69"/>
      <c r="O704" s="69"/>
      <c r="Q704" s="69"/>
      <c r="R704" s="69"/>
      <c r="S704" s="69"/>
      <c r="T704" s="69"/>
      <c r="U704" s="69"/>
      <c r="V704" s="69"/>
      <c r="W704" s="6"/>
    </row>
    <row r="705" spans="2:23" x14ac:dyDescent="0.2">
      <c r="B705" s="6"/>
      <c r="C705" s="69"/>
      <c r="D705" s="69"/>
      <c r="E705" s="69"/>
      <c r="F705" s="69"/>
      <c r="G705" s="69"/>
      <c r="H705" s="69"/>
      <c r="I705" s="69"/>
      <c r="J705" s="69"/>
      <c r="K705" s="69"/>
      <c r="L705" s="69"/>
      <c r="M705" s="69"/>
      <c r="N705" s="69"/>
      <c r="O705" s="69"/>
      <c r="Q705" s="69"/>
      <c r="R705" s="69"/>
      <c r="S705" s="69"/>
      <c r="T705" s="69"/>
      <c r="U705" s="69"/>
      <c r="V705" s="69"/>
      <c r="W705" s="6"/>
    </row>
    <row r="706" spans="2:23" x14ac:dyDescent="0.2">
      <c r="B706" s="6"/>
      <c r="C706" s="69"/>
      <c r="D706" s="69"/>
      <c r="E706" s="69"/>
      <c r="F706" s="69"/>
      <c r="G706" s="69"/>
      <c r="H706" s="69"/>
      <c r="I706" s="69"/>
      <c r="J706" s="69"/>
      <c r="K706" s="69"/>
      <c r="L706" s="69"/>
      <c r="M706" s="69"/>
      <c r="N706" s="69"/>
      <c r="O706" s="69"/>
      <c r="Q706" s="69"/>
      <c r="R706" s="69"/>
      <c r="S706" s="69"/>
      <c r="T706" s="69"/>
      <c r="U706" s="69"/>
      <c r="V706" s="69"/>
      <c r="W706" s="6"/>
    </row>
    <row r="707" spans="2:23" x14ac:dyDescent="0.2">
      <c r="B707" s="6"/>
      <c r="C707" s="69"/>
      <c r="D707" s="69"/>
      <c r="E707" s="69"/>
      <c r="F707" s="69"/>
      <c r="G707" s="69"/>
      <c r="H707" s="69"/>
      <c r="I707" s="69"/>
      <c r="J707" s="69"/>
      <c r="K707" s="69"/>
      <c r="L707" s="69"/>
      <c r="M707" s="69"/>
      <c r="N707" s="69"/>
      <c r="O707" s="69"/>
      <c r="Q707" s="69"/>
      <c r="R707" s="69"/>
      <c r="S707" s="69"/>
      <c r="T707" s="69"/>
      <c r="U707" s="69"/>
      <c r="V707" s="69"/>
      <c r="W707" s="6"/>
    </row>
    <row r="708" spans="2:23" x14ac:dyDescent="0.2">
      <c r="B708" s="6"/>
      <c r="C708" s="69"/>
      <c r="D708" s="69"/>
      <c r="E708" s="69"/>
      <c r="F708" s="69"/>
      <c r="G708" s="69"/>
      <c r="H708" s="69"/>
      <c r="I708" s="69"/>
      <c r="J708" s="69"/>
      <c r="K708" s="69"/>
      <c r="L708" s="69"/>
      <c r="M708" s="69"/>
      <c r="N708" s="69"/>
      <c r="O708" s="69"/>
      <c r="Q708" s="69"/>
      <c r="R708" s="69"/>
      <c r="S708" s="69"/>
      <c r="T708" s="69"/>
      <c r="U708" s="69"/>
      <c r="V708" s="69"/>
      <c r="W708" s="6"/>
    </row>
    <row r="709" spans="2:23" x14ac:dyDescent="0.2">
      <c r="B709" s="6"/>
      <c r="C709" s="69"/>
      <c r="D709" s="69"/>
      <c r="E709" s="69"/>
      <c r="F709" s="69"/>
      <c r="G709" s="69"/>
      <c r="H709" s="69"/>
      <c r="I709" s="69"/>
      <c r="J709" s="69"/>
      <c r="K709" s="69"/>
      <c r="L709" s="69"/>
      <c r="M709" s="69"/>
      <c r="N709" s="69"/>
      <c r="O709" s="69"/>
      <c r="Q709" s="69"/>
      <c r="R709" s="69"/>
      <c r="S709" s="69"/>
      <c r="T709" s="69"/>
      <c r="U709" s="69"/>
      <c r="V709" s="69"/>
      <c r="W709" s="6"/>
    </row>
    <row r="710" spans="2:23" x14ac:dyDescent="0.2">
      <c r="B710" s="6"/>
      <c r="C710" s="69"/>
      <c r="D710" s="69"/>
      <c r="E710" s="69"/>
      <c r="F710" s="69"/>
      <c r="G710" s="69"/>
      <c r="H710" s="69"/>
      <c r="I710" s="69"/>
      <c r="J710" s="69"/>
      <c r="K710" s="69"/>
      <c r="L710" s="69"/>
      <c r="M710" s="69"/>
      <c r="N710" s="69"/>
      <c r="O710" s="69"/>
      <c r="Q710" s="69"/>
      <c r="R710" s="69"/>
      <c r="S710" s="69"/>
      <c r="T710" s="69"/>
      <c r="U710" s="69"/>
      <c r="V710" s="69"/>
      <c r="W710" s="6"/>
    </row>
    <row r="711" spans="2:23" ht="15" x14ac:dyDescent="0.25">
      <c r="B711" s="6"/>
      <c r="C711" s="165"/>
      <c r="D711" s="165"/>
      <c r="E711" s="165"/>
      <c r="F711" s="165"/>
      <c r="G711" s="165"/>
      <c r="H711" s="165"/>
      <c r="I711" s="165"/>
      <c r="J711" s="165"/>
      <c r="K711" s="165"/>
      <c r="L711" s="165"/>
      <c r="M711" s="165"/>
      <c r="N711" s="165"/>
      <c r="O711" s="165"/>
      <c r="P711" s="165"/>
      <c r="Q711" s="165"/>
      <c r="R711" s="165"/>
      <c r="S711" s="165"/>
      <c r="T711" s="165"/>
      <c r="U711" s="165"/>
      <c r="V711" s="69"/>
      <c r="W711" s="6"/>
    </row>
    <row r="712" spans="2:23" s="69" customFormat="1" ht="15" x14ac:dyDescent="0.25">
      <c r="B712" s="6"/>
      <c r="C712" s="195" t="s">
        <v>640</v>
      </c>
      <c r="D712" s="165"/>
      <c r="E712" s="165"/>
      <c r="F712" s="165"/>
      <c r="G712" s="165"/>
      <c r="H712" s="165"/>
      <c r="I712" s="165"/>
      <c r="J712" s="165"/>
      <c r="K712" s="165"/>
      <c r="L712" s="165"/>
      <c r="M712" s="165"/>
      <c r="N712" s="165"/>
      <c r="O712" s="165"/>
      <c r="P712" s="165"/>
      <c r="Q712" s="165"/>
      <c r="R712" s="165"/>
      <c r="S712" s="165"/>
      <c r="T712" s="165"/>
      <c r="U712" s="165"/>
      <c r="W712" s="6"/>
    </row>
    <row r="713" spans="2:23" s="69" customFormat="1" ht="37.5" customHeight="1" x14ac:dyDescent="0.2">
      <c r="B713" s="6"/>
      <c r="C713" s="711" t="s">
        <v>641</v>
      </c>
      <c r="D713" s="711"/>
      <c r="E713" s="711"/>
      <c r="F713" s="711"/>
      <c r="G713" s="711"/>
      <c r="H713" s="711"/>
      <c r="I713" s="711"/>
      <c r="J713" s="711"/>
      <c r="K713" s="711"/>
      <c r="L713" s="711"/>
      <c r="M713" s="711"/>
      <c r="N713" s="711"/>
      <c r="O713" s="711"/>
      <c r="P713" s="711"/>
      <c r="Q713" s="711"/>
      <c r="R713" s="711"/>
      <c r="S713" s="711"/>
      <c r="T713" s="711"/>
      <c r="U713" s="711"/>
      <c r="W713" s="6"/>
    </row>
    <row r="714" spans="2:23" ht="15" x14ac:dyDescent="0.25">
      <c r="B714" s="6"/>
      <c r="C714" s="165"/>
      <c r="D714" s="165"/>
      <c r="E714" s="165"/>
      <c r="F714" s="165"/>
      <c r="G714" s="165"/>
      <c r="H714" s="165"/>
      <c r="I714" s="165"/>
      <c r="J714" s="165"/>
      <c r="K714" s="165"/>
      <c r="L714" s="165"/>
      <c r="M714" s="165"/>
      <c r="N714" s="165"/>
      <c r="O714" s="165"/>
      <c r="P714" s="165"/>
      <c r="Q714" s="165"/>
      <c r="R714" s="165"/>
      <c r="S714" s="165"/>
      <c r="T714" s="165"/>
      <c r="U714" s="165"/>
      <c r="V714" s="69"/>
      <c r="W714" s="6"/>
    </row>
    <row r="715" spans="2:23" ht="15" customHeight="1" x14ac:dyDescent="0.25">
      <c r="B715" s="6"/>
      <c r="C715" s="165"/>
      <c r="D715" s="841" t="s">
        <v>639</v>
      </c>
      <c r="E715" s="842"/>
      <c r="F715" s="843"/>
      <c r="G715" s="790" t="s">
        <v>613</v>
      </c>
      <c r="H715" s="791"/>
      <c r="I715" s="790" t="s">
        <v>614</v>
      </c>
      <c r="J715" s="791"/>
      <c r="K715" s="790" t="s">
        <v>615</v>
      </c>
      <c r="L715" s="791"/>
      <c r="M715" s="790" t="s">
        <v>616</v>
      </c>
      <c r="N715" s="791"/>
      <c r="O715" s="790" t="s">
        <v>617</v>
      </c>
      <c r="P715" s="791"/>
      <c r="Q715" s="790" t="s">
        <v>618</v>
      </c>
      <c r="R715" s="804"/>
      <c r="S715" s="804"/>
      <c r="T715" s="791"/>
      <c r="U715" s="165"/>
      <c r="V715" s="69"/>
      <c r="W715" s="6"/>
    </row>
    <row r="716" spans="2:23" ht="15" x14ac:dyDescent="0.25">
      <c r="B716" s="6"/>
      <c r="C716" s="165"/>
      <c r="D716" s="844"/>
      <c r="E716" s="845"/>
      <c r="F716" s="846"/>
      <c r="G716" s="792"/>
      <c r="H716" s="793"/>
      <c r="I716" s="792"/>
      <c r="J716" s="793"/>
      <c r="K716" s="792"/>
      <c r="L716" s="793"/>
      <c r="M716" s="792"/>
      <c r="N716" s="793"/>
      <c r="O716" s="792"/>
      <c r="P716" s="793"/>
      <c r="Q716" s="792"/>
      <c r="R716" s="805"/>
      <c r="S716" s="805"/>
      <c r="T716" s="793"/>
      <c r="U716" s="165"/>
      <c r="V716" s="69"/>
      <c r="W716" s="6"/>
    </row>
    <row r="717" spans="2:23" ht="15" x14ac:dyDescent="0.25">
      <c r="B717" s="6"/>
      <c r="C717" s="165"/>
      <c r="D717" s="847"/>
      <c r="E717" s="848"/>
      <c r="F717" s="849"/>
      <c r="G717" s="794"/>
      <c r="H717" s="795"/>
      <c r="I717" s="794"/>
      <c r="J717" s="795"/>
      <c r="K717" s="794"/>
      <c r="L717" s="795"/>
      <c r="M717" s="794"/>
      <c r="N717" s="795"/>
      <c r="O717" s="794"/>
      <c r="P717" s="795"/>
      <c r="Q717" s="794"/>
      <c r="R717" s="806"/>
      <c r="S717" s="806"/>
      <c r="T717" s="795"/>
      <c r="U717" s="165"/>
      <c r="V717" s="69"/>
      <c r="W717" s="6"/>
    </row>
    <row r="718" spans="2:23" ht="15" x14ac:dyDescent="0.25">
      <c r="B718" s="6"/>
      <c r="C718" s="165"/>
      <c r="D718" s="769" t="s">
        <v>399</v>
      </c>
      <c r="E718" s="770"/>
      <c r="F718" s="771"/>
      <c r="G718" s="836">
        <v>56</v>
      </c>
      <c r="H718" s="836"/>
      <c r="I718" s="836">
        <v>3786</v>
      </c>
      <c r="J718" s="836"/>
      <c r="K718" s="832">
        <v>147.91336502905401</v>
      </c>
      <c r="L718" s="832"/>
      <c r="M718" s="832">
        <v>111.732166356657</v>
      </c>
      <c r="N718" s="832"/>
      <c r="O718" s="832">
        <v>192.07780773266001</v>
      </c>
      <c r="P718" s="832"/>
      <c r="Q718" s="823" t="s">
        <v>642</v>
      </c>
      <c r="R718" s="824"/>
      <c r="S718" s="824"/>
      <c r="T718" s="825"/>
      <c r="U718" s="165"/>
      <c r="V718" s="69"/>
      <c r="W718" s="6"/>
    </row>
    <row r="719" spans="2:23" ht="15" x14ac:dyDescent="0.25">
      <c r="B719" s="6"/>
      <c r="C719" s="165"/>
      <c r="D719" s="769" t="s">
        <v>83</v>
      </c>
      <c r="E719" s="770"/>
      <c r="F719" s="771"/>
      <c r="G719" s="836">
        <v>115</v>
      </c>
      <c r="H719" s="836"/>
      <c r="I719" s="836">
        <v>7986</v>
      </c>
      <c r="J719" s="836"/>
      <c r="K719" s="832">
        <v>144.00200350613599</v>
      </c>
      <c r="L719" s="832"/>
      <c r="M719" s="832">
        <v>118.88842256580099</v>
      </c>
      <c r="N719" s="832"/>
      <c r="O719" s="832">
        <v>172.852596567669</v>
      </c>
      <c r="P719" s="832"/>
      <c r="Q719" s="823" t="s">
        <v>642</v>
      </c>
      <c r="R719" s="824"/>
      <c r="S719" s="824"/>
      <c r="T719" s="825"/>
      <c r="U719" s="165"/>
      <c r="V719" s="69"/>
      <c r="W719" s="6"/>
    </row>
    <row r="720" spans="2:23" ht="15" x14ac:dyDescent="0.25">
      <c r="B720" s="6"/>
      <c r="C720" s="165"/>
      <c r="D720" s="769" t="s">
        <v>44</v>
      </c>
      <c r="E720" s="770"/>
      <c r="F720" s="771"/>
      <c r="G720" s="836">
        <v>113</v>
      </c>
      <c r="H720" s="836"/>
      <c r="I720" s="836">
        <v>5783</v>
      </c>
      <c r="J720" s="836"/>
      <c r="K720" s="832">
        <v>195.40031125713301</v>
      </c>
      <c r="L720" s="832"/>
      <c r="M720" s="832">
        <v>161.037512469652</v>
      </c>
      <c r="N720" s="832"/>
      <c r="O720" s="832">
        <v>234.92506524478699</v>
      </c>
      <c r="P720" s="832"/>
      <c r="Q720" s="829" t="s">
        <v>643</v>
      </c>
      <c r="R720" s="830"/>
      <c r="S720" s="830"/>
      <c r="T720" s="831"/>
      <c r="U720" s="165"/>
      <c r="V720" s="69"/>
      <c r="W720" s="6"/>
    </row>
    <row r="721" spans="2:23" ht="15" x14ac:dyDescent="0.25">
      <c r="B721" s="6"/>
      <c r="C721" s="165"/>
      <c r="D721" s="769" t="s">
        <v>79</v>
      </c>
      <c r="E721" s="770"/>
      <c r="F721" s="771"/>
      <c r="G721" s="836">
        <v>134</v>
      </c>
      <c r="H721" s="836"/>
      <c r="I721" s="836">
        <v>8357</v>
      </c>
      <c r="J721" s="836"/>
      <c r="K721" s="832">
        <v>160.344621275577</v>
      </c>
      <c r="L721" s="832"/>
      <c r="M721" s="832">
        <v>134.34635984263201</v>
      </c>
      <c r="N721" s="832"/>
      <c r="O721" s="832">
        <v>189.90617767280099</v>
      </c>
      <c r="P721" s="832"/>
      <c r="Q721" s="823" t="s">
        <v>642</v>
      </c>
      <c r="R721" s="824"/>
      <c r="S721" s="824"/>
      <c r="T721" s="825"/>
      <c r="U721" s="165"/>
      <c r="V721" s="69"/>
      <c r="W721" s="6"/>
    </row>
    <row r="722" spans="2:23" ht="15" x14ac:dyDescent="0.25">
      <c r="B722" s="6"/>
      <c r="C722" s="165"/>
      <c r="D722" s="769" t="s">
        <v>84</v>
      </c>
      <c r="E722" s="770"/>
      <c r="F722" s="771"/>
      <c r="G722" s="836">
        <v>111</v>
      </c>
      <c r="H722" s="836"/>
      <c r="I722" s="836">
        <v>7177</v>
      </c>
      <c r="J722" s="836"/>
      <c r="K722" s="832">
        <v>154.66072175003501</v>
      </c>
      <c r="L722" s="832"/>
      <c r="M722" s="832">
        <v>127.230497241439</v>
      </c>
      <c r="N722" s="832"/>
      <c r="O722" s="832">
        <v>186.25140363730799</v>
      </c>
      <c r="P722" s="832"/>
      <c r="Q722" s="823" t="s">
        <v>642</v>
      </c>
      <c r="R722" s="824"/>
      <c r="S722" s="824"/>
      <c r="T722" s="825"/>
      <c r="U722" s="165"/>
      <c r="V722" s="69"/>
      <c r="W722" s="6"/>
    </row>
    <row r="723" spans="2:23" ht="15" x14ac:dyDescent="0.25">
      <c r="B723" s="6"/>
      <c r="C723" s="165"/>
      <c r="D723" s="769" t="s">
        <v>81</v>
      </c>
      <c r="E723" s="770"/>
      <c r="F723" s="771"/>
      <c r="G723" s="836">
        <v>98</v>
      </c>
      <c r="H723" s="836"/>
      <c r="I723" s="836">
        <v>8558</v>
      </c>
      <c r="J723" s="836"/>
      <c r="K723" s="832">
        <v>114.51273662070599</v>
      </c>
      <c r="L723" s="832"/>
      <c r="M723" s="832">
        <v>92.966974847333105</v>
      </c>
      <c r="N723" s="832"/>
      <c r="O723" s="832">
        <v>139.55434715253</v>
      </c>
      <c r="P723" s="832"/>
      <c r="Q723" s="823" t="s">
        <v>642</v>
      </c>
      <c r="R723" s="824"/>
      <c r="S723" s="824"/>
      <c r="T723" s="825"/>
      <c r="U723" s="165"/>
      <c r="V723" s="69"/>
      <c r="W723" s="6"/>
    </row>
    <row r="724" spans="2:23" ht="15" x14ac:dyDescent="0.25">
      <c r="B724" s="6"/>
      <c r="C724" s="165"/>
      <c r="D724" s="769" t="s">
        <v>82</v>
      </c>
      <c r="E724" s="770"/>
      <c r="F724" s="771"/>
      <c r="G724" s="836">
        <v>79</v>
      </c>
      <c r="H724" s="836"/>
      <c r="I724" s="836">
        <v>6190</v>
      </c>
      <c r="J724" s="836"/>
      <c r="K724" s="832">
        <v>127.625201938611</v>
      </c>
      <c r="L724" s="832"/>
      <c r="M724" s="832">
        <v>101.042074248134</v>
      </c>
      <c r="N724" s="832"/>
      <c r="O724" s="832">
        <v>159.059081041479</v>
      </c>
      <c r="P724" s="832"/>
      <c r="Q724" s="823" t="s">
        <v>642</v>
      </c>
      <c r="R724" s="824"/>
      <c r="S724" s="824"/>
      <c r="T724" s="825"/>
      <c r="U724" s="165"/>
      <c r="V724" s="69"/>
      <c r="W724" s="6"/>
    </row>
    <row r="725" spans="2:23" s="69" customFormat="1" ht="15" x14ac:dyDescent="0.25">
      <c r="B725" s="6"/>
      <c r="C725" s="165"/>
      <c r="D725" s="211" t="s">
        <v>111</v>
      </c>
      <c r="E725" s="212"/>
      <c r="F725" s="213"/>
      <c r="G725" s="838">
        <v>706</v>
      </c>
      <c r="H725" s="838"/>
      <c r="I725" s="838">
        <v>47837</v>
      </c>
      <c r="J725" s="838"/>
      <c r="K725" s="839">
        <v>147.58450571733201</v>
      </c>
      <c r="L725" s="839"/>
      <c r="M725" s="839">
        <v>136.89724733743699</v>
      </c>
      <c r="N725" s="839"/>
      <c r="O725" s="839">
        <v>158.884444905978</v>
      </c>
      <c r="P725" s="839"/>
      <c r="Q725" s="823" t="s">
        <v>642</v>
      </c>
      <c r="R725" s="824"/>
      <c r="S725" s="824"/>
      <c r="T725" s="825"/>
      <c r="U725" s="165"/>
      <c r="W725" s="6"/>
    </row>
    <row r="726" spans="2:23" s="69" customFormat="1" ht="15" x14ac:dyDescent="0.25">
      <c r="B726" s="6"/>
      <c r="C726" s="165"/>
      <c r="D726" s="214" t="s">
        <v>112</v>
      </c>
      <c r="E726" s="215"/>
      <c r="F726" s="216"/>
      <c r="G726" s="837">
        <v>7382</v>
      </c>
      <c r="H726" s="837"/>
      <c r="I726" s="837">
        <v>547531</v>
      </c>
      <c r="J726" s="837"/>
      <c r="K726" s="840">
        <v>134.82341639103501</v>
      </c>
      <c r="L726" s="840"/>
      <c r="M726" s="840">
        <v>131.76517251465401</v>
      </c>
      <c r="N726" s="840"/>
      <c r="O726" s="840">
        <v>137.93472909908101</v>
      </c>
      <c r="P726" s="840"/>
      <c r="Q726" s="826" t="s">
        <v>644</v>
      </c>
      <c r="R726" s="827"/>
      <c r="S726" s="827"/>
      <c r="T726" s="828"/>
      <c r="U726" s="165"/>
      <c r="W726" s="6"/>
    </row>
    <row r="727" spans="2:23" ht="15" x14ac:dyDescent="0.25">
      <c r="B727" s="6"/>
      <c r="C727" s="165"/>
      <c r="D727" s="833" t="s">
        <v>113</v>
      </c>
      <c r="E727" s="834"/>
      <c r="F727" s="835"/>
      <c r="G727" s="837">
        <v>48070</v>
      </c>
      <c r="H727" s="837"/>
      <c r="I727" s="837">
        <v>3414130</v>
      </c>
      <c r="J727" s="837"/>
      <c r="K727" s="840">
        <v>140.79721627471699</v>
      </c>
      <c r="L727" s="840"/>
      <c r="M727" s="840">
        <v>139.541342233676</v>
      </c>
      <c r="N727" s="840"/>
      <c r="O727" s="840">
        <v>142.06158082787601</v>
      </c>
      <c r="P727" s="840"/>
      <c r="Q727" s="823" t="s">
        <v>287</v>
      </c>
      <c r="R727" s="824"/>
      <c r="S727" s="824"/>
      <c r="T727" s="825"/>
      <c r="U727" s="165"/>
      <c r="V727" s="69"/>
      <c r="W727" s="6"/>
    </row>
    <row r="728" spans="2:23" ht="15" x14ac:dyDescent="0.25">
      <c r="B728" s="6"/>
      <c r="C728" s="165"/>
      <c r="D728" s="165"/>
      <c r="E728" s="165"/>
      <c r="F728" s="165"/>
      <c r="G728" s="165"/>
      <c r="H728" s="165"/>
      <c r="I728" s="165"/>
      <c r="J728" s="165"/>
      <c r="K728" s="165"/>
      <c r="L728" s="165"/>
      <c r="M728" s="165"/>
      <c r="N728" s="165"/>
      <c r="O728" s="165"/>
      <c r="P728" s="165"/>
      <c r="Q728" s="165"/>
      <c r="R728" s="165"/>
      <c r="S728" s="165"/>
      <c r="T728" s="165"/>
      <c r="U728" s="165"/>
      <c r="V728" s="69"/>
      <c r="W728" s="6"/>
    </row>
    <row r="729" spans="2:23" ht="15" x14ac:dyDescent="0.25">
      <c r="B729" s="6"/>
      <c r="C729" s="73"/>
      <c r="D729" s="73"/>
      <c r="E729" s="73"/>
      <c r="F729" s="73"/>
      <c r="G729" s="73"/>
      <c r="H729" s="73"/>
      <c r="I729" s="73"/>
      <c r="J729" s="108" t="s">
        <v>624</v>
      </c>
      <c r="K729" s="108"/>
      <c r="L729" s="108" t="s">
        <v>628</v>
      </c>
      <c r="M729" s="108"/>
      <c r="N729" s="108" t="s">
        <v>629</v>
      </c>
      <c r="O729" s="108"/>
      <c r="P729" s="108" t="s">
        <v>510</v>
      </c>
      <c r="Q729" s="108"/>
      <c r="R729" s="73"/>
      <c r="S729" s="73"/>
      <c r="T729" s="73"/>
      <c r="U729" s="73"/>
      <c r="V729" s="69"/>
      <c r="W729" s="6"/>
    </row>
    <row r="730" spans="2:23" ht="15" x14ac:dyDescent="0.25">
      <c r="B730" s="6"/>
      <c r="C730" s="73"/>
      <c r="D730" s="108"/>
      <c r="E730" s="108" t="s">
        <v>624</v>
      </c>
      <c r="F730" s="108" t="s">
        <v>628</v>
      </c>
      <c r="G730" s="108" t="s">
        <v>629</v>
      </c>
      <c r="H730" s="108" t="s">
        <v>510</v>
      </c>
      <c r="I730" s="73"/>
      <c r="J730" s="108" t="s">
        <v>420</v>
      </c>
      <c r="K730" s="108" t="s">
        <v>419</v>
      </c>
      <c r="L730" s="108" t="s">
        <v>420</v>
      </c>
      <c r="M730" s="108" t="s">
        <v>419</v>
      </c>
      <c r="N730" s="108" t="s">
        <v>420</v>
      </c>
      <c r="O730" s="108" t="s">
        <v>419</v>
      </c>
      <c r="P730" s="108" t="s">
        <v>420</v>
      </c>
      <c r="Q730" s="108" t="s">
        <v>419</v>
      </c>
      <c r="R730" s="73"/>
      <c r="S730" s="73"/>
      <c r="T730" s="73"/>
      <c r="U730" s="73"/>
      <c r="V730" s="69"/>
      <c r="W730" s="6"/>
    </row>
    <row r="731" spans="2:23" ht="15" x14ac:dyDescent="0.25">
      <c r="B731" s="6"/>
      <c r="C731" s="73"/>
      <c r="D731" s="108" t="s">
        <v>399</v>
      </c>
      <c r="E731" s="108">
        <v>141.21037463976899</v>
      </c>
      <c r="F731" s="108">
        <v>148.29322887520999</v>
      </c>
      <c r="G731" s="108">
        <v>159.41637395298599</v>
      </c>
      <c r="H731" s="108">
        <v>147.91336502905401</v>
      </c>
      <c r="I731" s="73"/>
      <c r="J731" s="108">
        <v>45.477228907285024</v>
      </c>
      <c r="K731" s="108">
        <v>36.742160482030982</v>
      </c>
      <c r="L731" s="108">
        <v>45.677965798132021</v>
      </c>
      <c r="M731" s="108">
        <v>37.211422632850997</v>
      </c>
      <c r="N731" s="108">
        <v>46.219133858939017</v>
      </c>
      <c r="O731" s="108">
        <v>38.061242639269992</v>
      </c>
      <c r="P731" s="108">
        <v>44.164442703605999</v>
      </c>
      <c r="Q731" s="108">
        <v>36.181198672397002</v>
      </c>
      <c r="R731" s="76"/>
      <c r="S731" s="73"/>
      <c r="T731" s="73"/>
      <c r="U731" s="73"/>
      <c r="V731" s="69"/>
      <c r="W731" s="6"/>
    </row>
    <row r="732" spans="2:23" ht="15" x14ac:dyDescent="0.25">
      <c r="B732" s="6"/>
      <c r="C732" s="73"/>
      <c r="D732" s="108" t="s">
        <v>83</v>
      </c>
      <c r="E732" s="108">
        <v>137.67720828789501</v>
      </c>
      <c r="F732" s="108">
        <v>162.68835844779301</v>
      </c>
      <c r="G732" s="108">
        <v>152.29076017404699</v>
      </c>
      <c r="H732" s="108">
        <v>144.00200350613599</v>
      </c>
      <c r="I732" s="73"/>
      <c r="J732" s="108">
        <v>29.613080039071974</v>
      </c>
      <c r="K732" s="108">
        <v>25.536859406304018</v>
      </c>
      <c r="L732" s="108">
        <v>31.561768188016003</v>
      </c>
      <c r="M732" s="108">
        <v>27.585507184783012</v>
      </c>
      <c r="N732" s="108">
        <v>29.947839739047993</v>
      </c>
      <c r="O732" s="108">
        <v>26.130490704654989</v>
      </c>
      <c r="P732" s="108">
        <v>28.850593061533004</v>
      </c>
      <c r="Q732" s="108">
        <v>25.113580940334998</v>
      </c>
      <c r="R732" s="76"/>
      <c r="S732" s="73"/>
      <c r="T732" s="73"/>
      <c r="U732" s="73"/>
      <c r="V732" s="69"/>
      <c r="W732" s="6"/>
    </row>
    <row r="733" spans="2:23" ht="15" x14ac:dyDescent="0.25">
      <c r="B733" s="6"/>
      <c r="C733" s="73"/>
      <c r="D733" s="108" t="s">
        <v>44</v>
      </c>
      <c r="E733" s="108">
        <v>152.48226950354601</v>
      </c>
      <c r="F733" s="108">
        <v>170.212765957447</v>
      </c>
      <c r="G733" s="108">
        <v>120.006857534716</v>
      </c>
      <c r="H733" s="108">
        <v>195.40031125713301</v>
      </c>
      <c r="I733" s="73"/>
      <c r="J733" s="108">
        <v>35.832092703168996</v>
      </c>
      <c r="K733" s="108">
        <v>30.516134116254008</v>
      </c>
      <c r="L733" s="108">
        <v>37.646153980545989</v>
      </c>
      <c r="M733" s="108">
        <v>32.339877007729001</v>
      </c>
      <c r="N733" s="108">
        <v>31.614587691294986</v>
      </c>
      <c r="O733" s="108">
        <v>26.4556233709</v>
      </c>
      <c r="P733" s="108">
        <v>39.52475398765398</v>
      </c>
      <c r="Q733" s="108">
        <v>34.362798787481012</v>
      </c>
      <c r="R733" s="76"/>
      <c r="S733" s="73"/>
      <c r="T733" s="73"/>
      <c r="U733" s="73"/>
      <c r="V733" s="69"/>
      <c r="W733" s="6"/>
    </row>
    <row r="734" spans="2:23" x14ac:dyDescent="0.2">
      <c r="B734" s="6"/>
      <c r="C734" s="76"/>
      <c r="D734" s="108" t="s">
        <v>79</v>
      </c>
      <c r="E734" s="108">
        <v>217.082310376018</v>
      </c>
      <c r="F734" s="108">
        <v>201.399975439027</v>
      </c>
      <c r="G734" s="108">
        <v>179.129598461169</v>
      </c>
      <c r="H734" s="108">
        <v>160.344621275577</v>
      </c>
      <c r="I734" s="76"/>
      <c r="J734" s="108">
        <v>35.421978517725989</v>
      </c>
      <c r="K734" s="108">
        <v>31.585523400481009</v>
      </c>
      <c r="L734" s="108">
        <v>33.291860447423005</v>
      </c>
      <c r="M734" s="108">
        <v>29.644645607842989</v>
      </c>
      <c r="N734" s="108">
        <v>31.182056569361009</v>
      </c>
      <c r="O734" s="108">
        <v>27.607169593389983</v>
      </c>
      <c r="P734" s="108">
        <v>29.561556397223995</v>
      </c>
      <c r="Q734" s="108">
        <v>25.998261432944986</v>
      </c>
      <c r="R734" s="76"/>
      <c r="S734" s="76"/>
      <c r="T734" s="76"/>
      <c r="U734" s="76"/>
      <c r="V734" s="69"/>
      <c r="W734" s="6"/>
    </row>
    <row r="735" spans="2:23" x14ac:dyDescent="0.2">
      <c r="B735" s="6"/>
      <c r="C735" s="76"/>
      <c r="D735" s="108" t="s">
        <v>84</v>
      </c>
      <c r="E735" s="108">
        <v>139.53488372093</v>
      </c>
      <c r="F735" s="108">
        <v>135.79728405431899</v>
      </c>
      <c r="G735" s="108">
        <v>125.06948304613699</v>
      </c>
      <c r="H735" s="108">
        <v>154.66072175003501</v>
      </c>
      <c r="I735" s="76"/>
      <c r="J735" s="108">
        <v>30.343830272677991</v>
      </c>
      <c r="K735" s="108">
        <v>26.127814263814997</v>
      </c>
      <c r="L735" s="108">
        <v>29.863886002368019</v>
      </c>
      <c r="M735" s="108">
        <v>25.674832899131999</v>
      </c>
      <c r="N735" s="108">
        <v>28.662145180308002</v>
      </c>
      <c r="O735" s="108">
        <v>24.498847766284996</v>
      </c>
      <c r="P735" s="108">
        <v>31.590681887272979</v>
      </c>
      <c r="Q735" s="108">
        <v>27.430224508596012</v>
      </c>
      <c r="R735" s="76"/>
      <c r="S735" s="76"/>
      <c r="T735" s="76"/>
      <c r="U735" s="76"/>
      <c r="V735" s="69"/>
      <c r="W735" s="6"/>
    </row>
    <row r="736" spans="2:23" x14ac:dyDescent="0.2">
      <c r="B736" s="6"/>
      <c r="C736" s="76"/>
      <c r="D736" s="108" t="s">
        <v>81</v>
      </c>
      <c r="E736" s="108">
        <v>129.83861181895401</v>
      </c>
      <c r="F736" s="108">
        <v>139.30587246307201</v>
      </c>
      <c r="G736" s="108">
        <v>94.239604193662402</v>
      </c>
      <c r="H736" s="108">
        <v>114.51273662070599</v>
      </c>
      <c r="I736" s="76"/>
      <c r="J736" s="108">
        <v>27.058059754831987</v>
      </c>
      <c r="K736" s="108">
        <v>23.43273456864901</v>
      </c>
      <c r="L736" s="108">
        <v>27.778251659713987</v>
      </c>
      <c r="M736" s="108">
        <v>24.194732501246008</v>
      </c>
      <c r="N736" s="108">
        <v>23.049740719289602</v>
      </c>
      <c r="O736" s="108">
        <v>19.513457974426601</v>
      </c>
      <c r="P736" s="108">
        <v>25.041610531824006</v>
      </c>
      <c r="Q736" s="108">
        <v>21.545761773372888</v>
      </c>
      <c r="R736" s="76"/>
      <c r="S736" s="76"/>
      <c r="T736" s="76"/>
      <c r="U736" s="76"/>
      <c r="V736" s="69"/>
      <c r="W736" s="6"/>
    </row>
    <row r="737" spans="2:23" x14ac:dyDescent="0.2">
      <c r="B737" s="6"/>
      <c r="C737" s="76"/>
      <c r="D737" s="108" t="s">
        <v>82</v>
      </c>
      <c r="E737" s="108">
        <v>107.369448511469</v>
      </c>
      <c r="F737" s="108">
        <v>126.10340479192899</v>
      </c>
      <c r="G737" s="108">
        <v>112.395124267849</v>
      </c>
      <c r="H737" s="108">
        <v>127.625201938611</v>
      </c>
      <c r="I737" s="76"/>
      <c r="J737" s="108">
        <v>29.230815963896006</v>
      </c>
      <c r="K737" s="108">
        <v>24.329923512856297</v>
      </c>
      <c r="L737" s="108">
        <v>30.843198134623009</v>
      </c>
      <c r="M737" s="108">
        <v>26.1112460190581</v>
      </c>
      <c r="N737" s="108">
        <v>29.376031796468013</v>
      </c>
      <c r="O737" s="108">
        <v>24.613598288522098</v>
      </c>
      <c r="P737" s="108">
        <v>31.433879102868005</v>
      </c>
      <c r="Q737" s="108">
        <v>26.583127690476999</v>
      </c>
      <c r="R737" s="76"/>
      <c r="S737" s="76"/>
      <c r="T737" s="76"/>
      <c r="U737" s="76"/>
      <c r="V737" s="69"/>
      <c r="W737" s="6"/>
    </row>
    <row r="738" spans="2:23" x14ac:dyDescent="0.2">
      <c r="B738" s="6"/>
      <c r="C738" s="76"/>
      <c r="D738" s="108" t="s">
        <v>292</v>
      </c>
      <c r="E738" s="108">
        <v>148.024875186126</v>
      </c>
      <c r="F738" s="108">
        <v>155.98885793871901</v>
      </c>
      <c r="G738" s="108">
        <v>133.842410002517</v>
      </c>
      <c r="H738" s="108">
        <v>147.58450571733201</v>
      </c>
      <c r="I738" s="76"/>
      <c r="J738" s="108">
        <v>11.591862576186998</v>
      </c>
      <c r="K738" s="108">
        <v>10.949908279629</v>
      </c>
      <c r="L738" s="108">
        <v>11.754924793216986</v>
      </c>
      <c r="M738" s="108">
        <v>11.127041994471</v>
      </c>
      <c r="N738" s="108">
        <v>10.800881384504009</v>
      </c>
      <c r="O738" s="108">
        <v>10.185633472196997</v>
      </c>
      <c r="P738" s="108">
        <v>11.299939188645993</v>
      </c>
      <c r="Q738" s="108">
        <v>10.687258379895013</v>
      </c>
      <c r="R738" s="76"/>
      <c r="S738" s="76"/>
      <c r="T738" s="76"/>
      <c r="U738" s="76"/>
      <c r="V738" s="69"/>
      <c r="W738" s="6"/>
    </row>
    <row r="739" spans="2:23" x14ac:dyDescent="0.2">
      <c r="B739" s="6"/>
      <c r="C739" s="76"/>
      <c r="D739" s="108" t="s">
        <v>625</v>
      </c>
      <c r="E739" s="108">
        <v>140.97298779338399</v>
      </c>
      <c r="F739" s="108">
        <v>145.72543693377699</v>
      </c>
      <c r="G739" s="108">
        <v>128.823001227758</v>
      </c>
      <c r="H739" s="108">
        <v>134.82341639103501</v>
      </c>
      <c r="I739" s="76"/>
      <c r="J739" s="108">
        <v>3.2483334309669942</v>
      </c>
      <c r="K739" s="108">
        <v>3.1930092221369932</v>
      </c>
      <c r="L739" s="108">
        <v>3.2681937774800076</v>
      </c>
      <c r="M739" s="108">
        <v>3.2139899784799866</v>
      </c>
      <c r="N739" s="108">
        <v>3.0472288196779971</v>
      </c>
      <c r="O739" s="108">
        <v>2.9939777583809928</v>
      </c>
      <c r="P739" s="108">
        <v>3.1113127080460004</v>
      </c>
      <c r="Q739" s="108">
        <v>3.0582438763809989</v>
      </c>
      <c r="R739" s="76"/>
      <c r="S739" s="76"/>
      <c r="T739" s="76"/>
      <c r="U739" s="76"/>
      <c r="V739" s="69"/>
      <c r="W739" s="6"/>
    </row>
    <row r="740" spans="2:23" x14ac:dyDescent="0.2">
      <c r="B740" s="6"/>
      <c r="C740" s="76"/>
      <c r="D740" s="108" t="s">
        <v>294</v>
      </c>
      <c r="E740" s="108">
        <v>143.298539793092</v>
      </c>
      <c r="F740" s="108">
        <v>148.196948640719</v>
      </c>
      <c r="G740" s="108">
        <v>134.69851085474099</v>
      </c>
      <c r="H740" s="108">
        <v>140.79721627471699</v>
      </c>
      <c r="I740" s="76"/>
      <c r="J740" s="108">
        <v>1.3013335652040041</v>
      </c>
      <c r="K740" s="108">
        <v>1.2924970263350133</v>
      </c>
      <c r="L740" s="108">
        <v>1.3136186610090022</v>
      </c>
      <c r="M740" s="108">
        <v>1.3049105354000119</v>
      </c>
      <c r="N740" s="108">
        <v>1.24060109562501</v>
      </c>
      <c r="O740" s="108">
        <v>1.2320582695269877</v>
      </c>
      <c r="P740" s="108">
        <v>1.2643645531590266</v>
      </c>
      <c r="Q740" s="108">
        <v>1.2558740410409825</v>
      </c>
      <c r="R740" s="76"/>
      <c r="S740" s="76"/>
      <c r="T740" s="76"/>
      <c r="U740" s="76"/>
      <c r="V740" s="69"/>
      <c r="W740" s="6"/>
    </row>
    <row r="741" spans="2:23" x14ac:dyDescent="0.2">
      <c r="B741" s="6"/>
      <c r="C741" s="76"/>
      <c r="D741" s="76"/>
      <c r="E741" s="76"/>
      <c r="F741" s="76"/>
      <c r="G741" s="76"/>
      <c r="H741" s="76"/>
      <c r="I741" s="76"/>
      <c r="J741" s="76"/>
      <c r="K741" s="76"/>
      <c r="L741" s="76"/>
      <c r="M741" s="76"/>
      <c r="N741" s="76"/>
      <c r="O741" s="76"/>
      <c r="P741" s="76"/>
      <c r="Q741" s="76"/>
      <c r="R741" s="76"/>
      <c r="S741" s="76"/>
      <c r="T741" s="76"/>
      <c r="U741" s="76"/>
      <c r="V741" s="69"/>
      <c r="W741" s="6"/>
    </row>
    <row r="742" spans="2:23" x14ac:dyDescent="0.2">
      <c r="B742" s="6"/>
      <c r="C742" s="76"/>
      <c r="D742" s="76"/>
      <c r="E742" s="76"/>
      <c r="F742" s="76"/>
      <c r="G742" s="76"/>
      <c r="H742" s="76"/>
      <c r="I742" s="76"/>
      <c r="J742" s="76"/>
      <c r="K742" s="76"/>
      <c r="L742" s="76"/>
      <c r="M742" s="76"/>
      <c r="N742" s="76"/>
      <c r="O742" s="76"/>
      <c r="P742" s="76"/>
      <c r="Q742" s="76"/>
      <c r="R742" s="76"/>
      <c r="S742" s="76"/>
      <c r="T742" s="76"/>
      <c r="U742" s="76"/>
      <c r="V742" s="69"/>
      <c r="W742" s="6"/>
    </row>
    <row r="743" spans="2:23" x14ac:dyDescent="0.2">
      <c r="B743" s="6"/>
      <c r="C743" s="76"/>
      <c r="D743" s="76"/>
      <c r="E743" s="76"/>
      <c r="F743" s="76"/>
      <c r="G743" s="76"/>
      <c r="H743" s="76"/>
      <c r="I743" s="76"/>
      <c r="J743" s="76"/>
      <c r="K743" s="76"/>
      <c r="L743" s="76"/>
      <c r="M743" s="76"/>
      <c r="N743" s="76"/>
      <c r="O743" s="76"/>
      <c r="P743" s="76"/>
      <c r="Q743" s="76"/>
      <c r="R743" s="76"/>
      <c r="S743" s="76"/>
      <c r="T743" s="76"/>
      <c r="U743" s="76"/>
      <c r="V743" s="69"/>
      <c r="W743" s="6"/>
    </row>
    <row r="744" spans="2:23" x14ac:dyDescent="0.2">
      <c r="B744" s="6"/>
      <c r="C744" s="76"/>
      <c r="D744" s="76"/>
      <c r="E744" s="76"/>
      <c r="F744" s="76"/>
      <c r="G744" s="76"/>
      <c r="H744" s="76"/>
      <c r="I744" s="76"/>
      <c r="J744" s="76"/>
      <c r="K744" s="76"/>
      <c r="L744" s="76"/>
      <c r="M744" s="76"/>
      <c r="N744" s="76"/>
      <c r="O744" s="76"/>
      <c r="P744" s="76"/>
      <c r="Q744" s="76"/>
      <c r="R744" s="76"/>
      <c r="S744" s="76"/>
      <c r="T744" s="76"/>
      <c r="U744" s="76"/>
      <c r="V744" s="69"/>
      <c r="W744" s="6"/>
    </row>
    <row r="745" spans="2:23" x14ac:dyDescent="0.2">
      <c r="B745" s="6"/>
      <c r="C745" s="69"/>
      <c r="D745" s="69"/>
      <c r="E745" s="69"/>
      <c r="F745" s="69"/>
      <c r="G745" s="69"/>
      <c r="H745" s="69"/>
      <c r="I745" s="69"/>
      <c r="J745" s="69"/>
      <c r="K745" s="69"/>
      <c r="L745" s="69"/>
      <c r="M745" s="69"/>
      <c r="N745" s="69"/>
      <c r="O745" s="69"/>
      <c r="Q745" s="69"/>
      <c r="R745" s="69"/>
      <c r="S745" s="69"/>
      <c r="T745" s="69"/>
      <c r="U745" s="69"/>
      <c r="V745" s="69"/>
      <c r="W745" s="6"/>
    </row>
    <row r="746" spans="2:23" s="69" customFormat="1" x14ac:dyDescent="0.2">
      <c r="B746" s="6"/>
      <c r="C746" s="6"/>
      <c r="D746" s="6"/>
      <c r="E746" s="6"/>
      <c r="F746" s="6"/>
      <c r="G746" s="6"/>
      <c r="H746" s="6"/>
      <c r="I746" s="6"/>
      <c r="J746" s="6"/>
      <c r="K746" s="6"/>
      <c r="L746" s="6"/>
      <c r="M746" s="6"/>
      <c r="N746" s="6"/>
      <c r="O746" s="6"/>
      <c r="P746" s="6"/>
      <c r="Q746" s="6"/>
      <c r="R746" s="6"/>
      <c r="S746" s="6"/>
      <c r="T746" s="6"/>
      <c r="U746" s="6"/>
      <c r="V746" s="6"/>
      <c r="W746" s="6"/>
    </row>
    <row r="747" spans="2:23" s="69" customFormat="1" x14ac:dyDescent="0.2">
      <c r="B747" s="6"/>
      <c r="C747" s="6"/>
      <c r="D747" s="6"/>
      <c r="E747" s="6"/>
      <c r="F747" s="6"/>
      <c r="G747" s="6"/>
      <c r="H747" s="6"/>
      <c r="I747" s="6"/>
      <c r="J747" s="6"/>
      <c r="K747" s="6"/>
      <c r="L747" s="6"/>
      <c r="M747" s="6"/>
      <c r="N747" s="6"/>
      <c r="O747" s="6"/>
      <c r="P747" s="6"/>
      <c r="Q747" s="6"/>
      <c r="R747" s="6"/>
      <c r="S747" s="6"/>
      <c r="T747" s="6"/>
      <c r="U747" s="6"/>
      <c r="V747" s="6"/>
      <c r="W747" s="6"/>
    </row>
    <row r="748" spans="2:23" s="69" customFormat="1" x14ac:dyDescent="0.2">
      <c r="B748" s="6"/>
      <c r="W748" s="6"/>
    </row>
    <row r="749" spans="2:23" s="69" customFormat="1" x14ac:dyDescent="0.2">
      <c r="B749" s="6"/>
      <c r="W749" s="6"/>
    </row>
    <row r="750" spans="2:23" s="69" customFormat="1" x14ac:dyDescent="0.2">
      <c r="B750" s="6"/>
      <c r="W750" s="6"/>
    </row>
    <row r="751" spans="2:23" s="69" customFormat="1" x14ac:dyDescent="0.2">
      <c r="B751" s="6"/>
      <c r="W751" s="6"/>
    </row>
    <row r="752" spans="2:23" s="69" customFormat="1" x14ac:dyDescent="0.2">
      <c r="B752" s="6"/>
      <c r="W752" s="6"/>
    </row>
    <row r="753" spans="2:23" s="69" customFormat="1" x14ac:dyDescent="0.2">
      <c r="B753" s="6"/>
      <c r="W753" s="6"/>
    </row>
    <row r="754" spans="2:23" s="69" customFormat="1" x14ac:dyDescent="0.2">
      <c r="B754" s="6"/>
      <c r="W754" s="6"/>
    </row>
    <row r="755" spans="2:23" s="69" customFormat="1" x14ac:dyDescent="0.2">
      <c r="B755" s="6"/>
      <c r="W755" s="6"/>
    </row>
    <row r="756" spans="2:23" s="69" customFormat="1" x14ac:dyDescent="0.2">
      <c r="B756" s="6"/>
      <c r="W756" s="6"/>
    </row>
    <row r="757" spans="2:23" s="69" customFormat="1" x14ac:dyDescent="0.2">
      <c r="B757" s="6"/>
      <c r="W757" s="6"/>
    </row>
    <row r="758" spans="2:23" s="69" customFormat="1" x14ac:dyDescent="0.2">
      <c r="B758" s="6"/>
      <c r="W758" s="6"/>
    </row>
    <row r="759" spans="2:23" s="69" customFormat="1" x14ac:dyDescent="0.2">
      <c r="B759" s="6"/>
      <c r="W759" s="6"/>
    </row>
    <row r="760" spans="2:23" s="69" customFormat="1" x14ac:dyDescent="0.2">
      <c r="B760" s="6"/>
      <c r="W760" s="6"/>
    </row>
    <row r="761" spans="2:23" s="69" customFormat="1" x14ac:dyDescent="0.2">
      <c r="B761" s="6"/>
      <c r="W761" s="6"/>
    </row>
    <row r="762" spans="2:23" s="69" customFormat="1" x14ac:dyDescent="0.2">
      <c r="B762" s="6"/>
      <c r="W762" s="6"/>
    </row>
    <row r="763" spans="2:23" s="69" customFormat="1" x14ac:dyDescent="0.2">
      <c r="B763" s="6"/>
      <c r="W763" s="6"/>
    </row>
    <row r="764" spans="2:23" s="69" customFormat="1" x14ac:dyDescent="0.2">
      <c r="B764" s="6"/>
      <c r="W764" s="6"/>
    </row>
    <row r="765" spans="2:23" s="69" customFormat="1" x14ac:dyDescent="0.2">
      <c r="B765" s="6"/>
      <c r="W765" s="6"/>
    </row>
    <row r="766" spans="2:23" s="69" customFormat="1" x14ac:dyDescent="0.2">
      <c r="B766" s="6"/>
      <c r="W766" s="6"/>
    </row>
    <row r="767" spans="2:23" s="69" customFormat="1" x14ac:dyDescent="0.2">
      <c r="B767" s="6"/>
      <c r="W767" s="6"/>
    </row>
    <row r="768" spans="2:23" s="69" customFormat="1" x14ac:dyDescent="0.2">
      <c r="B768" s="6"/>
      <c r="W768" s="6"/>
    </row>
    <row r="769" spans="2:23" s="69" customFormat="1" x14ac:dyDescent="0.2">
      <c r="B769" s="6"/>
      <c r="W769" s="6"/>
    </row>
    <row r="770" spans="2:23" s="69" customFormat="1" x14ac:dyDescent="0.2">
      <c r="B770" s="6"/>
      <c r="W770" s="6"/>
    </row>
    <row r="771" spans="2:23" s="69" customFormat="1" x14ac:dyDescent="0.2">
      <c r="B771" s="6"/>
      <c r="W771" s="6"/>
    </row>
    <row r="772" spans="2:23" x14ac:dyDescent="0.2">
      <c r="B772" s="6"/>
      <c r="C772" s="69"/>
      <c r="D772" s="69"/>
      <c r="E772" s="69"/>
      <c r="F772" s="69"/>
      <c r="G772" s="69"/>
      <c r="H772" s="69"/>
      <c r="I772" s="69"/>
      <c r="J772" s="69"/>
      <c r="K772" s="69"/>
      <c r="L772" s="69"/>
      <c r="M772" s="69"/>
      <c r="N772" s="69"/>
      <c r="O772" s="69"/>
      <c r="Q772" s="69"/>
      <c r="R772" s="69"/>
      <c r="S772" s="69"/>
      <c r="T772" s="69"/>
      <c r="U772" s="69"/>
      <c r="V772" s="69"/>
      <c r="W772" s="6"/>
    </row>
    <row r="773" spans="2:23" x14ac:dyDescent="0.2">
      <c r="B773" s="6"/>
      <c r="C773" s="69"/>
      <c r="D773" s="69"/>
      <c r="E773" s="69"/>
      <c r="F773" s="69"/>
      <c r="G773" s="69"/>
      <c r="H773" s="69"/>
      <c r="I773" s="69"/>
      <c r="J773" s="69"/>
      <c r="K773" s="69"/>
      <c r="L773" s="69"/>
      <c r="M773" s="69"/>
      <c r="N773" s="69"/>
      <c r="O773" s="69"/>
      <c r="Q773" s="69"/>
      <c r="R773" s="69"/>
      <c r="S773" s="69"/>
      <c r="T773" s="69"/>
      <c r="U773" s="69"/>
      <c r="V773" s="69"/>
      <c r="W773" s="6"/>
    </row>
    <row r="774" spans="2:23" x14ac:dyDescent="0.2">
      <c r="B774" s="6"/>
      <c r="C774" s="69"/>
      <c r="D774" s="69"/>
      <c r="E774" s="69"/>
      <c r="F774" s="69"/>
      <c r="G774" s="69"/>
      <c r="H774" s="69"/>
      <c r="I774" s="69"/>
      <c r="J774" s="69"/>
      <c r="K774" s="69"/>
      <c r="L774" s="69"/>
      <c r="M774" s="69"/>
      <c r="N774" s="69"/>
      <c r="O774" s="69"/>
      <c r="Q774" s="69"/>
      <c r="R774" s="69"/>
      <c r="S774" s="69"/>
      <c r="T774" s="69"/>
      <c r="U774" s="69"/>
      <c r="V774" s="69"/>
      <c r="W774" s="6"/>
    </row>
    <row r="775" spans="2:23" s="69" customFormat="1" x14ac:dyDescent="0.2">
      <c r="B775" s="6"/>
      <c r="W775" s="6"/>
    </row>
    <row r="776" spans="2:23" x14ac:dyDescent="0.2">
      <c r="B776" s="6"/>
      <c r="C776" s="69"/>
      <c r="D776" s="69"/>
      <c r="E776" s="69"/>
      <c r="F776" s="69"/>
      <c r="G776" s="69"/>
      <c r="H776" s="69"/>
      <c r="I776" s="69"/>
      <c r="J776" s="69"/>
      <c r="K776" s="69"/>
      <c r="L776" s="69"/>
      <c r="M776" s="69"/>
      <c r="N776" s="69"/>
      <c r="O776" s="69"/>
      <c r="Q776" s="69"/>
      <c r="R776" s="69"/>
      <c r="S776" s="69"/>
      <c r="T776" s="69"/>
      <c r="U776" s="69"/>
      <c r="V776" s="69"/>
      <c r="W776" s="6"/>
    </row>
    <row r="777" spans="2:23" x14ac:dyDescent="0.2">
      <c r="B777" s="6"/>
      <c r="C777" s="69"/>
      <c r="D777" s="69"/>
      <c r="E777" s="69"/>
      <c r="F777" s="69"/>
      <c r="G777" s="69"/>
      <c r="H777" s="69"/>
      <c r="I777" s="69"/>
      <c r="J777" s="69"/>
      <c r="K777" s="69"/>
      <c r="L777" s="69"/>
      <c r="M777" s="69"/>
      <c r="N777" s="69"/>
      <c r="O777" s="69"/>
      <c r="Q777" s="69"/>
      <c r="R777" s="69"/>
      <c r="S777" s="69"/>
      <c r="T777" s="69"/>
      <c r="U777" s="69"/>
      <c r="V777" s="69"/>
      <c r="W777" s="6"/>
    </row>
    <row r="778" spans="2:23" s="69" customFormat="1" x14ac:dyDescent="0.2">
      <c r="B778" s="6"/>
      <c r="W778" s="6"/>
    </row>
    <row r="779" spans="2:23" s="69" customFormat="1" x14ac:dyDescent="0.2">
      <c r="B779" s="6"/>
      <c r="W779" s="6"/>
    </row>
    <row r="780" spans="2:23" s="69" customFormat="1" x14ac:dyDescent="0.2">
      <c r="B780" s="6"/>
      <c r="W780" s="6"/>
    </row>
    <row r="781" spans="2:23" s="69" customFormat="1" x14ac:dyDescent="0.2">
      <c r="B781" s="6"/>
      <c r="W781" s="6"/>
    </row>
    <row r="782" spans="2:23" s="69" customFormat="1" x14ac:dyDescent="0.2">
      <c r="B782" s="6"/>
      <c r="W782" s="6"/>
    </row>
    <row r="783" spans="2:23" s="69" customFormat="1" x14ac:dyDescent="0.2">
      <c r="B783" s="6"/>
      <c r="W783" s="6"/>
    </row>
    <row r="784" spans="2:23" s="69" customFormat="1" x14ac:dyDescent="0.2">
      <c r="B784" s="6"/>
      <c r="W784" s="6"/>
    </row>
    <row r="785" spans="2:23" x14ac:dyDescent="0.2">
      <c r="B785" s="6"/>
      <c r="C785" s="69"/>
      <c r="D785" s="69"/>
      <c r="E785" s="69"/>
      <c r="F785" s="69"/>
      <c r="G785" s="69"/>
      <c r="H785" s="69"/>
      <c r="I785" s="69"/>
      <c r="J785" s="69"/>
      <c r="K785" s="69"/>
      <c r="L785" s="69"/>
      <c r="M785" s="69"/>
      <c r="N785" s="69"/>
      <c r="O785" s="69"/>
      <c r="Q785" s="69"/>
      <c r="R785" s="69"/>
      <c r="S785" s="69"/>
      <c r="T785" s="69"/>
      <c r="U785" s="69"/>
      <c r="V785" s="69"/>
      <c r="W785" s="6"/>
    </row>
    <row r="786" spans="2:23" x14ac:dyDescent="0.2">
      <c r="B786" s="6"/>
      <c r="C786" s="69"/>
      <c r="D786" s="69"/>
      <c r="E786" s="69"/>
      <c r="F786" s="69"/>
      <c r="G786" s="69"/>
      <c r="H786" s="69"/>
      <c r="I786" s="69"/>
      <c r="J786" s="69"/>
      <c r="K786" s="69"/>
      <c r="L786" s="69"/>
      <c r="M786" s="69"/>
      <c r="N786" s="69"/>
      <c r="O786" s="69"/>
      <c r="Q786" s="69"/>
      <c r="R786" s="69"/>
      <c r="S786" s="69"/>
      <c r="T786" s="69"/>
      <c r="U786" s="69"/>
      <c r="V786" s="69"/>
      <c r="W786" s="6"/>
    </row>
    <row r="787" spans="2:23" ht="15" x14ac:dyDescent="0.25">
      <c r="B787" s="6"/>
      <c r="C787" s="195" t="s">
        <v>889</v>
      </c>
      <c r="D787" s="404"/>
      <c r="E787" s="404"/>
      <c r="F787" s="404"/>
      <c r="G787" s="404"/>
      <c r="H787" s="404"/>
      <c r="I787" s="404"/>
      <c r="J787" s="404"/>
      <c r="K787" s="404"/>
      <c r="L787" s="404"/>
      <c r="M787" s="404"/>
      <c r="N787" s="404"/>
      <c r="O787" s="404"/>
      <c r="P787" s="404"/>
      <c r="Q787" s="404"/>
      <c r="R787" s="404"/>
      <c r="S787" s="404"/>
      <c r="T787" s="404"/>
      <c r="U787" s="404"/>
      <c r="V787" s="404"/>
      <c r="W787" s="6"/>
    </row>
    <row r="788" spans="2:23" ht="15" x14ac:dyDescent="0.25">
      <c r="B788" s="6"/>
      <c r="C788" s="404"/>
      <c r="D788" s="404"/>
      <c r="E788" s="404"/>
      <c r="F788" s="404"/>
      <c r="G788" s="404"/>
      <c r="H788" s="404"/>
      <c r="I788" s="404"/>
      <c r="J788" s="404"/>
      <c r="K788" s="404"/>
      <c r="L788" s="404"/>
      <c r="M788" s="404"/>
      <c r="N788" s="404"/>
      <c r="O788" s="404"/>
      <c r="P788" s="404"/>
      <c r="Q788" s="404"/>
      <c r="R788" s="404"/>
      <c r="S788" s="404"/>
      <c r="T788" s="404"/>
      <c r="U788" s="404"/>
      <c r="V788" s="404"/>
      <c r="W788" s="6"/>
    </row>
    <row r="789" spans="2:23" ht="15" customHeight="1" x14ac:dyDescent="0.25">
      <c r="B789" s="6"/>
      <c r="C789" s="404"/>
      <c r="D789" s="993" t="s">
        <v>441</v>
      </c>
      <c r="E789" s="994"/>
      <c r="F789" s="995" t="str">
        <f>INDEX(Locations, selection)</f>
        <v>Kingston Buci</v>
      </c>
      <c r="G789" s="996"/>
      <c r="H789" s="997"/>
      <c r="I789" s="404"/>
      <c r="J789" s="404"/>
      <c r="K789" s="404"/>
      <c r="L789" s="404"/>
      <c r="M789" s="404"/>
      <c r="N789" s="404"/>
      <c r="O789" s="404"/>
      <c r="P789" s="404"/>
      <c r="Q789" s="404"/>
      <c r="R789" s="404"/>
      <c r="S789" s="404"/>
      <c r="T789" s="404"/>
      <c r="U789" s="404"/>
      <c r="V789" s="404"/>
      <c r="W789" s="6"/>
    </row>
    <row r="790" spans="2:23" ht="15.75" customHeight="1" x14ac:dyDescent="0.25">
      <c r="B790" s="6"/>
      <c r="C790" s="404"/>
      <c r="D790" s="999" t="s">
        <v>838</v>
      </c>
      <c r="E790" s="999"/>
      <c r="F790" s="998" t="str">
        <f>IF(VLOOKUP(F789,Geographies,8,FALSE)="","",VLOOKUP(F789,Geographies,8,FALSE))</f>
        <v>Adur East</v>
      </c>
      <c r="G790" s="998"/>
      <c r="H790" s="998"/>
      <c r="I790" s="404"/>
      <c r="J790" s="404"/>
      <c r="K790" s="404"/>
      <c r="L790" s="404"/>
      <c r="M790" s="404"/>
      <c r="N790" s="404"/>
      <c r="O790" s="404"/>
      <c r="P790" s="404"/>
      <c r="Q790" s="404"/>
      <c r="R790" s="404"/>
      <c r="S790" s="404"/>
      <c r="T790" s="404"/>
      <c r="U790" s="404"/>
      <c r="V790" s="404"/>
      <c r="W790" s="6"/>
    </row>
    <row r="791" spans="2:23" ht="15" x14ac:dyDescent="0.25">
      <c r="B791" s="6"/>
      <c r="C791" s="404"/>
      <c r="D791" s="404"/>
      <c r="E791" s="404"/>
      <c r="F791" s="404"/>
      <c r="G791" s="404"/>
      <c r="H791" s="404"/>
      <c r="I791" s="404"/>
      <c r="J791" s="404"/>
      <c r="K791" s="404"/>
      <c r="L791" s="404"/>
      <c r="M791" s="404"/>
      <c r="N791" s="404"/>
      <c r="O791" s="404"/>
      <c r="P791" s="404"/>
      <c r="Q791" s="404"/>
      <c r="R791" s="404"/>
      <c r="S791" s="404"/>
      <c r="T791" s="404"/>
      <c r="U791" s="404"/>
      <c r="V791" s="404"/>
      <c r="W791" s="6"/>
    </row>
    <row r="792" spans="2:23" s="69" customFormat="1" ht="15" x14ac:dyDescent="0.25">
      <c r="B792" s="6"/>
      <c r="C792" s="404"/>
      <c r="D792" s="158" t="s">
        <v>842</v>
      </c>
      <c r="E792" s="404"/>
      <c r="F792" s="404"/>
      <c r="G792" s="404"/>
      <c r="H792" s="404"/>
      <c r="I792" s="404"/>
      <c r="J792" s="404"/>
      <c r="K792" s="404"/>
      <c r="L792" s="404"/>
      <c r="M792" s="404"/>
      <c r="N792" s="404"/>
      <c r="O792" s="404"/>
      <c r="P792" s="404"/>
      <c r="Q792" s="404"/>
      <c r="R792" s="404"/>
      <c r="S792" s="404"/>
      <c r="T792" s="404"/>
      <c r="U792" s="404"/>
      <c r="V792" s="404"/>
      <c r="W792" s="6"/>
    </row>
    <row r="793" spans="2:23" s="69" customFormat="1" ht="15" x14ac:dyDescent="0.25">
      <c r="B793" s="6"/>
      <c r="C793" s="404"/>
      <c r="D793" s="158"/>
      <c r="E793" s="404"/>
      <c r="F793" s="404"/>
      <c r="G793" s="404"/>
      <c r="H793" s="404"/>
      <c r="I793" s="404"/>
      <c r="J793" s="404"/>
      <c r="K793" s="404"/>
      <c r="L793" s="404"/>
      <c r="M793" s="404"/>
      <c r="N793" s="404"/>
      <c r="O793" s="404"/>
      <c r="P793" s="404"/>
      <c r="Q793" s="404"/>
      <c r="R793" s="404"/>
      <c r="S793" s="404"/>
      <c r="T793" s="404"/>
      <c r="U793" s="404"/>
      <c r="V793" s="404"/>
      <c r="W793" s="6"/>
    </row>
    <row r="794" spans="2:23" ht="15" customHeight="1" x14ac:dyDescent="0.25">
      <c r="B794" s="6"/>
      <c r="C794" s="404"/>
      <c r="D794" s="841" t="s">
        <v>839</v>
      </c>
      <c r="E794" s="842"/>
      <c r="F794" s="843"/>
      <c r="G794" s="790" t="s">
        <v>840</v>
      </c>
      <c r="H794" s="804"/>
      <c r="I794" s="791"/>
      <c r="J794" s="790" t="s">
        <v>537</v>
      </c>
      <c r="K794" s="791"/>
      <c r="L794" s="1014" t="s">
        <v>538</v>
      </c>
      <c r="M794" s="1015"/>
      <c r="N794" s="404"/>
      <c r="O794" s="404"/>
      <c r="P794" s="404"/>
      <c r="Q794" s="404"/>
      <c r="R794" s="404"/>
      <c r="S794" s="404"/>
      <c r="T794" s="404"/>
      <c r="U794" s="404"/>
      <c r="V794" s="404"/>
      <c r="W794" s="6"/>
    </row>
    <row r="795" spans="2:23" ht="15" x14ac:dyDescent="0.25">
      <c r="B795" s="6"/>
      <c r="C795" s="404"/>
      <c r="D795" s="844"/>
      <c r="E795" s="845"/>
      <c r="F795" s="846"/>
      <c r="G795" s="792"/>
      <c r="H795" s="805"/>
      <c r="I795" s="793"/>
      <c r="J795" s="792"/>
      <c r="K795" s="793"/>
      <c r="L795" s="1016"/>
      <c r="M795" s="1017"/>
      <c r="N795" s="404"/>
      <c r="O795" s="404"/>
      <c r="P795" s="404"/>
      <c r="Q795" s="404"/>
      <c r="R795" s="404"/>
      <c r="S795" s="404"/>
      <c r="T795" s="404"/>
      <c r="U795" s="404"/>
      <c r="V795" s="404"/>
      <c r="W795" s="6"/>
    </row>
    <row r="796" spans="2:23" ht="15" x14ac:dyDescent="0.25">
      <c r="B796" s="6"/>
      <c r="C796" s="404"/>
      <c r="D796" s="847"/>
      <c r="E796" s="848"/>
      <c r="F796" s="849"/>
      <c r="G796" s="794"/>
      <c r="H796" s="806"/>
      <c r="I796" s="795"/>
      <c r="J796" s="794"/>
      <c r="K796" s="795"/>
      <c r="L796" s="1018"/>
      <c r="M796" s="1019"/>
      <c r="N796" s="404"/>
      <c r="O796" s="404"/>
      <c r="P796" s="404"/>
      <c r="Q796" s="404"/>
      <c r="R796" s="404"/>
      <c r="S796" s="404"/>
      <c r="T796" s="404"/>
      <c r="U796" s="404"/>
      <c r="V796" s="404"/>
      <c r="W796" s="6"/>
    </row>
    <row r="797" spans="2:23" ht="15" x14ac:dyDescent="0.25">
      <c r="B797" s="6"/>
      <c r="C797" s="404"/>
      <c r="D797" s="769" t="s">
        <v>399</v>
      </c>
      <c r="E797" s="770"/>
      <c r="F797" s="771"/>
      <c r="G797" s="990">
        <v>0.44</v>
      </c>
      <c r="H797" s="991"/>
      <c r="I797" s="992"/>
      <c r="J797" s="1020">
        <v>0.09</v>
      </c>
      <c r="K797" s="1021"/>
      <c r="L797" s="1024">
        <v>1.29</v>
      </c>
      <c r="M797" s="1025"/>
      <c r="N797" s="404"/>
      <c r="O797" s="404"/>
      <c r="P797" s="404"/>
      <c r="Q797" s="404"/>
      <c r="R797" s="404"/>
      <c r="S797" s="404"/>
      <c r="T797" s="404"/>
      <c r="U797" s="404"/>
      <c r="V797" s="404"/>
      <c r="W797" s="6"/>
    </row>
    <row r="798" spans="2:23" ht="15" x14ac:dyDescent="0.25">
      <c r="B798" s="6"/>
      <c r="C798" s="404"/>
      <c r="D798" s="769" t="s">
        <v>83</v>
      </c>
      <c r="E798" s="770"/>
      <c r="F798" s="771"/>
      <c r="G798" s="990">
        <v>0.55000000000000004</v>
      </c>
      <c r="H798" s="991"/>
      <c r="I798" s="992"/>
      <c r="J798" s="1020">
        <v>0.24</v>
      </c>
      <c r="K798" s="1021"/>
      <c r="L798" s="1024">
        <v>1.08</v>
      </c>
      <c r="M798" s="1025"/>
      <c r="N798" s="404"/>
      <c r="O798" s="404"/>
      <c r="P798" s="404"/>
      <c r="Q798" s="404"/>
      <c r="R798" s="404"/>
      <c r="S798" s="404"/>
      <c r="T798" s="404"/>
      <c r="U798" s="404"/>
      <c r="V798" s="404"/>
      <c r="W798" s="6"/>
    </row>
    <row r="799" spans="2:23" ht="15" x14ac:dyDescent="0.25">
      <c r="B799" s="6"/>
      <c r="C799" s="404"/>
      <c r="D799" s="769" t="s">
        <v>44</v>
      </c>
      <c r="E799" s="770"/>
      <c r="F799" s="771"/>
      <c r="G799" s="1022" t="s">
        <v>843</v>
      </c>
      <c r="H799" s="1030"/>
      <c r="I799" s="1023"/>
      <c r="J799" s="1022" t="s">
        <v>843</v>
      </c>
      <c r="K799" s="1023"/>
      <c r="L799" s="1028" t="s">
        <v>843</v>
      </c>
      <c r="M799" s="1029"/>
      <c r="N799" s="404"/>
      <c r="O799" s="404"/>
      <c r="P799" s="404"/>
      <c r="Q799" s="404"/>
      <c r="R799" s="404"/>
      <c r="S799" s="404"/>
      <c r="T799" s="404"/>
      <c r="U799" s="404"/>
      <c r="V799" s="404"/>
      <c r="W799" s="6"/>
    </row>
    <row r="800" spans="2:23" ht="15" x14ac:dyDescent="0.25">
      <c r="B800" s="6"/>
      <c r="C800" s="404"/>
      <c r="D800" s="769" t="s">
        <v>79</v>
      </c>
      <c r="E800" s="770"/>
      <c r="F800" s="771"/>
      <c r="G800" s="990">
        <v>0.39</v>
      </c>
      <c r="H800" s="991"/>
      <c r="I800" s="992"/>
      <c r="J800" s="1020">
        <v>0.14000000000000001</v>
      </c>
      <c r="K800" s="1021"/>
      <c r="L800" s="1024">
        <v>0.85</v>
      </c>
      <c r="M800" s="1025"/>
      <c r="N800" s="404"/>
      <c r="O800" s="404"/>
      <c r="P800" s="404"/>
      <c r="Q800" s="404"/>
      <c r="R800" s="404"/>
      <c r="S800" s="404"/>
      <c r="T800" s="404"/>
      <c r="U800" s="404"/>
      <c r="V800" s="404"/>
      <c r="W800" s="6"/>
    </row>
    <row r="801" spans="2:23" ht="15" x14ac:dyDescent="0.25">
      <c r="B801" s="6"/>
      <c r="C801" s="404"/>
      <c r="D801" s="769" t="s">
        <v>84</v>
      </c>
      <c r="E801" s="770"/>
      <c r="F801" s="771"/>
      <c r="G801" s="1011" t="s">
        <v>859</v>
      </c>
      <c r="H801" s="1012"/>
      <c r="I801" s="1012"/>
      <c r="J801" s="1012"/>
      <c r="K801" s="1012"/>
      <c r="L801" s="1012"/>
      <c r="M801" s="1013"/>
      <c r="N801" s="404"/>
      <c r="O801" s="404"/>
      <c r="P801" s="404"/>
      <c r="Q801" s="404"/>
      <c r="R801" s="404"/>
      <c r="S801" s="404"/>
      <c r="T801" s="404"/>
      <c r="U801" s="404"/>
      <c r="V801" s="404"/>
      <c r="W801" s="6"/>
    </row>
    <row r="802" spans="2:23" ht="15" x14ac:dyDescent="0.25">
      <c r="B802" s="6"/>
      <c r="C802" s="404"/>
      <c r="D802" s="769" t="s">
        <v>81</v>
      </c>
      <c r="E802" s="770"/>
      <c r="F802" s="771"/>
      <c r="G802" s="990">
        <v>0.2</v>
      </c>
      <c r="H802" s="991"/>
      <c r="I802" s="992"/>
      <c r="J802" s="1020">
        <v>0.04</v>
      </c>
      <c r="K802" s="1021"/>
      <c r="L802" s="1024">
        <v>0.57999999999999996</v>
      </c>
      <c r="M802" s="1025"/>
      <c r="N802" s="404"/>
      <c r="O802" s="404"/>
      <c r="P802" s="404"/>
      <c r="Q802" s="404"/>
      <c r="R802" s="404"/>
      <c r="S802" s="404"/>
      <c r="T802" s="404"/>
      <c r="U802" s="404"/>
      <c r="V802" s="404"/>
      <c r="W802" s="6"/>
    </row>
    <row r="803" spans="2:23" ht="15" x14ac:dyDescent="0.25">
      <c r="B803" s="6"/>
      <c r="C803" s="404"/>
      <c r="D803" s="769" t="s">
        <v>82</v>
      </c>
      <c r="E803" s="770"/>
      <c r="F803" s="771"/>
      <c r="G803" s="990">
        <v>0.25</v>
      </c>
      <c r="H803" s="991"/>
      <c r="I803" s="992"/>
      <c r="J803" s="1020">
        <v>0.05</v>
      </c>
      <c r="K803" s="1021"/>
      <c r="L803" s="1024">
        <v>0.74</v>
      </c>
      <c r="M803" s="1025"/>
      <c r="N803" s="404"/>
      <c r="O803" s="404"/>
      <c r="P803" s="404"/>
      <c r="Q803" s="404"/>
      <c r="R803" s="404"/>
      <c r="S803" s="404"/>
      <c r="T803" s="404"/>
      <c r="U803" s="404"/>
      <c r="V803" s="404"/>
      <c r="W803" s="6"/>
    </row>
    <row r="804" spans="2:23" s="69" customFormat="1" ht="15" x14ac:dyDescent="0.25">
      <c r="B804" s="6"/>
      <c r="C804" s="451"/>
      <c r="D804" s="833" t="s">
        <v>111</v>
      </c>
      <c r="E804" s="834"/>
      <c r="F804" s="835"/>
      <c r="G804" s="1003">
        <v>0.28999999999999998</v>
      </c>
      <c r="H804" s="1004"/>
      <c r="I804" s="1005"/>
      <c r="J804" s="1006">
        <v>0.19</v>
      </c>
      <c r="K804" s="1007"/>
      <c r="L804" s="1026">
        <v>0.42</v>
      </c>
      <c r="M804" s="1027"/>
      <c r="N804" s="451"/>
      <c r="O804" s="451"/>
      <c r="P804" s="451"/>
      <c r="Q804" s="451"/>
      <c r="R804" s="451"/>
      <c r="S804" s="451"/>
      <c r="T804" s="451"/>
      <c r="U804" s="451"/>
      <c r="V804" s="451"/>
      <c r="W804" s="6"/>
    </row>
    <row r="805" spans="2:23" ht="15" x14ac:dyDescent="0.25">
      <c r="B805" s="6"/>
      <c r="C805" s="404"/>
      <c r="D805" s="833" t="s">
        <v>112</v>
      </c>
      <c r="E805" s="834"/>
      <c r="F805" s="835"/>
      <c r="G805" s="1000">
        <v>0.32</v>
      </c>
      <c r="H805" s="1001"/>
      <c r="I805" s="1002"/>
      <c r="J805" s="1008" t="s">
        <v>287</v>
      </c>
      <c r="K805" s="1009"/>
      <c r="L805" s="1009"/>
      <c r="M805" s="1010"/>
      <c r="N805" s="404"/>
      <c r="O805" s="404"/>
      <c r="P805" s="404"/>
      <c r="Q805" s="404"/>
      <c r="R805" s="404"/>
      <c r="S805" s="404"/>
      <c r="T805" s="404"/>
      <c r="U805" s="404"/>
      <c r="V805" s="404"/>
      <c r="W805" s="6"/>
    </row>
    <row r="806" spans="2:23" ht="15" x14ac:dyDescent="0.25">
      <c r="B806" s="6"/>
      <c r="C806" s="404"/>
      <c r="D806" s="833" t="s">
        <v>841</v>
      </c>
      <c r="E806" s="834"/>
      <c r="F806" s="835"/>
      <c r="G806" s="1000">
        <v>0.4</v>
      </c>
      <c r="H806" s="1001"/>
      <c r="I806" s="1002"/>
      <c r="J806" s="1008" t="s">
        <v>287</v>
      </c>
      <c r="K806" s="1009"/>
      <c r="L806" s="1009"/>
      <c r="M806" s="1010"/>
      <c r="N806" s="404"/>
      <c r="O806" s="404"/>
      <c r="P806" s="404"/>
      <c r="Q806" s="404"/>
      <c r="R806" s="404"/>
      <c r="S806" s="404"/>
      <c r="T806" s="404"/>
      <c r="U806" s="404"/>
      <c r="V806" s="404"/>
      <c r="W806" s="6"/>
    </row>
    <row r="807" spans="2:23" ht="15" x14ac:dyDescent="0.25">
      <c r="B807" s="6"/>
      <c r="C807" s="404"/>
      <c r="E807" s="404"/>
      <c r="F807" s="404"/>
      <c r="G807" s="404"/>
      <c r="H807" s="404"/>
      <c r="I807" s="404"/>
      <c r="J807" s="404"/>
      <c r="K807" s="404"/>
      <c r="L807" s="404"/>
      <c r="M807" s="404"/>
      <c r="N807" s="404"/>
      <c r="O807" s="404"/>
      <c r="P807" s="404"/>
      <c r="Q807" s="404"/>
      <c r="R807" s="404"/>
      <c r="S807" s="404"/>
      <c r="T807" s="404"/>
      <c r="U807" s="404"/>
      <c r="V807" s="404"/>
      <c r="W807" s="6"/>
    </row>
    <row r="808" spans="2:23" s="69" customFormat="1" ht="15" x14ac:dyDescent="0.25">
      <c r="B808" s="6"/>
      <c r="C808" s="498"/>
      <c r="E808" s="498"/>
      <c r="F808" s="498"/>
      <c r="G808" s="498"/>
      <c r="H808" s="498"/>
      <c r="I808" s="498"/>
      <c r="J808" s="498"/>
      <c r="K808" s="498"/>
      <c r="L808" s="498"/>
      <c r="M808" s="498"/>
      <c r="N808" s="498"/>
      <c r="O808" s="498"/>
      <c r="P808" s="498"/>
      <c r="Q808" s="498"/>
      <c r="R808" s="498"/>
      <c r="S808" s="498"/>
      <c r="T808" s="498"/>
      <c r="U808" s="498"/>
      <c r="V808" s="498"/>
      <c r="W808" s="6"/>
    </row>
    <row r="809" spans="2:23" ht="15" x14ac:dyDescent="0.25">
      <c r="B809" s="6"/>
      <c r="C809" s="5"/>
      <c r="D809" s="5"/>
      <c r="E809" s="5"/>
      <c r="F809" s="5"/>
      <c r="G809" s="5"/>
      <c r="H809" s="5"/>
      <c r="I809" s="5"/>
      <c r="J809" s="5"/>
      <c r="K809" s="5"/>
      <c r="L809" s="5"/>
      <c r="M809" s="5"/>
      <c r="N809" s="5"/>
      <c r="O809" s="5"/>
      <c r="P809" s="5"/>
      <c r="Q809" s="5"/>
      <c r="R809" s="5"/>
      <c r="S809" s="5"/>
      <c r="T809" s="5"/>
      <c r="U809" s="5"/>
      <c r="V809" s="5"/>
      <c r="W809" s="6"/>
    </row>
    <row r="810" spans="2:23" s="69" customFormat="1" ht="15" x14ac:dyDescent="0.25">
      <c r="B810" s="6"/>
      <c r="C810" s="5"/>
      <c r="D810" s="5"/>
      <c r="E810" s="5"/>
      <c r="F810" s="5"/>
      <c r="G810" s="5"/>
      <c r="H810" s="5"/>
      <c r="I810" s="5"/>
      <c r="J810" s="5"/>
      <c r="K810" s="5"/>
      <c r="L810" s="5"/>
      <c r="M810" s="5"/>
      <c r="N810" s="5"/>
      <c r="O810" s="5"/>
      <c r="P810" s="5"/>
      <c r="Q810" s="5"/>
      <c r="R810" s="5"/>
      <c r="S810" s="5"/>
      <c r="T810" s="5"/>
      <c r="U810" s="5"/>
      <c r="V810" s="5"/>
      <c r="W810" s="6"/>
    </row>
    <row r="811" spans="2:23" s="69" customFormat="1" ht="15" x14ac:dyDescent="0.25">
      <c r="B811" s="6"/>
      <c r="C811" s="5"/>
      <c r="D811" s="5"/>
      <c r="E811" s="5"/>
      <c r="F811" s="5"/>
      <c r="G811" s="5"/>
      <c r="H811" s="5"/>
      <c r="I811" s="5"/>
      <c r="J811" s="5"/>
      <c r="K811" s="5"/>
      <c r="L811" s="5"/>
      <c r="M811" s="5"/>
      <c r="N811" s="5"/>
      <c r="O811" s="5"/>
      <c r="P811" s="5"/>
      <c r="Q811" s="5"/>
      <c r="R811" s="5"/>
      <c r="S811" s="5"/>
      <c r="T811" s="5"/>
      <c r="U811" s="5"/>
      <c r="V811" s="5"/>
      <c r="W811" s="6"/>
    </row>
    <row r="812" spans="2:23" s="69" customFormat="1" ht="15" x14ac:dyDescent="0.25">
      <c r="B812" s="6"/>
      <c r="C812" s="459"/>
      <c r="D812" s="459"/>
      <c r="E812" s="459"/>
      <c r="F812" s="459"/>
      <c r="G812" s="459"/>
      <c r="H812" s="459"/>
      <c r="I812" s="459"/>
      <c r="J812" s="459"/>
      <c r="K812" s="459"/>
      <c r="L812" s="459"/>
      <c r="M812" s="459"/>
      <c r="N812" s="459"/>
      <c r="O812" s="459"/>
      <c r="P812" s="459"/>
      <c r="Q812" s="459"/>
      <c r="R812" s="459"/>
      <c r="S812" s="459"/>
      <c r="T812" s="459"/>
      <c r="U812" s="459"/>
      <c r="V812" s="459"/>
      <c r="W812" s="6"/>
    </row>
    <row r="813" spans="2:23" s="69" customFormat="1" ht="15" x14ac:dyDescent="0.25">
      <c r="B813" s="6"/>
      <c r="C813" s="459"/>
      <c r="D813" s="459"/>
      <c r="E813" s="459"/>
      <c r="F813" s="459"/>
      <c r="G813" s="459"/>
      <c r="H813" s="459"/>
      <c r="I813" s="459"/>
      <c r="J813" s="459"/>
      <c r="K813" s="459"/>
      <c r="L813" s="459"/>
      <c r="M813" s="459"/>
      <c r="N813" s="459"/>
      <c r="O813" s="459"/>
      <c r="P813" s="459"/>
      <c r="Q813" s="459"/>
      <c r="R813" s="459"/>
      <c r="S813" s="459"/>
      <c r="T813" s="459"/>
      <c r="U813" s="459"/>
      <c r="V813" s="459"/>
      <c r="W813" s="6"/>
    </row>
    <row r="814" spans="2:23" s="69" customFormat="1" ht="15" x14ac:dyDescent="0.25">
      <c r="B814" s="6"/>
      <c r="C814" s="459"/>
      <c r="D814" s="459"/>
      <c r="E814" s="459"/>
      <c r="F814" s="459"/>
      <c r="G814" s="459"/>
      <c r="H814" s="459"/>
      <c r="I814" s="459"/>
      <c r="J814" s="459"/>
      <c r="K814" s="459"/>
      <c r="L814" s="459"/>
      <c r="M814" s="459"/>
      <c r="N814" s="459"/>
      <c r="O814" s="459"/>
      <c r="P814" s="459"/>
      <c r="Q814" s="459"/>
      <c r="R814" s="459"/>
      <c r="S814" s="459"/>
      <c r="T814" s="459"/>
      <c r="U814" s="459"/>
      <c r="V814" s="459"/>
      <c r="W814" s="6"/>
    </row>
    <row r="815" spans="2:23" s="69" customFormat="1" ht="15" x14ac:dyDescent="0.25">
      <c r="B815" s="6"/>
      <c r="C815" s="459"/>
      <c r="D815" s="459"/>
      <c r="E815" s="459"/>
      <c r="F815" s="459"/>
      <c r="G815" s="459"/>
      <c r="H815" s="459"/>
      <c r="I815" s="459"/>
      <c r="J815" s="459"/>
      <c r="K815" s="459"/>
      <c r="L815" s="459"/>
      <c r="M815" s="459"/>
      <c r="N815" s="459"/>
      <c r="O815" s="459"/>
      <c r="P815" s="459"/>
      <c r="Q815" s="459"/>
      <c r="R815" s="459"/>
      <c r="S815" s="459"/>
      <c r="T815" s="459"/>
      <c r="U815" s="459"/>
      <c r="V815" s="459"/>
      <c r="W815" s="6"/>
    </row>
    <row r="816" spans="2:23" s="69" customFormat="1" ht="15" x14ac:dyDescent="0.25">
      <c r="B816" s="6"/>
      <c r="C816" s="459"/>
      <c r="D816" s="459"/>
      <c r="E816" s="459"/>
      <c r="F816" s="459"/>
      <c r="G816" s="459"/>
      <c r="H816" s="459"/>
      <c r="I816" s="459"/>
      <c r="J816" s="459"/>
      <c r="K816" s="459"/>
      <c r="L816" s="459"/>
      <c r="M816" s="459"/>
      <c r="N816" s="459"/>
      <c r="O816" s="459"/>
      <c r="P816" s="459"/>
      <c r="Q816" s="459"/>
      <c r="R816" s="459"/>
      <c r="S816" s="459"/>
      <c r="T816" s="459"/>
      <c r="U816" s="459"/>
      <c r="V816" s="459"/>
      <c r="W816" s="6"/>
    </row>
    <row r="817" spans="2:23" s="69" customFormat="1" ht="15" x14ac:dyDescent="0.25">
      <c r="B817" s="6"/>
      <c r="C817" s="459"/>
      <c r="D817" s="459"/>
      <c r="E817" s="459"/>
      <c r="F817" s="459"/>
      <c r="G817" s="459"/>
      <c r="H817" s="459"/>
      <c r="I817" s="459"/>
      <c r="J817" s="459"/>
      <c r="K817" s="459"/>
      <c r="L817" s="459"/>
      <c r="M817" s="459"/>
      <c r="N817" s="459"/>
      <c r="O817" s="459"/>
      <c r="P817" s="459"/>
      <c r="Q817" s="459"/>
      <c r="R817" s="459"/>
      <c r="S817" s="459"/>
      <c r="T817" s="459"/>
      <c r="U817" s="459"/>
      <c r="V817" s="459"/>
      <c r="W817" s="6"/>
    </row>
    <row r="818" spans="2:23" s="69" customFormat="1" ht="15" x14ac:dyDescent="0.25">
      <c r="B818" s="6"/>
      <c r="C818" s="459"/>
      <c r="D818" s="459"/>
      <c r="E818" s="459"/>
      <c r="F818" s="459"/>
      <c r="G818" s="459"/>
      <c r="H818" s="459"/>
      <c r="I818" s="459"/>
      <c r="J818" s="459"/>
      <c r="K818" s="459"/>
      <c r="L818" s="459"/>
      <c r="M818" s="459"/>
      <c r="N818" s="459"/>
      <c r="O818" s="459"/>
      <c r="P818" s="459"/>
      <c r="Q818" s="459"/>
      <c r="R818" s="459"/>
      <c r="S818" s="459"/>
      <c r="T818" s="459"/>
      <c r="U818" s="459"/>
      <c r="V818" s="459"/>
      <c r="W818" s="6"/>
    </row>
    <row r="819" spans="2:23" s="69" customFormat="1" ht="15" x14ac:dyDescent="0.25">
      <c r="B819" s="6"/>
      <c r="C819" s="459"/>
      <c r="D819" s="459"/>
      <c r="E819" s="459"/>
      <c r="F819" s="459"/>
      <c r="G819" s="459"/>
      <c r="H819" s="459"/>
      <c r="I819" s="459"/>
      <c r="J819" s="459"/>
      <c r="K819" s="459"/>
      <c r="L819" s="459"/>
      <c r="M819" s="459"/>
      <c r="N819" s="459"/>
      <c r="O819" s="459"/>
      <c r="P819" s="459"/>
      <c r="Q819" s="459"/>
      <c r="R819" s="459"/>
      <c r="S819" s="459"/>
      <c r="T819" s="459"/>
      <c r="U819" s="459"/>
      <c r="V819" s="459"/>
      <c r="W819" s="6"/>
    </row>
    <row r="820" spans="2:23" s="69" customFormat="1" ht="15" x14ac:dyDescent="0.25">
      <c r="B820" s="6"/>
      <c r="C820" s="459"/>
      <c r="D820" s="459"/>
      <c r="E820" s="459"/>
      <c r="F820" s="459"/>
      <c r="G820" s="459"/>
      <c r="H820" s="459"/>
      <c r="I820" s="459"/>
      <c r="J820" s="459"/>
      <c r="K820" s="459"/>
      <c r="L820" s="459"/>
      <c r="M820" s="459"/>
      <c r="N820" s="459"/>
      <c r="O820" s="459"/>
      <c r="P820" s="459"/>
      <c r="Q820" s="459"/>
      <c r="R820" s="459"/>
      <c r="S820" s="459"/>
      <c r="T820" s="459"/>
      <c r="U820" s="459"/>
      <c r="V820" s="459"/>
      <c r="W820" s="6"/>
    </row>
    <row r="821" spans="2:23" s="69" customFormat="1" ht="15" x14ac:dyDescent="0.25">
      <c r="B821" s="6"/>
      <c r="C821" s="459"/>
      <c r="D821" s="459"/>
      <c r="E821" s="459"/>
      <c r="F821" s="459"/>
      <c r="G821" s="459"/>
      <c r="H821" s="459"/>
      <c r="I821" s="459"/>
      <c r="J821" s="459"/>
      <c r="K821" s="459"/>
      <c r="L821" s="459"/>
      <c r="M821" s="459"/>
      <c r="N821" s="459"/>
      <c r="O821" s="459"/>
      <c r="P821" s="459"/>
      <c r="Q821" s="459"/>
      <c r="R821" s="459"/>
      <c r="S821" s="459"/>
      <c r="T821" s="459"/>
      <c r="U821" s="459"/>
      <c r="V821" s="459"/>
      <c r="W821" s="6"/>
    </row>
    <row r="822" spans="2:23" s="69" customFormat="1" ht="15" x14ac:dyDescent="0.25">
      <c r="B822" s="6"/>
      <c r="C822" s="459"/>
      <c r="D822" s="459"/>
      <c r="E822" s="459"/>
      <c r="F822" s="459"/>
      <c r="G822" s="459"/>
      <c r="H822" s="459"/>
      <c r="I822" s="459"/>
      <c r="J822" s="459"/>
      <c r="K822" s="459"/>
      <c r="L822" s="459"/>
      <c r="M822" s="459"/>
      <c r="N822" s="459"/>
      <c r="O822" s="459"/>
      <c r="P822" s="459"/>
      <c r="Q822" s="459"/>
      <c r="R822" s="459"/>
      <c r="S822" s="459"/>
      <c r="T822" s="459"/>
      <c r="U822" s="459"/>
      <c r="V822" s="459"/>
      <c r="W822" s="6"/>
    </row>
    <row r="823" spans="2:23" s="69" customFormat="1" ht="15" x14ac:dyDescent="0.25">
      <c r="B823" s="6"/>
      <c r="C823" s="459"/>
      <c r="D823" s="459"/>
      <c r="E823" s="459"/>
      <c r="F823" s="459"/>
      <c r="G823" s="459"/>
      <c r="H823" s="459"/>
      <c r="I823" s="459"/>
      <c r="J823" s="459"/>
      <c r="K823" s="459"/>
      <c r="L823" s="459"/>
      <c r="M823" s="459"/>
      <c r="N823" s="459"/>
      <c r="O823" s="459"/>
      <c r="P823" s="459"/>
      <c r="Q823" s="459"/>
      <c r="R823" s="459"/>
      <c r="S823" s="459"/>
      <c r="T823" s="459"/>
      <c r="U823" s="459"/>
      <c r="V823" s="459"/>
      <c r="W823" s="6"/>
    </row>
    <row r="824" spans="2:23" s="69" customFormat="1" ht="15" x14ac:dyDescent="0.25">
      <c r="B824" s="6"/>
      <c r="C824" s="459"/>
      <c r="D824" s="459"/>
      <c r="E824" s="459"/>
      <c r="F824" s="459"/>
      <c r="G824" s="459"/>
      <c r="H824" s="459"/>
      <c r="I824" s="459"/>
      <c r="J824" s="459"/>
      <c r="K824" s="459"/>
      <c r="L824" s="459"/>
      <c r="M824" s="459"/>
      <c r="N824" s="459"/>
      <c r="O824" s="459"/>
      <c r="P824" s="459"/>
      <c r="Q824" s="459"/>
      <c r="R824" s="459"/>
      <c r="S824" s="459"/>
      <c r="T824" s="459"/>
      <c r="U824" s="459"/>
      <c r="V824" s="459"/>
      <c r="W824" s="6"/>
    </row>
    <row r="825" spans="2:23" s="69" customFormat="1" ht="15" x14ac:dyDescent="0.25">
      <c r="B825" s="6"/>
      <c r="C825" s="459"/>
      <c r="D825" s="459"/>
      <c r="E825" s="459"/>
      <c r="F825" s="459"/>
      <c r="G825" s="459"/>
      <c r="H825" s="459"/>
      <c r="I825" s="459"/>
      <c r="J825" s="459"/>
      <c r="K825" s="459"/>
      <c r="L825" s="459"/>
      <c r="M825" s="459"/>
      <c r="N825" s="459"/>
      <c r="O825" s="459"/>
      <c r="P825" s="459"/>
      <c r="Q825" s="459"/>
      <c r="R825" s="459"/>
      <c r="S825" s="459"/>
      <c r="T825" s="459"/>
      <c r="U825" s="459"/>
      <c r="V825" s="459"/>
      <c r="W825" s="6"/>
    </row>
    <row r="826" spans="2:23" s="69" customFormat="1" ht="15" x14ac:dyDescent="0.25">
      <c r="B826" s="6"/>
      <c r="C826" s="459"/>
      <c r="D826" s="459"/>
      <c r="E826" s="459"/>
      <c r="F826" s="459"/>
      <c r="G826" s="459"/>
      <c r="H826" s="459"/>
      <c r="I826" s="459"/>
      <c r="J826" s="459"/>
      <c r="K826" s="459"/>
      <c r="L826" s="459"/>
      <c r="M826" s="459"/>
      <c r="N826" s="459"/>
      <c r="O826" s="459"/>
      <c r="P826" s="459"/>
      <c r="Q826" s="459"/>
      <c r="R826" s="459"/>
      <c r="S826" s="459"/>
      <c r="T826" s="459"/>
      <c r="U826" s="459"/>
      <c r="V826" s="459"/>
      <c r="W826" s="6"/>
    </row>
    <row r="827" spans="2:23" s="69" customFormat="1" ht="15" x14ac:dyDescent="0.25">
      <c r="B827" s="6"/>
      <c r="C827" s="459"/>
      <c r="D827" s="459"/>
      <c r="E827" s="459"/>
      <c r="F827" s="459"/>
      <c r="G827" s="459"/>
      <c r="H827" s="459"/>
      <c r="I827" s="459"/>
      <c r="J827" s="459"/>
      <c r="K827" s="459"/>
      <c r="L827" s="459"/>
      <c r="M827" s="459"/>
      <c r="N827" s="459"/>
      <c r="O827" s="459"/>
      <c r="P827" s="459"/>
      <c r="Q827" s="459"/>
      <c r="R827" s="459"/>
      <c r="S827" s="459"/>
      <c r="T827" s="459"/>
      <c r="U827" s="459"/>
      <c r="V827" s="459"/>
      <c r="W827" s="6"/>
    </row>
    <row r="828" spans="2:23" s="69" customFormat="1" ht="15" x14ac:dyDescent="0.25">
      <c r="B828" s="6"/>
      <c r="C828" s="459"/>
      <c r="D828" s="459"/>
      <c r="E828" s="459"/>
      <c r="F828" s="459"/>
      <c r="G828" s="459"/>
      <c r="H828" s="459"/>
      <c r="I828" s="459"/>
      <c r="J828" s="459"/>
      <c r="K828" s="459"/>
      <c r="L828" s="459"/>
      <c r="M828" s="459"/>
      <c r="N828" s="459"/>
      <c r="O828" s="459"/>
      <c r="P828" s="459"/>
      <c r="Q828" s="459"/>
      <c r="R828" s="459"/>
      <c r="S828" s="459"/>
      <c r="T828" s="459"/>
      <c r="U828" s="459"/>
      <c r="V828" s="459"/>
      <c r="W828" s="6"/>
    </row>
    <row r="829" spans="2:23" s="69" customFormat="1" ht="15" x14ac:dyDescent="0.25">
      <c r="B829" s="6"/>
      <c r="C829" s="459"/>
      <c r="D829" s="459"/>
      <c r="E829" s="459"/>
      <c r="F829" s="459"/>
      <c r="G829" s="459"/>
      <c r="H829" s="459"/>
      <c r="I829" s="459"/>
      <c r="J829" s="459"/>
      <c r="K829" s="459"/>
      <c r="L829" s="459"/>
      <c r="M829" s="459"/>
      <c r="N829" s="459"/>
      <c r="O829" s="459"/>
      <c r="P829" s="459"/>
      <c r="Q829" s="459"/>
      <c r="R829" s="459"/>
      <c r="S829" s="459"/>
      <c r="T829" s="459"/>
      <c r="U829" s="459"/>
      <c r="V829" s="459"/>
      <c r="W829" s="6"/>
    </row>
    <row r="830" spans="2:23" s="69" customFormat="1" ht="15" x14ac:dyDescent="0.25">
      <c r="B830" s="6"/>
      <c r="C830" s="459"/>
      <c r="D830" s="459"/>
      <c r="E830" s="459"/>
      <c r="F830" s="459"/>
      <c r="G830" s="459"/>
      <c r="H830" s="459"/>
      <c r="I830" s="459"/>
      <c r="J830" s="459"/>
      <c r="K830" s="459"/>
      <c r="L830" s="459"/>
      <c r="M830" s="459"/>
      <c r="N830" s="459"/>
      <c r="O830" s="459"/>
      <c r="P830" s="459"/>
      <c r="Q830" s="459"/>
      <c r="R830" s="459"/>
      <c r="S830" s="459"/>
      <c r="T830" s="459"/>
      <c r="U830" s="459"/>
      <c r="V830" s="459"/>
      <c r="W830" s="6"/>
    </row>
    <row r="831" spans="2:23" s="69" customFormat="1" ht="15" x14ac:dyDescent="0.25">
      <c r="B831" s="6"/>
      <c r="C831" s="459"/>
      <c r="D831" s="459"/>
      <c r="E831" s="459"/>
      <c r="F831" s="459"/>
      <c r="G831" s="459"/>
      <c r="H831" s="459"/>
      <c r="I831" s="459"/>
      <c r="J831" s="459"/>
      <c r="K831" s="459"/>
      <c r="L831" s="459"/>
      <c r="M831" s="459"/>
      <c r="N831" s="459"/>
      <c r="O831" s="459"/>
      <c r="P831" s="459"/>
      <c r="Q831" s="459"/>
      <c r="R831" s="459"/>
      <c r="S831" s="459"/>
      <c r="T831" s="459"/>
      <c r="U831" s="459"/>
      <c r="V831" s="459"/>
      <c r="W831" s="6"/>
    </row>
    <row r="832" spans="2:23" s="69" customFormat="1" ht="15" x14ac:dyDescent="0.25">
      <c r="B832" s="6"/>
      <c r="C832" s="459"/>
      <c r="D832" s="459"/>
      <c r="E832" s="459"/>
      <c r="F832" s="459"/>
      <c r="G832" s="459"/>
      <c r="H832" s="459"/>
      <c r="I832" s="459"/>
      <c r="J832" s="459"/>
      <c r="K832" s="459"/>
      <c r="L832" s="459"/>
      <c r="M832" s="459"/>
      <c r="N832" s="459"/>
      <c r="O832" s="459"/>
      <c r="P832" s="459"/>
      <c r="Q832" s="459"/>
      <c r="R832" s="459"/>
      <c r="S832" s="459"/>
      <c r="T832" s="459"/>
      <c r="U832" s="459"/>
      <c r="V832" s="459"/>
      <c r="W832" s="6"/>
    </row>
    <row r="833" spans="1:23" s="69" customFormat="1" ht="15" x14ac:dyDescent="0.25">
      <c r="B833" s="6"/>
      <c r="C833" s="459"/>
      <c r="D833" s="459"/>
      <c r="E833" s="459"/>
      <c r="F833" s="459"/>
      <c r="G833" s="459"/>
      <c r="H833" s="459"/>
      <c r="I833" s="459"/>
      <c r="J833" s="459"/>
      <c r="K833" s="459"/>
      <c r="L833" s="459"/>
      <c r="M833" s="459"/>
      <c r="N833" s="459"/>
      <c r="O833" s="459"/>
      <c r="P833" s="459"/>
      <c r="Q833" s="459"/>
      <c r="R833" s="459"/>
      <c r="S833" s="459"/>
      <c r="T833" s="459"/>
      <c r="U833" s="459"/>
      <c r="V833" s="459"/>
      <c r="W833" s="6"/>
    </row>
    <row r="834" spans="1:23" s="69" customFormat="1" ht="15" x14ac:dyDescent="0.25">
      <c r="B834" s="6"/>
      <c r="C834" s="5"/>
      <c r="D834" s="5"/>
      <c r="E834" s="5"/>
      <c r="F834" s="5"/>
      <c r="G834" s="5"/>
      <c r="H834" s="5"/>
      <c r="I834" s="5"/>
      <c r="J834" s="5"/>
      <c r="K834" s="5"/>
      <c r="L834" s="5"/>
      <c r="M834" s="5"/>
      <c r="N834" s="5"/>
      <c r="O834" s="5"/>
      <c r="P834" s="5"/>
      <c r="Q834" s="5"/>
      <c r="R834" s="5"/>
      <c r="S834" s="5"/>
      <c r="T834" s="5"/>
      <c r="U834" s="5"/>
      <c r="V834" s="5"/>
      <c r="W834" s="6"/>
    </row>
    <row r="835" spans="1:23" ht="15" x14ac:dyDescent="0.25">
      <c r="B835" s="6"/>
      <c r="C835" s="5"/>
      <c r="D835" s="5"/>
      <c r="E835" s="5"/>
      <c r="F835" s="5"/>
      <c r="G835" s="5"/>
      <c r="H835" s="5"/>
      <c r="I835" s="5"/>
      <c r="J835" s="5"/>
      <c r="K835" s="5"/>
      <c r="L835" s="5"/>
      <c r="M835" s="5"/>
      <c r="N835" s="5"/>
      <c r="O835" s="5"/>
      <c r="P835" s="5"/>
      <c r="Q835" s="5"/>
      <c r="R835" s="5"/>
      <c r="S835" s="5"/>
      <c r="T835" s="5"/>
      <c r="U835" s="5"/>
      <c r="V835" s="5"/>
      <c r="W835" s="6"/>
    </row>
    <row r="836" spans="1:23" s="69" customFormat="1" x14ac:dyDescent="0.2"/>
    <row r="837" spans="1:23" x14ac:dyDescent="0.2">
      <c r="A837" s="69"/>
      <c r="B837" s="69"/>
      <c r="C837" s="69"/>
      <c r="D837" s="69"/>
      <c r="E837" s="69"/>
      <c r="F837" s="69"/>
      <c r="G837" s="69"/>
      <c r="H837" s="69"/>
      <c r="I837" s="69"/>
      <c r="J837" s="69"/>
      <c r="K837" s="69"/>
      <c r="L837" s="69"/>
      <c r="M837" s="69"/>
      <c r="N837" s="69"/>
      <c r="O837" s="69"/>
      <c r="Q837" s="69"/>
      <c r="R837" s="69"/>
      <c r="S837" s="69"/>
      <c r="T837" s="69"/>
      <c r="U837" s="69"/>
      <c r="V837" s="69"/>
      <c r="W837" s="69"/>
    </row>
    <row r="838" spans="1:23" x14ac:dyDescent="0.2">
      <c r="A838" s="69"/>
      <c r="B838" s="69"/>
      <c r="C838" s="69"/>
      <c r="D838" s="69"/>
      <c r="E838" s="69"/>
      <c r="F838" s="69"/>
      <c r="G838" s="69"/>
      <c r="H838" s="69"/>
      <c r="I838" s="69"/>
      <c r="J838" s="69"/>
      <c r="K838" s="69"/>
      <c r="L838" s="69"/>
      <c r="M838" s="69"/>
      <c r="N838" s="69"/>
      <c r="O838" s="69"/>
      <c r="Q838" s="69"/>
      <c r="R838" s="69"/>
      <c r="S838" s="69"/>
      <c r="T838" s="69"/>
      <c r="U838" s="69"/>
      <c r="V838" s="69"/>
      <c r="W838" s="69"/>
    </row>
    <row r="839" spans="1:23" x14ac:dyDescent="0.2">
      <c r="A839" s="69"/>
      <c r="B839" s="69"/>
      <c r="C839" s="69"/>
      <c r="D839" s="69"/>
      <c r="E839" s="69"/>
      <c r="F839" s="69"/>
      <c r="G839" s="69"/>
      <c r="H839" s="69"/>
      <c r="I839" s="69"/>
      <c r="J839" s="69"/>
      <c r="K839" s="69"/>
      <c r="L839" s="69"/>
      <c r="M839" s="69"/>
      <c r="N839" s="69"/>
      <c r="O839" s="69"/>
      <c r="Q839" s="69"/>
      <c r="R839" s="69"/>
      <c r="S839" s="69"/>
      <c r="T839" s="69"/>
      <c r="U839" s="69"/>
      <c r="V839" s="69"/>
      <c r="W839" s="69"/>
    </row>
  </sheetData>
  <sheetProtection sheet="1" objects="1" scenarios="1"/>
  <mergeCells count="816">
    <mergeCell ref="E234:H234"/>
    <mergeCell ref="E232:H232"/>
    <mergeCell ref="I232:K232"/>
    <mergeCell ref="L232:N232"/>
    <mergeCell ref="O232:Q232"/>
    <mergeCell ref="R232:T232"/>
    <mergeCell ref="E233:H233"/>
    <mergeCell ref="I233:K233"/>
    <mergeCell ref="L233:N233"/>
    <mergeCell ref="O233:Q233"/>
    <mergeCell ref="R233:T233"/>
    <mergeCell ref="E230:H230"/>
    <mergeCell ref="I230:K230"/>
    <mergeCell ref="L230:N230"/>
    <mergeCell ref="O230:Q230"/>
    <mergeCell ref="R230:T230"/>
    <mergeCell ref="E231:H231"/>
    <mergeCell ref="I231:K231"/>
    <mergeCell ref="L231:N231"/>
    <mergeCell ref="O231:Q231"/>
    <mergeCell ref="R231:T231"/>
    <mergeCell ref="E179:H179"/>
    <mergeCell ref="I179:K179"/>
    <mergeCell ref="L179:N179"/>
    <mergeCell ref="O179:Q179"/>
    <mergeCell ref="R179:T179"/>
    <mergeCell ref="E180:H180"/>
    <mergeCell ref="E227:H229"/>
    <mergeCell ref="I227:K229"/>
    <mergeCell ref="L227:N229"/>
    <mergeCell ref="O227:Q229"/>
    <mergeCell ref="R227:T229"/>
    <mergeCell ref="E191:H191"/>
    <mergeCell ref="I191:K191"/>
    <mergeCell ref="L191:N191"/>
    <mergeCell ref="O191:Q191"/>
    <mergeCell ref="R191:T191"/>
    <mergeCell ref="E190:H190"/>
    <mergeCell ref="I190:K190"/>
    <mergeCell ref="L190:N190"/>
    <mergeCell ref="O190:Q190"/>
    <mergeCell ref="R190:T190"/>
    <mergeCell ref="E193:H193"/>
    <mergeCell ref="I193:K193"/>
    <mergeCell ref="L193:N193"/>
    <mergeCell ref="L176:N176"/>
    <mergeCell ref="O176:Q176"/>
    <mergeCell ref="R176:T176"/>
    <mergeCell ref="E177:H177"/>
    <mergeCell ref="I177:K177"/>
    <mergeCell ref="L177:N177"/>
    <mergeCell ref="O177:Q177"/>
    <mergeCell ref="R177:T177"/>
    <mergeCell ref="E178:H178"/>
    <mergeCell ref="I178:K178"/>
    <mergeCell ref="L178:N178"/>
    <mergeCell ref="O178:Q178"/>
    <mergeCell ref="R178:T178"/>
    <mergeCell ref="L804:M804"/>
    <mergeCell ref="D805:F805"/>
    <mergeCell ref="L799:M799"/>
    <mergeCell ref="L800:M800"/>
    <mergeCell ref="L802:M802"/>
    <mergeCell ref="L803:M803"/>
    <mergeCell ref="J805:M805"/>
    <mergeCell ref="G799:I799"/>
    <mergeCell ref="G800:I800"/>
    <mergeCell ref="G802:I802"/>
    <mergeCell ref="G803:I803"/>
    <mergeCell ref="G805:I805"/>
    <mergeCell ref="G806:I806"/>
    <mergeCell ref="D804:F804"/>
    <mergeCell ref="G804:I804"/>
    <mergeCell ref="J804:K804"/>
    <mergeCell ref="J806:M806"/>
    <mergeCell ref="D806:F806"/>
    <mergeCell ref="G801:M801"/>
    <mergeCell ref="L794:M796"/>
    <mergeCell ref="J797:K797"/>
    <mergeCell ref="J798:K798"/>
    <mergeCell ref="J799:K799"/>
    <mergeCell ref="J800:K800"/>
    <mergeCell ref="J802:K802"/>
    <mergeCell ref="J803:K803"/>
    <mergeCell ref="L797:M797"/>
    <mergeCell ref="L798:M798"/>
    <mergeCell ref="J794:K796"/>
    <mergeCell ref="D802:F802"/>
    <mergeCell ref="D803:F803"/>
    <mergeCell ref="D799:F799"/>
    <mergeCell ref="D800:F800"/>
    <mergeCell ref="D801:F801"/>
    <mergeCell ref="D794:F796"/>
    <mergeCell ref="D797:F797"/>
    <mergeCell ref="D798:F798"/>
    <mergeCell ref="G794:I796"/>
    <mergeCell ref="G797:I797"/>
    <mergeCell ref="G798:I798"/>
    <mergeCell ref="R201:T201"/>
    <mergeCell ref="D789:E789"/>
    <mergeCell ref="F789:H789"/>
    <mergeCell ref="F790:H790"/>
    <mergeCell ref="D790:E790"/>
    <mergeCell ref="R224:T224"/>
    <mergeCell ref="I206:K206"/>
    <mergeCell ref="L206:N206"/>
    <mergeCell ref="I207:K207"/>
    <mergeCell ref="L207:N207"/>
    <mergeCell ref="I208:K208"/>
    <mergeCell ref="L208:N208"/>
    <mergeCell ref="I209:K209"/>
    <mergeCell ref="L209:N209"/>
    <mergeCell ref="I214:K214"/>
    <mergeCell ref="L214:N214"/>
    <mergeCell ref="I215:K215"/>
    <mergeCell ref="L215:N215"/>
    <mergeCell ref="I216:K216"/>
    <mergeCell ref="L216:N216"/>
    <mergeCell ref="L162:N162"/>
    <mergeCell ref="O162:Q162"/>
    <mergeCell ref="R162:T162"/>
    <mergeCell ref="I168:K168"/>
    <mergeCell ref="L168:N168"/>
    <mergeCell ref="O168:Q168"/>
    <mergeCell ref="R168:T168"/>
    <mergeCell ref="I169:K169"/>
    <mergeCell ref="L169:N169"/>
    <mergeCell ref="O169:Q169"/>
    <mergeCell ref="R169:T169"/>
    <mergeCell ref="L153:N153"/>
    <mergeCell ref="O153:Q153"/>
    <mergeCell ref="R153:T153"/>
    <mergeCell ref="I154:K154"/>
    <mergeCell ref="L154:N154"/>
    <mergeCell ref="O154:Q154"/>
    <mergeCell ref="R154:T154"/>
    <mergeCell ref="I155:K155"/>
    <mergeCell ref="L155:N155"/>
    <mergeCell ref="O155:Q155"/>
    <mergeCell ref="R155:T155"/>
    <mergeCell ref="X133:AD133"/>
    <mergeCell ref="X134:AD134"/>
    <mergeCell ref="X135:AD135"/>
    <mergeCell ref="X136:AB136"/>
    <mergeCell ref="X137:AD137"/>
    <mergeCell ref="I152:K152"/>
    <mergeCell ref="L152:N152"/>
    <mergeCell ref="O152:Q152"/>
    <mergeCell ref="R152:T152"/>
    <mergeCell ref="I141:K143"/>
    <mergeCell ref="L141:N143"/>
    <mergeCell ref="O141:Q143"/>
    <mergeCell ref="R141:T143"/>
    <mergeCell ref="I144:K144"/>
    <mergeCell ref="L144:N144"/>
    <mergeCell ref="O144:Q144"/>
    <mergeCell ref="R144:T144"/>
    <mergeCell ref="O136:Q136"/>
    <mergeCell ref="O137:Q137"/>
    <mergeCell ref="O138:Q138"/>
    <mergeCell ref="O139:Q139"/>
    <mergeCell ref="R136:T136"/>
    <mergeCell ref="R137:T137"/>
    <mergeCell ref="R138:T138"/>
    <mergeCell ref="A2:L2"/>
    <mergeCell ref="E36:H36"/>
    <mergeCell ref="N43:O43"/>
    <mergeCell ref="N44:O44"/>
    <mergeCell ref="N45:O45"/>
    <mergeCell ref="N46:O46"/>
    <mergeCell ref="N48:O48"/>
    <mergeCell ref="N49:O49"/>
    <mergeCell ref="D40:K42"/>
    <mergeCell ref="D43:K43"/>
    <mergeCell ref="D44:K44"/>
    <mergeCell ref="D45:K45"/>
    <mergeCell ref="D46:K46"/>
    <mergeCell ref="D48:K48"/>
    <mergeCell ref="D49:K49"/>
    <mergeCell ref="L40:M42"/>
    <mergeCell ref="N40:O42"/>
    <mergeCell ref="L43:M43"/>
    <mergeCell ref="L44:M44"/>
    <mergeCell ref="L45:M45"/>
    <mergeCell ref="L46:M46"/>
    <mergeCell ref="D47:K47"/>
    <mergeCell ref="C83:M83"/>
    <mergeCell ref="D97:J97"/>
    <mergeCell ref="D98:J98"/>
    <mergeCell ref="D91:J93"/>
    <mergeCell ref="K91:N92"/>
    <mergeCell ref="L48:M48"/>
    <mergeCell ref="L49:M49"/>
    <mergeCell ref="C82:U82"/>
    <mergeCell ref="C85:U85"/>
    <mergeCell ref="D94:J94"/>
    <mergeCell ref="O91:R92"/>
    <mergeCell ref="D55:K55"/>
    <mergeCell ref="L55:M55"/>
    <mergeCell ref="N55:O55"/>
    <mergeCell ref="D57:K57"/>
    <mergeCell ref="L57:M57"/>
    <mergeCell ref="N57:O57"/>
    <mergeCell ref="D58:K58"/>
    <mergeCell ref="L58:M58"/>
    <mergeCell ref="N58:O58"/>
    <mergeCell ref="F65:G65"/>
    <mergeCell ref="N56:O56"/>
    <mergeCell ref="L56:M56"/>
    <mergeCell ref="P58:Q58"/>
    <mergeCell ref="D99:L99"/>
    <mergeCell ref="C126:U126"/>
    <mergeCell ref="C127:U127"/>
    <mergeCell ref="I133:K135"/>
    <mergeCell ref="L133:N135"/>
    <mergeCell ref="O133:Q135"/>
    <mergeCell ref="R133:T135"/>
    <mergeCell ref="D95:J95"/>
    <mergeCell ref="D96:J96"/>
    <mergeCell ref="E133:H135"/>
    <mergeCell ref="C125:S125"/>
    <mergeCell ref="R139:T139"/>
    <mergeCell ref="I136:K136"/>
    <mergeCell ref="I137:K137"/>
    <mergeCell ref="I138:K138"/>
    <mergeCell ref="I139:K139"/>
    <mergeCell ref="L136:N136"/>
    <mergeCell ref="L137:N137"/>
    <mergeCell ref="L138:N138"/>
    <mergeCell ref="L139:N139"/>
    <mergeCell ref="E155:H155"/>
    <mergeCell ref="E156:H156"/>
    <mergeCell ref="E157:H159"/>
    <mergeCell ref="I145:K145"/>
    <mergeCell ref="L145:N145"/>
    <mergeCell ref="O145:Q145"/>
    <mergeCell ref="R145:T145"/>
    <mergeCell ref="I146:K146"/>
    <mergeCell ref="L146:N146"/>
    <mergeCell ref="O146:Q146"/>
    <mergeCell ref="R146:T146"/>
    <mergeCell ref="R157:T159"/>
    <mergeCell ref="O157:Q159"/>
    <mergeCell ref="L157:N159"/>
    <mergeCell ref="I157:K159"/>
    <mergeCell ref="I149:K151"/>
    <mergeCell ref="L149:N151"/>
    <mergeCell ref="O149:Q151"/>
    <mergeCell ref="R149:T151"/>
    <mergeCell ref="I147:K147"/>
    <mergeCell ref="L147:N147"/>
    <mergeCell ref="O147:Q147"/>
    <mergeCell ref="R147:T147"/>
    <mergeCell ref="I153:K153"/>
    <mergeCell ref="E136:H136"/>
    <mergeCell ref="E137:H137"/>
    <mergeCell ref="E138:H138"/>
    <mergeCell ref="E139:H139"/>
    <mergeCell ref="E140:H140"/>
    <mergeCell ref="E141:H143"/>
    <mergeCell ref="E144:H144"/>
    <mergeCell ref="E145:H145"/>
    <mergeCell ref="E154:H154"/>
    <mergeCell ref="E152:H152"/>
    <mergeCell ref="E153:H153"/>
    <mergeCell ref="E149:H151"/>
    <mergeCell ref="E146:H146"/>
    <mergeCell ref="E147:H147"/>
    <mergeCell ref="E148:H148"/>
    <mergeCell ref="E160:H160"/>
    <mergeCell ref="E161:H161"/>
    <mergeCell ref="I165:K167"/>
    <mergeCell ref="L165:N167"/>
    <mergeCell ref="O165:Q167"/>
    <mergeCell ref="R165:T167"/>
    <mergeCell ref="E168:H168"/>
    <mergeCell ref="E162:H162"/>
    <mergeCell ref="E163:H163"/>
    <mergeCell ref="E164:H164"/>
    <mergeCell ref="E165:H167"/>
    <mergeCell ref="I163:K163"/>
    <mergeCell ref="L163:N163"/>
    <mergeCell ref="O163:Q163"/>
    <mergeCell ref="R163:T163"/>
    <mergeCell ref="I160:K160"/>
    <mergeCell ref="L160:N160"/>
    <mergeCell ref="O160:Q160"/>
    <mergeCell ref="R160:T160"/>
    <mergeCell ref="I161:K161"/>
    <mergeCell ref="L161:N161"/>
    <mergeCell ref="O161:Q161"/>
    <mergeCell ref="R161:T161"/>
    <mergeCell ref="I162:K162"/>
    <mergeCell ref="E172:H172"/>
    <mergeCell ref="E187:H189"/>
    <mergeCell ref="I187:K189"/>
    <mergeCell ref="L187:N189"/>
    <mergeCell ref="O187:Q189"/>
    <mergeCell ref="R187:T189"/>
    <mergeCell ref="E169:H169"/>
    <mergeCell ref="E170:H170"/>
    <mergeCell ref="E171:H171"/>
    <mergeCell ref="I171:K171"/>
    <mergeCell ref="L171:N171"/>
    <mergeCell ref="I170:K170"/>
    <mergeCell ref="L170:N170"/>
    <mergeCell ref="O170:Q170"/>
    <mergeCell ref="R170:T170"/>
    <mergeCell ref="O171:Q171"/>
    <mergeCell ref="R171:T171"/>
    <mergeCell ref="E173:H175"/>
    <mergeCell ref="I173:K175"/>
    <mergeCell ref="L173:N175"/>
    <mergeCell ref="O173:Q175"/>
    <mergeCell ref="R173:T175"/>
    <mergeCell ref="E176:H176"/>
    <mergeCell ref="I176:K176"/>
    <mergeCell ref="O193:Q193"/>
    <mergeCell ref="R193:T193"/>
    <mergeCell ref="E192:H192"/>
    <mergeCell ref="I192:K192"/>
    <mergeCell ref="L192:N192"/>
    <mergeCell ref="O192:Q192"/>
    <mergeCell ref="R192:T192"/>
    <mergeCell ref="E198:H198"/>
    <mergeCell ref="I198:K198"/>
    <mergeCell ref="L198:N198"/>
    <mergeCell ref="O198:Q198"/>
    <mergeCell ref="R198:T198"/>
    <mergeCell ref="E194:H194"/>
    <mergeCell ref="E195:H197"/>
    <mergeCell ref="I195:K197"/>
    <mergeCell ref="L195:N197"/>
    <mergeCell ref="O195:Q197"/>
    <mergeCell ref="R195:T197"/>
    <mergeCell ref="E200:H200"/>
    <mergeCell ref="I200:K200"/>
    <mergeCell ref="L200:N200"/>
    <mergeCell ref="O200:Q200"/>
    <mergeCell ref="R200:T200"/>
    <mergeCell ref="E199:H199"/>
    <mergeCell ref="I199:K199"/>
    <mergeCell ref="L199:N199"/>
    <mergeCell ref="O199:Q199"/>
    <mergeCell ref="R199:T199"/>
    <mergeCell ref="E202:H202"/>
    <mergeCell ref="E203:H205"/>
    <mergeCell ref="I203:K205"/>
    <mergeCell ref="L203:N205"/>
    <mergeCell ref="O203:Q205"/>
    <mergeCell ref="E201:H201"/>
    <mergeCell ref="I201:K201"/>
    <mergeCell ref="L201:N201"/>
    <mergeCell ref="O201:Q201"/>
    <mergeCell ref="E210:H210"/>
    <mergeCell ref="E211:H213"/>
    <mergeCell ref="I211:K213"/>
    <mergeCell ref="L211:N213"/>
    <mergeCell ref="O211:Q213"/>
    <mergeCell ref="R203:T205"/>
    <mergeCell ref="E206:H206"/>
    <mergeCell ref="E207:H207"/>
    <mergeCell ref="E208:H208"/>
    <mergeCell ref="E209:H209"/>
    <mergeCell ref="R207:T207"/>
    <mergeCell ref="R208:T208"/>
    <mergeCell ref="R209:T209"/>
    <mergeCell ref="R206:T206"/>
    <mergeCell ref="O206:Q206"/>
    <mergeCell ref="O207:Q207"/>
    <mergeCell ref="O208:Q208"/>
    <mergeCell ref="O209:Q209"/>
    <mergeCell ref="E218:H218"/>
    <mergeCell ref="E219:H221"/>
    <mergeCell ref="I219:K221"/>
    <mergeCell ref="L219:N221"/>
    <mergeCell ref="O219:Q221"/>
    <mergeCell ref="R211:T213"/>
    <mergeCell ref="E214:H214"/>
    <mergeCell ref="E215:H215"/>
    <mergeCell ref="E216:H216"/>
    <mergeCell ref="E217:H217"/>
    <mergeCell ref="I217:K217"/>
    <mergeCell ref="L217:N217"/>
    <mergeCell ref="O217:Q217"/>
    <mergeCell ref="R217:T217"/>
    <mergeCell ref="O214:Q214"/>
    <mergeCell ref="O215:Q215"/>
    <mergeCell ref="O216:Q216"/>
    <mergeCell ref="R214:T214"/>
    <mergeCell ref="R215:T215"/>
    <mergeCell ref="R216:T216"/>
    <mergeCell ref="E226:H226"/>
    <mergeCell ref="C240:U240"/>
    <mergeCell ref="C296:U296"/>
    <mergeCell ref="C305:U305"/>
    <mergeCell ref="R219:T221"/>
    <mergeCell ref="E222:H222"/>
    <mergeCell ref="E223:H223"/>
    <mergeCell ref="E224:H224"/>
    <mergeCell ref="E225:H225"/>
    <mergeCell ref="I225:K225"/>
    <mergeCell ref="L225:N225"/>
    <mergeCell ref="O225:Q225"/>
    <mergeCell ref="R225:T225"/>
    <mergeCell ref="I222:K222"/>
    <mergeCell ref="L222:N222"/>
    <mergeCell ref="O222:Q222"/>
    <mergeCell ref="R222:T222"/>
    <mergeCell ref="I223:K223"/>
    <mergeCell ref="L223:N223"/>
    <mergeCell ref="O223:Q223"/>
    <mergeCell ref="R223:T223"/>
    <mergeCell ref="I224:K224"/>
    <mergeCell ref="L224:N224"/>
    <mergeCell ref="O224:Q224"/>
    <mergeCell ref="H307:U307"/>
    <mergeCell ref="H308:U308"/>
    <mergeCell ref="J311:M312"/>
    <mergeCell ref="N311:Q312"/>
    <mergeCell ref="J313:K313"/>
    <mergeCell ref="N313:O313"/>
    <mergeCell ref="J320:Q320"/>
    <mergeCell ref="J314:K314"/>
    <mergeCell ref="J315:K315"/>
    <mergeCell ref="J316:K316"/>
    <mergeCell ref="J317:K317"/>
    <mergeCell ref="J318:K318"/>
    <mergeCell ref="J319:K319"/>
    <mergeCell ref="N314:O314"/>
    <mergeCell ref="E495:K497"/>
    <mergeCell ref="N315:O315"/>
    <mergeCell ref="N316:O316"/>
    <mergeCell ref="N317:O317"/>
    <mergeCell ref="N318:O318"/>
    <mergeCell ref="N319:O319"/>
    <mergeCell ref="C492:U492"/>
    <mergeCell ref="C326:U326"/>
    <mergeCell ref="C361:U361"/>
    <mergeCell ref="C362:U362"/>
    <mergeCell ref="C364:U364"/>
    <mergeCell ref="C370:U370"/>
    <mergeCell ref="J322:K322"/>
    <mergeCell ref="N322:O322"/>
    <mergeCell ref="J321:K321"/>
    <mergeCell ref="N321:O321"/>
    <mergeCell ref="C421:U421"/>
    <mergeCell ref="H594:U594"/>
    <mergeCell ref="H595:U595"/>
    <mergeCell ref="C597:U597"/>
    <mergeCell ref="L601:O603"/>
    <mergeCell ref="P601:S603"/>
    <mergeCell ref="E601:K603"/>
    <mergeCell ref="C587:U587"/>
    <mergeCell ref="H590:U590"/>
    <mergeCell ref="H591:U591"/>
    <mergeCell ref="H592:U592"/>
    <mergeCell ref="H593:U593"/>
    <mergeCell ref="C588:U588"/>
    <mergeCell ref="P605:S605"/>
    <mergeCell ref="P606:S606"/>
    <mergeCell ref="P607:S607"/>
    <mergeCell ref="E605:H607"/>
    <mergeCell ref="E604:K604"/>
    <mergeCell ref="I605:K605"/>
    <mergeCell ref="I606:K606"/>
    <mergeCell ref="I607:K607"/>
    <mergeCell ref="L605:O605"/>
    <mergeCell ref="L606:O606"/>
    <mergeCell ref="L607:O607"/>
    <mergeCell ref="L604:O604"/>
    <mergeCell ref="P604:S604"/>
    <mergeCell ref="E608:H610"/>
    <mergeCell ref="I608:K608"/>
    <mergeCell ref="L608:O608"/>
    <mergeCell ref="P608:S608"/>
    <mergeCell ref="I609:K609"/>
    <mergeCell ref="L609:O609"/>
    <mergeCell ref="P609:S609"/>
    <mergeCell ref="I610:K610"/>
    <mergeCell ref="L610:O610"/>
    <mergeCell ref="P610:S610"/>
    <mergeCell ref="E611:H613"/>
    <mergeCell ref="I611:K611"/>
    <mergeCell ref="L611:O611"/>
    <mergeCell ref="P611:S611"/>
    <mergeCell ref="I612:K612"/>
    <mergeCell ref="L612:O612"/>
    <mergeCell ref="P612:S612"/>
    <mergeCell ref="I613:K613"/>
    <mergeCell ref="L613:O613"/>
    <mergeCell ref="P613:S613"/>
    <mergeCell ref="L618:O620"/>
    <mergeCell ref="P618:S620"/>
    <mergeCell ref="E621:K621"/>
    <mergeCell ref="E628:H630"/>
    <mergeCell ref="I628:K628"/>
    <mergeCell ref="L628:O628"/>
    <mergeCell ref="P628:S628"/>
    <mergeCell ref="I629:K629"/>
    <mergeCell ref="L629:O629"/>
    <mergeCell ref="P629:S629"/>
    <mergeCell ref="I630:K630"/>
    <mergeCell ref="L630:O630"/>
    <mergeCell ref="P630:S630"/>
    <mergeCell ref="L621:O621"/>
    <mergeCell ref="P621:S621"/>
    <mergeCell ref="E625:H627"/>
    <mergeCell ref="I625:K625"/>
    <mergeCell ref="L625:O625"/>
    <mergeCell ref="P625:S625"/>
    <mergeCell ref="I626:K626"/>
    <mergeCell ref="L626:O626"/>
    <mergeCell ref="P626:S626"/>
    <mergeCell ref="I627:K627"/>
    <mergeCell ref="E618:K620"/>
    <mergeCell ref="P631:S631"/>
    <mergeCell ref="I632:K632"/>
    <mergeCell ref="P632:S632"/>
    <mergeCell ref="I633:K633"/>
    <mergeCell ref="L632:O632"/>
    <mergeCell ref="P633:S633"/>
    <mergeCell ref="L633:O633"/>
    <mergeCell ref="E622:H624"/>
    <mergeCell ref="I622:K622"/>
    <mergeCell ref="L622:O622"/>
    <mergeCell ref="P622:S622"/>
    <mergeCell ref="I623:K623"/>
    <mergeCell ref="L623:O623"/>
    <mergeCell ref="P623:S623"/>
    <mergeCell ref="I624:K624"/>
    <mergeCell ref="L624:O624"/>
    <mergeCell ref="P624:S624"/>
    <mergeCell ref="P627:S627"/>
    <mergeCell ref="E631:H633"/>
    <mergeCell ref="I631:K631"/>
    <mergeCell ref="L631:O631"/>
    <mergeCell ref="I638:K638"/>
    <mergeCell ref="L638:O638"/>
    <mergeCell ref="P638:S638"/>
    <mergeCell ref="I639:K639"/>
    <mergeCell ref="L639:O639"/>
    <mergeCell ref="P639:S639"/>
    <mergeCell ref="E634:H636"/>
    <mergeCell ref="I634:K634"/>
    <mergeCell ref="L634:O634"/>
    <mergeCell ref="P634:S634"/>
    <mergeCell ref="I635:K635"/>
    <mergeCell ref="L635:O635"/>
    <mergeCell ref="P635:S635"/>
    <mergeCell ref="I636:K636"/>
    <mergeCell ref="L636:O636"/>
    <mergeCell ref="P636:S636"/>
    <mergeCell ref="L637:O637"/>
    <mergeCell ref="E646:K646"/>
    <mergeCell ref="E647:H649"/>
    <mergeCell ref="I647:K647"/>
    <mergeCell ref="L647:O647"/>
    <mergeCell ref="P647:S647"/>
    <mergeCell ref="I648:K648"/>
    <mergeCell ref="L648:O648"/>
    <mergeCell ref="P648:S648"/>
    <mergeCell ref="I649:K649"/>
    <mergeCell ref="L649:O649"/>
    <mergeCell ref="P649:S649"/>
    <mergeCell ref="L646:O646"/>
    <mergeCell ref="P646:S646"/>
    <mergeCell ref="I654:K654"/>
    <mergeCell ref="L654:O654"/>
    <mergeCell ref="P654:S654"/>
    <mergeCell ref="I655:K655"/>
    <mergeCell ref="L655:O655"/>
    <mergeCell ref="P655:S655"/>
    <mergeCell ref="E650:H652"/>
    <mergeCell ref="I650:K650"/>
    <mergeCell ref="L650:O650"/>
    <mergeCell ref="P650:S650"/>
    <mergeCell ref="I651:K651"/>
    <mergeCell ref="L651:O651"/>
    <mergeCell ref="P651:S651"/>
    <mergeCell ref="I652:K652"/>
    <mergeCell ref="L652:O652"/>
    <mergeCell ref="P652:S652"/>
    <mergeCell ref="L666:O666"/>
    <mergeCell ref="P666:S666"/>
    <mergeCell ref="I667:K667"/>
    <mergeCell ref="L667:O667"/>
    <mergeCell ref="P667:S667"/>
    <mergeCell ref="E659:H661"/>
    <mergeCell ref="I659:K659"/>
    <mergeCell ref="L659:O659"/>
    <mergeCell ref="P659:S659"/>
    <mergeCell ref="I660:K660"/>
    <mergeCell ref="L660:O660"/>
    <mergeCell ref="P660:S660"/>
    <mergeCell ref="P661:S661"/>
    <mergeCell ref="E662:H664"/>
    <mergeCell ref="I662:K662"/>
    <mergeCell ref="L662:O662"/>
    <mergeCell ref="P662:S662"/>
    <mergeCell ref="I663:K663"/>
    <mergeCell ref="L663:O663"/>
    <mergeCell ref="P663:S663"/>
    <mergeCell ref="I664:K664"/>
    <mergeCell ref="L664:O664"/>
    <mergeCell ref="P664:S664"/>
    <mergeCell ref="D719:F719"/>
    <mergeCell ref="G718:H718"/>
    <mergeCell ref="G719:H719"/>
    <mergeCell ref="D715:F717"/>
    <mergeCell ref="Q718:T718"/>
    <mergeCell ref="Q719:T719"/>
    <mergeCell ref="E668:H670"/>
    <mergeCell ref="I668:K668"/>
    <mergeCell ref="L668:O668"/>
    <mergeCell ref="P668:S668"/>
    <mergeCell ref="I669:K669"/>
    <mergeCell ref="L669:O669"/>
    <mergeCell ref="P669:S669"/>
    <mergeCell ref="I670:K670"/>
    <mergeCell ref="L670:O670"/>
    <mergeCell ref="P670:S670"/>
    <mergeCell ref="E671:H673"/>
    <mergeCell ref="I671:K671"/>
    <mergeCell ref="L671:O671"/>
    <mergeCell ref="P671:S671"/>
    <mergeCell ref="I672:K672"/>
    <mergeCell ref="L672:O672"/>
    <mergeCell ref="P672:S672"/>
    <mergeCell ref="P673:S673"/>
    <mergeCell ref="I727:J727"/>
    <mergeCell ref="I725:J725"/>
    <mergeCell ref="I726:J726"/>
    <mergeCell ref="I718:J718"/>
    <mergeCell ref="I719:J719"/>
    <mergeCell ref="I720:J720"/>
    <mergeCell ref="I721:J721"/>
    <mergeCell ref="I722:J722"/>
    <mergeCell ref="I723:J723"/>
    <mergeCell ref="I724:J724"/>
    <mergeCell ref="Q727:T727"/>
    <mergeCell ref="K723:L723"/>
    <mergeCell ref="K724:L724"/>
    <mergeCell ref="K725:L725"/>
    <mergeCell ref="K726:L726"/>
    <mergeCell ref="K727:L727"/>
    <mergeCell ref="K718:L718"/>
    <mergeCell ref="K719:L719"/>
    <mergeCell ref="K720:L720"/>
    <mergeCell ref="K721:L721"/>
    <mergeCell ref="K722:L722"/>
    <mergeCell ref="M727:N727"/>
    <mergeCell ref="O727:P727"/>
    <mergeCell ref="M719:N719"/>
    <mergeCell ref="M720:N720"/>
    <mergeCell ref="Q723:T723"/>
    <mergeCell ref="M721:N721"/>
    <mergeCell ref="M722:N722"/>
    <mergeCell ref="M725:N725"/>
    <mergeCell ref="M726:N726"/>
    <mergeCell ref="O725:P725"/>
    <mergeCell ref="O726:P726"/>
    <mergeCell ref="M718:N718"/>
    <mergeCell ref="Q724:T724"/>
    <mergeCell ref="D727:F727"/>
    <mergeCell ref="D720:F720"/>
    <mergeCell ref="D721:F721"/>
    <mergeCell ref="D722:F722"/>
    <mergeCell ref="D723:F723"/>
    <mergeCell ref="D724:F724"/>
    <mergeCell ref="G720:H720"/>
    <mergeCell ref="G721:H721"/>
    <mergeCell ref="G722:H722"/>
    <mergeCell ref="G727:H727"/>
    <mergeCell ref="G723:H723"/>
    <mergeCell ref="G724:H724"/>
    <mergeCell ref="G725:H725"/>
    <mergeCell ref="G726:H726"/>
    <mergeCell ref="Q725:T725"/>
    <mergeCell ref="Q726:T726"/>
    <mergeCell ref="O715:P717"/>
    <mergeCell ref="Q720:T720"/>
    <mergeCell ref="Q721:T721"/>
    <mergeCell ref="Q722:T722"/>
    <mergeCell ref="M723:N723"/>
    <mergeCell ref="M724:N724"/>
    <mergeCell ref="O718:P718"/>
    <mergeCell ref="O719:P719"/>
    <mergeCell ref="O720:P720"/>
    <mergeCell ref="O721:P721"/>
    <mergeCell ref="O722:P722"/>
    <mergeCell ref="O723:P723"/>
    <mergeCell ref="O724:P724"/>
    <mergeCell ref="C713:U713"/>
    <mergeCell ref="Q715:T717"/>
    <mergeCell ref="M715:N717"/>
    <mergeCell ref="K715:L717"/>
    <mergeCell ref="H65:I65"/>
    <mergeCell ref="L627:O627"/>
    <mergeCell ref="L673:O673"/>
    <mergeCell ref="E643:K645"/>
    <mergeCell ref="L643:O645"/>
    <mergeCell ref="E637:H639"/>
    <mergeCell ref="I637:K637"/>
    <mergeCell ref="E529:K531"/>
    <mergeCell ref="M529:S531"/>
    <mergeCell ref="I657:K657"/>
    <mergeCell ref="L657:O657"/>
    <mergeCell ref="P657:S657"/>
    <mergeCell ref="I658:K658"/>
    <mergeCell ref="L658:O658"/>
    <mergeCell ref="P658:S658"/>
    <mergeCell ref="E665:H667"/>
    <mergeCell ref="I665:K665"/>
    <mergeCell ref="L665:O665"/>
    <mergeCell ref="P665:S665"/>
    <mergeCell ref="I666:K666"/>
    <mergeCell ref="P43:Q43"/>
    <mergeCell ref="P44:Q44"/>
    <mergeCell ref="P45:Q45"/>
    <mergeCell ref="P46:Q46"/>
    <mergeCell ref="P47:Q47"/>
    <mergeCell ref="P48:Q48"/>
    <mergeCell ref="P49:Q49"/>
    <mergeCell ref="P54:Q54"/>
    <mergeCell ref="D718:F718"/>
    <mergeCell ref="E656:H658"/>
    <mergeCell ref="I656:K656"/>
    <mergeCell ref="L656:O656"/>
    <mergeCell ref="I661:K661"/>
    <mergeCell ref="L661:O661"/>
    <mergeCell ref="E653:H655"/>
    <mergeCell ref="I653:K653"/>
    <mergeCell ref="L653:O653"/>
    <mergeCell ref="I715:J717"/>
    <mergeCell ref="G715:H717"/>
    <mergeCell ref="I673:K673"/>
    <mergeCell ref="P656:S656"/>
    <mergeCell ref="P653:S653"/>
    <mergeCell ref="P643:S645"/>
    <mergeCell ref="P637:S637"/>
    <mergeCell ref="P55:Q55"/>
    <mergeCell ref="P56:Q56"/>
    <mergeCell ref="P57:Q57"/>
    <mergeCell ref="D54:K54"/>
    <mergeCell ref="L54:M54"/>
    <mergeCell ref="N54:O54"/>
    <mergeCell ref="L47:M47"/>
    <mergeCell ref="C520:V520"/>
    <mergeCell ref="C521:V521"/>
    <mergeCell ref="P51:Q53"/>
    <mergeCell ref="N47:O47"/>
    <mergeCell ref="D51:K53"/>
    <mergeCell ref="L51:M53"/>
    <mergeCell ref="N51:O53"/>
    <mergeCell ref="S41:U47"/>
    <mergeCell ref="S52:U57"/>
    <mergeCell ref="P40:Q42"/>
    <mergeCell ref="E494:K494"/>
    <mergeCell ref="M494:S494"/>
    <mergeCell ref="M495:S497"/>
    <mergeCell ref="M499:S501"/>
    <mergeCell ref="M498:S498"/>
    <mergeCell ref="E498:K498"/>
    <mergeCell ref="E499:K501"/>
    <mergeCell ref="C522:V522"/>
    <mergeCell ref="E524:K524"/>
    <mergeCell ref="M524:S524"/>
    <mergeCell ref="E525:K527"/>
    <mergeCell ref="M525:S527"/>
    <mergeCell ref="E528:K528"/>
    <mergeCell ref="M528:S528"/>
    <mergeCell ref="L537:L538"/>
    <mergeCell ref="M537:M538"/>
    <mergeCell ref="N537:N538"/>
    <mergeCell ref="O537:O538"/>
    <mergeCell ref="H533:J533"/>
    <mergeCell ref="K533:M533"/>
    <mergeCell ref="N533:P533"/>
    <mergeCell ref="Q533:S533"/>
    <mergeCell ref="H535:H536"/>
    <mergeCell ref="I535:I536"/>
    <mergeCell ref="J535:J536"/>
    <mergeCell ref="K535:K536"/>
    <mergeCell ref="L535:L536"/>
    <mergeCell ref="M535:M536"/>
    <mergeCell ref="N535:N536"/>
    <mergeCell ref="O535:O536"/>
    <mergeCell ref="P535:P536"/>
    <mergeCell ref="Q535:Q536"/>
    <mergeCell ref="R535:R536"/>
    <mergeCell ref="S535:S536"/>
    <mergeCell ref="P537:P538"/>
    <mergeCell ref="Q537:Q538"/>
    <mergeCell ref="R537:R538"/>
    <mergeCell ref="S537:S538"/>
    <mergeCell ref="D535:G536"/>
    <mergeCell ref="D537:G538"/>
    <mergeCell ref="D533:G534"/>
    <mergeCell ref="D539:G540"/>
    <mergeCell ref="H539:H540"/>
    <mergeCell ref="I539:I540"/>
    <mergeCell ref="J539:J540"/>
    <mergeCell ref="K539:K540"/>
    <mergeCell ref="L539:L540"/>
    <mergeCell ref="M539:M540"/>
    <mergeCell ref="N539:N540"/>
    <mergeCell ref="O539:O540"/>
    <mergeCell ref="P539:P540"/>
    <mergeCell ref="Q539:Q540"/>
    <mergeCell ref="R539:R540"/>
    <mergeCell ref="S539:S540"/>
    <mergeCell ref="H537:H538"/>
    <mergeCell ref="I537:I538"/>
    <mergeCell ref="J537:J538"/>
    <mergeCell ref="K537:K538"/>
  </mergeCells>
  <conditionalFormatting sqref="P633:S633 L634:S645 L646 P646 L604:S624 L628:S632 L647:S658 L662:S673">
    <cfRule type="containsText" dxfId="12" priority="15" operator="containsText" text="Lower than required coverage">
      <formula>NOT(ISERROR(SEARCH("Lower than required coverage",L604)))</formula>
    </cfRule>
  </conditionalFormatting>
  <conditionalFormatting sqref="L633:O633">
    <cfRule type="containsText" dxfId="11" priority="14" operator="containsText" text="Lower than required coverage">
      <formula>NOT(ISERROR(SEARCH("Lower than required coverage",L633)))</formula>
    </cfRule>
  </conditionalFormatting>
  <conditionalFormatting sqref="D797:F797">
    <cfRule type="expression" dxfId="10" priority="12" stopIfTrue="1">
      <formula>$D$797=$F$790</formula>
    </cfRule>
  </conditionalFormatting>
  <conditionalFormatting sqref="D797:M797">
    <cfRule type="expression" dxfId="9" priority="11" stopIfTrue="1">
      <formula>$D$797=$F$790</formula>
    </cfRule>
  </conditionalFormatting>
  <conditionalFormatting sqref="D798:M798">
    <cfRule type="expression" dxfId="8" priority="10" stopIfTrue="1">
      <formula>$D$798=$F$790</formula>
    </cfRule>
  </conditionalFormatting>
  <conditionalFormatting sqref="D799:F799 J799:M799">
    <cfRule type="expression" dxfId="7" priority="9" stopIfTrue="1">
      <formula>$D$799=$F$790</formula>
    </cfRule>
  </conditionalFormatting>
  <conditionalFormatting sqref="D800:M800">
    <cfRule type="expression" dxfId="6" priority="8" stopIfTrue="1">
      <formula>$D$800=$F$790</formula>
    </cfRule>
  </conditionalFormatting>
  <conditionalFormatting sqref="D801:G801">
    <cfRule type="expression" dxfId="5" priority="6" stopIfTrue="1">
      <formula>$D$801=$F$790</formula>
    </cfRule>
  </conditionalFormatting>
  <conditionalFormatting sqref="D802:M802">
    <cfRule type="expression" dxfId="4" priority="5" stopIfTrue="1">
      <formula>$D$802=$F$790</formula>
    </cfRule>
  </conditionalFormatting>
  <conditionalFormatting sqref="D803:M803">
    <cfRule type="expression" dxfId="3" priority="4" stopIfTrue="1">
      <formula>$D$803=$F$790</formula>
    </cfRule>
  </conditionalFormatting>
  <conditionalFormatting sqref="G799:I799">
    <cfRule type="expression" dxfId="2" priority="3" stopIfTrue="1">
      <formula>$D$801=$F$790</formula>
    </cfRule>
  </conditionalFormatting>
  <conditionalFormatting sqref="L625:S627">
    <cfRule type="containsText" dxfId="1" priority="2" operator="containsText" text="Lower than required coverage">
      <formula>NOT(ISERROR(SEARCH("Lower than required coverage",L625)))</formula>
    </cfRule>
  </conditionalFormatting>
  <conditionalFormatting sqref="L659:S661">
    <cfRule type="containsText" dxfId="0" priority="1" operator="containsText" text="Lower than required coverage">
      <formula>NOT(ISERROR(SEARCH("Lower than required coverage",L659)))</formula>
    </cfRule>
  </conditionalFormatting>
  <pageMargins left="0.25" right="0.25" top="0.75" bottom="0.75" header="0.3" footer="0.3"/>
  <pageSetup paperSize="9" scale="60" fitToHeight="8" orientation="portrait" r:id="rId1"/>
  <rowBreaks count="10" manualBreakCount="10">
    <brk id="78" max="22" man="1"/>
    <brk id="128" max="22" man="1"/>
    <brk id="182" max="22" man="1"/>
    <brk id="236" max="22" man="1"/>
    <brk id="304" max="22" man="1"/>
    <brk id="385" max="22" man="1"/>
    <brk id="471" max="22" man="1"/>
    <brk id="563" max="22" man="1"/>
    <brk id="615" max="22" man="1"/>
    <brk id="677" max="22" man="1"/>
  </rowBreaks>
  <ignoredErrors>
    <ignoredError sqref="I535" formula="1"/>
    <ignoredError sqref="L258:M258" evalError="1"/>
  </ignoredErrors>
  <drawing r:id="rId2"/>
  <legacyDrawing r:id="rId3"/>
  <oleObjects>
    <mc:AlternateContent xmlns:mc="http://schemas.openxmlformats.org/markup-compatibility/2006">
      <mc:Choice Requires="x14">
        <oleObject progId="AcroExch.Document.7" dvAspect="DVASPECT_ICON" shapeId="5124" r:id="rId4">
          <objectPr defaultSize="0" autoPict="0" r:id="rId5">
            <anchor moveWithCells="1" sizeWithCells="1">
              <from>
                <xdr:col>10</xdr:col>
                <xdr:colOff>76200</xdr:colOff>
                <xdr:row>438</xdr:row>
                <xdr:rowOff>38100</xdr:rowOff>
              </from>
              <to>
                <xdr:col>11</xdr:col>
                <xdr:colOff>504825</xdr:colOff>
                <xdr:row>441</xdr:row>
                <xdr:rowOff>133350</xdr:rowOff>
              </to>
            </anchor>
          </objectPr>
        </oleObject>
      </mc:Choice>
      <mc:Fallback>
        <oleObject progId="AcroExch.Document.7" dvAspect="DVASPECT_ICON" shapeId="5124" r:id="rId4"/>
      </mc:Fallback>
    </mc:AlternateContent>
  </oleObjects>
  <mc:AlternateContent xmlns:mc="http://schemas.openxmlformats.org/markup-compatibility/2006">
    <mc:Choice Requires="x14">
      <controls>
        <mc:AlternateContent xmlns:mc="http://schemas.openxmlformats.org/markup-compatibility/2006">
          <mc:Choice Requires="x14">
            <control shapeId="5122" r:id="rId6" name="Drop Down 2">
              <controlPr defaultSize="0" autoLine="0" autoPict="0">
                <anchor moveWithCells="1">
                  <from>
                    <xdr:col>6</xdr:col>
                    <xdr:colOff>371475</xdr:colOff>
                    <xdr:row>4</xdr:row>
                    <xdr:rowOff>180975</xdr:rowOff>
                  </from>
                  <to>
                    <xdr:col>12</xdr:col>
                    <xdr:colOff>247650</xdr:colOff>
                    <xdr:row>6</xdr:row>
                    <xdr:rowOff>66675</xdr:rowOff>
                  </to>
                </anchor>
              </controlPr>
            </control>
          </mc:Choice>
        </mc:AlternateContent>
        <mc:AlternateContent xmlns:mc="http://schemas.openxmlformats.org/markup-compatibility/2006">
          <mc:Choice Requires="x14">
            <control shapeId="5123" r:id="rId7" name="Drop Down 3">
              <controlPr defaultSize="0" autoLine="0" autoPict="0">
                <anchor moveWithCells="1">
                  <from>
                    <xdr:col>6</xdr:col>
                    <xdr:colOff>371475</xdr:colOff>
                    <xdr:row>6</xdr:row>
                    <xdr:rowOff>161925</xdr:rowOff>
                  </from>
                  <to>
                    <xdr:col>12</xdr:col>
                    <xdr:colOff>247650</xdr:colOff>
                    <xdr:row>8</xdr:row>
                    <xdr:rowOff>47625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7" tint="0.39997558519241921"/>
  </sheetPr>
  <dimension ref="A1:X177"/>
  <sheetViews>
    <sheetView zoomScaleNormal="100" zoomScaleSheetLayoutView="80" zoomScalePageLayoutView="80" workbookViewId="0">
      <selection activeCell="E26" sqref="E26:H26"/>
    </sheetView>
  </sheetViews>
  <sheetFormatPr defaultRowHeight="14.25" x14ac:dyDescent="0.2"/>
  <cols>
    <col min="1" max="1" width="1" style="1" customWidth="1"/>
    <col min="2" max="2" width="1.09765625" style="1" customWidth="1"/>
    <col min="3" max="3" width="6.5" style="1" customWidth="1"/>
    <col min="4" max="4" width="5.69921875" style="1" customWidth="1"/>
    <col min="5" max="5" width="5.69921875" style="69" customWidth="1"/>
    <col min="6" max="6" width="6.69921875" style="1" customWidth="1"/>
    <col min="7" max="8" width="6.69921875" style="69" customWidth="1"/>
    <col min="9" max="14" width="6.69921875" style="1" customWidth="1"/>
    <col min="15" max="17" width="6.69921875" style="69" customWidth="1"/>
    <col min="18" max="18" width="5.69921875" style="69" customWidth="1"/>
    <col min="19" max="19" width="5.69921875" style="1" customWidth="1"/>
    <col min="20" max="20" width="1.5" style="1" customWidth="1"/>
    <col min="21" max="21" width="1.19921875" style="1" customWidth="1"/>
    <col min="22" max="22" width="1.09765625" style="1" customWidth="1"/>
    <col min="23" max="23" width="8.796875" style="1"/>
    <col min="24" max="24" width="19" style="1" bestFit="1" customWidth="1"/>
    <col min="25" max="16384" width="8.796875" style="1"/>
  </cols>
  <sheetData>
    <row r="1" spans="1:24" ht="15" x14ac:dyDescent="0.25">
      <c r="X1" s="23">
        <f ca="1">NOW()</f>
        <v>42356.527743287035</v>
      </c>
    </row>
    <row r="2" spans="1:24" ht="17.25" customHeight="1" x14ac:dyDescent="0.2">
      <c r="A2" s="590"/>
      <c r="B2" s="591"/>
      <c r="C2" s="591"/>
      <c r="D2" s="591"/>
      <c r="E2" s="591"/>
      <c r="F2" s="591"/>
      <c r="G2" s="591"/>
      <c r="H2" s="591"/>
      <c r="I2" s="591"/>
      <c r="J2" s="591"/>
      <c r="K2" s="591"/>
      <c r="L2" s="591"/>
      <c r="M2" s="591"/>
      <c r="N2" s="591"/>
      <c r="O2" s="71"/>
      <c r="P2" s="71"/>
      <c r="Q2" s="71"/>
      <c r="R2" s="71"/>
    </row>
    <row r="3" spans="1:24" ht="15" x14ac:dyDescent="0.25">
      <c r="A3" s="2"/>
      <c r="B3" s="2"/>
      <c r="C3" s="2"/>
      <c r="D3" s="2"/>
      <c r="E3" s="2"/>
      <c r="F3" s="2"/>
      <c r="G3" s="2"/>
      <c r="H3" s="2"/>
      <c r="I3" s="2"/>
      <c r="J3" s="2"/>
      <c r="K3" s="2"/>
      <c r="L3" s="2"/>
      <c r="M3" s="2"/>
      <c r="N3" s="2"/>
      <c r="O3" s="2"/>
      <c r="P3" s="2"/>
      <c r="Q3" s="2"/>
      <c r="R3" s="2"/>
    </row>
    <row r="4" spans="1:24" ht="15" x14ac:dyDescent="0.25">
      <c r="A4" s="2"/>
      <c r="B4" s="2"/>
      <c r="C4" s="2"/>
      <c r="D4" s="2"/>
      <c r="E4" s="2"/>
      <c r="F4" s="2"/>
      <c r="G4" s="2"/>
      <c r="H4" s="2"/>
      <c r="I4" s="2"/>
      <c r="J4" s="2"/>
      <c r="K4" s="2"/>
      <c r="L4" s="2"/>
      <c r="M4" s="2"/>
      <c r="N4" s="2"/>
      <c r="O4" s="2"/>
      <c r="P4" s="2"/>
      <c r="Q4" s="2"/>
      <c r="R4" s="2"/>
    </row>
    <row r="5" spans="1:24" s="69" customFormat="1" ht="15" x14ac:dyDescent="0.25">
      <c r="A5" s="334"/>
      <c r="B5" s="5"/>
      <c r="C5" s="5"/>
      <c r="D5" s="5"/>
      <c r="E5" s="5"/>
      <c r="F5" s="5"/>
      <c r="G5" s="5"/>
      <c r="H5" s="5"/>
      <c r="I5" s="5"/>
      <c r="J5" s="5"/>
      <c r="K5" s="5"/>
      <c r="L5" s="5"/>
      <c r="M5" s="5"/>
      <c r="N5" s="5"/>
      <c r="O5" s="5"/>
      <c r="P5" s="5"/>
      <c r="Q5" s="5"/>
      <c r="R5" s="5"/>
      <c r="S5" s="6"/>
      <c r="T5" s="6"/>
      <c r="U5" s="6"/>
    </row>
    <row r="6" spans="1:24" s="69" customFormat="1" ht="15" x14ac:dyDescent="0.25">
      <c r="A6" s="334"/>
      <c r="B6" s="5"/>
      <c r="C6" s="5"/>
      <c r="D6" s="5"/>
      <c r="E6" s="5"/>
      <c r="F6" s="5"/>
      <c r="G6" s="5"/>
      <c r="H6" s="5"/>
      <c r="I6" s="5"/>
      <c r="J6" s="5"/>
      <c r="K6" s="5"/>
      <c r="L6" s="5"/>
      <c r="M6" s="5"/>
      <c r="N6" s="5"/>
      <c r="O6" s="5"/>
      <c r="P6" s="5"/>
      <c r="Q6" s="5"/>
      <c r="R6" s="5"/>
      <c r="S6" s="6"/>
      <c r="T6" s="6"/>
      <c r="U6" s="6"/>
    </row>
    <row r="7" spans="1:24" s="69" customFormat="1" ht="15" x14ac:dyDescent="0.25">
      <c r="A7" s="334"/>
      <c r="B7" s="5"/>
      <c r="C7" s="5"/>
      <c r="D7" s="5"/>
      <c r="E7" s="5"/>
      <c r="F7" s="5"/>
      <c r="G7" s="5"/>
      <c r="H7" s="5"/>
      <c r="I7" s="5"/>
      <c r="J7" s="5"/>
      <c r="K7" s="5"/>
      <c r="L7" s="5"/>
      <c r="M7" s="5"/>
      <c r="N7" s="5"/>
      <c r="O7" s="5"/>
      <c r="P7" s="5"/>
      <c r="Q7" s="5"/>
      <c r="R7" s="5"/>
      <c r="S7" s="6"/>
      <c r="T7" s="6"/>
      <c r="U7" s="6"/>
    </row>
    <row r="8" spans="1:24" s="69" customFormat="1" ht="15" x14ac:dyDescent="0.25">
      <c r="A8" s="334"/>
      <c r="B8" s="5"/>
      <c r="C8" s="5"/>
      <c r="D8" s="5"/>
      <c r="E8" s="5"/>
      <c r="F8" s="5"/>
      <c r="G8" s="5"/>
      <c r="H8" s="5"/>
      <c r="I8" s="5"/>
      <c r="J8" s="5"/>
      <c r="K8" s="5"/>
      <c r="L8" s="5"/>
      <c r="M8" s="5"/>
      <c r="N8" s="5"/>
      <c r="O8" s="5"/>
      <c r="P8" s="5"/>
      <c r="Q8" s="5"/>
      <c r="R8" s="5"/>
      <c r="S8" s="6"/>
      <c r="T8" s="6"/>
      <c r="U8" s="6"/>
    </row>
    <row r="9" spans="1:24" s="69" customFormat="1" ht="15" x14ac:dyDescent="0.25">
      <c r="A9" s="334"/>
      <c r="B9" s="5"/>
      <c r="C9" s="5"/>
      <c r="D9" s="5"/>
      <c r="E9" s="5"/>
      <c r="F9" s="5"/>
      <c r="G9" s="5"/>
      <c r="H9" s="5"/>
      <c r="I9" s="5"/>
      <c r="J9" s="5"/>
      <c r="K9" s="5"/>
      <c r="L9" s="5"/>
      <c r="M9" s="5"/>
      <c r="N9" s="5"/>
      <c r="O9" s="5"/>
      <c r="P9" s="5"/>
      <c r="Q9" s="5"/>
      <c r="R9" s="5"/>
      <c r="S9" s="6"/>
      <c r="T9" s="6"/>
      <c r="U9" s="6"/>
    </row>
    <row r="10" spans="1:24" s="69" customFormat="1" ht="15" x14ac:dyDescent="0.25">
      <c r="A10" s="2"/>
      <c r="B10" s="5"/>
      <c r="C10" s="5"/>
      <c r="D10" s="5"/>
      <c r="E10" s="5"/>
      <c r="F10" s="5"/>
      <c r="G10" s="5"/>
      <c r="H10" s="5"/>
      <c r="I10" s="5"/>
      <c r="J10" s="5"/>
      <c r="K10" s="5"/>
      <c r="L10" s="5"/>
      <c r="M10" s="5"/>
      <c r="N10" s="5"/>
      <c r="O10" s="5"/>
      <c r="P10" s="5"/>
      <c r="Q10" s="5"/>
      <c r="R10" s="5"/>
      <c r="S10" s="6"/>
      <c r="T10" s="6"/>
      <c r="U10" s="6"/>
    </row>
    <row r="11" spans="1:24" s="69" customFormat="1" ht="15" x14ac:dyDescent="0.25">
      <c r="A11" s="2"/>
      <c r="B11" s="5"/>
      <c r="C11" s="2"/>
      <c r="D11" s="2"/>
      <c r="E11" s="2"/>
      <c r="F11" s="2"/>
      <c r="G11" s="2"/>
      <c r="H11" s="2"/>
      <c r="I11" s="2"/>
      <c r="J11" s="2"/>
      <c r="K11" s="2"/>
      <c r="L11" s="2"/>
      <c r="M11" s="2"/>
      <c r="N11" s="2"/>
      <c r="O11" s="2"/>
      <c r="P11" s="2"/>
      <c r="Q11" s="2"/>
      <c r="R11" s="2"/>
      <c r="U11" s="6"/>
    </row>
    <row r="12" spans="1:24" s="69" customFormat="1" ht="33" customHeight="1" x14ac:dyDescent="0.25">
      <c r="A12" s="2"/>
      <c r="B12" s="5"/>
      <c r="C12" s="711"/>
      <c r="D12" s="711"/>
      <c r="E12" s="711"/>
      <c r="F12" s="711"/>
      <c r="G12" s="711"/>
      <c r="H12" s="711"/>
      <c r="I12" s="711"/>
      <c r="J12" s="711"/>
      <c r="K12" s="711"/>
      <c r="L12" s="711"/>
      <c r="M12" s="711"/>
      <c r="N12" s="711"/>
      <c r="O12" s="711"/>
      <c r="P12" s="711"/>
      <c r="Q12" s="711"/>
      <c r="R12" s="711"/>
      <c r="S12" s="711"/>
      <c r="T12" s="711"/>
      <c r="U12" s="6"/>
    </row>
    <row r="13" spans="1:24" s="69" customFormat="1" ht="33" customHeight="1" x14ac:dyDescent="0.25">
      <c r="A13" s="2"/>
      <c r="B13" s="5"/>
      <c r="C13" s="79"/>
      <c r="D13" s="79"/>
      <c r="E13" s="79"/>
      <c r="F13" s="79"/>
      <c r="G13" s="79"/>
      <c r="H13" s="79"/>
      <c r="I13" s="79"/>
      <c r="J13" s="79"/>
      <c r="K13" s="79"/>
      <c r="L13" s="79"/>
      <c r="M13" s="79"/>
      <c r="N13" s="79"/>
      <c r="O13" s="79"/>
      <c r="P13" s="79"/>
      <c r="Q13" s="79"/>
      <c r="R13" s="79"/>
      <c r="S13" s="79"/>
      <c r="T13" s="79"/>
      <c r="U13" s="6"/>
    </row>
    <row r="14" spans="1:24" s="69" customFormat="1" ht="15" x14ac:dyDescent="0.25">
      <c r="A14" s="2"/>
      <c r="B14" s="5"/>
      <c r="C14" s="1058"/>
      <c r="D14" s="1058"/>
      <c r="E14" s="1058"/>
      <c r="F14" s="1058"/>
      <c r="G14" s="1058"/>
      <c r="H14" s="1058"/>
      <c r="I14" s="1058"/>
      <c r="J14" s="1058"/>
      <c r="K14" s="1058"/>
      <c r="L14" s="1058"/>
      <c r="M14" s="1058"/>
      <c r="N14" s="1058"/>
      <c r="O14" s="1058"/>
      <c r="P14" s="1058"/>
      <c r="Q14" s="1058"/>
      <c r="R14" s="1058"/>
      <c r="S14" s="1058"/>
      <c r="T14" s="1058"/>
      <c r="U14" s="6"/>
    </row>
    <row r="15" spans="1:24" s="69" customFormat="1" ht="15" x14ac:dyDescent="0.25">
      <c r="A15" s="2"/>
      <c r="B15" s="5"/>
      <c r="C15" s="2"/>
      <c r="D15" s="2"/>
      <c r="E15" s="2"/>
      <c r="F15" s="2"/>
      <c r="G15" s="2"/>
      <c r="H15" s="2"/>
      <c r="I15" s="2"/>
      <c r="J15" s="2"/>
      <c r="K15" s="2"/>
      <c r="L15" s="2"/>
      <c r="M15" s="2"/>
      <c r="N15" s="2"/>
      <c r="O15" s="2"/>
      <c r="P15" s="2"/>
      <c r="Q15" s="2"/>
      <c r="R15" s="2"/>
      <c r="U15" s="6"/>
    </row>
    <row r="16" spans="1:24" s="69" customFormat="1" ht="15" x14ac:dyDescent="0.25">
      <c r="A16" s="2"/>
      <c r="B16" s="5"/>
      <c r="C16" s="2"/>
      <c r="D16" s="2"/>
      <c r="E16" s="2"/>
      <c r="F16" s="2"/>
      <c r="G16" s="2"/>
      <c r="H16" s="2"/>
      <c r="I16" s="2"/>
      <c r="J16" s="2"/>
      <c r="K16" s="2"/>
      <c r="L16" s="2"/>
      <c r="M16" s="2"/>
      <c r="N16" s="2"/>
      <c r="O16" s="2"/>
      <c r="P16" s="2"/>
      <c r="Q16" s="2"/>
      <c r="R16" s="2"/>
      <c r="U16" s="6"/>
    </row>
    <row r="17" spans="1:21" s="69" customFormat="1" ht="15" x14ac:dyDescent="0.25">
      <c r="A17" s="2"/>
      <c r="B17" s="5"/>
      <c r="C17" s="1059" t="s">
        <v>465</v>
      </c>
      <c r="D17" s="1059"/>
      <c r="E17" s="1059"/>
      <c r="F17" s="1059"/>
      <c r="G17" s="1059"/>
      <c r="H17" s="1059"/>
      <c r="I17" s="1059"/>
      <c r="J17" s="1059"/>
      <c r="K17" s="1059"/>
      <c r="L17" s="1059"/>
      <c r="M17" s="1059"/>
      <c r="N17" s="1059"/>
      <c r="O17" s="1059"/>
      <c r="P17" s="1059"/>
      <c r="Q17" s="1059"/>
      <c r="R17" s="1059"/>
      <c r="S17" s="1059"/>
      <c r="U17" s="6"/>
    </row>
    <row r="18" spans="1:21" s="69" customFormat="1" ht="19.5" customHeight="1" x14ac:dyDescent="0.25">
      <c r="A18" s="2"/>
      <c r="B18" s="5"/>
      <c r="C18" s="1056"/>
      <c r="D18" s="1056"/>
      <c r="E18" s="1056"/>
      <c r="F18" s="1056"/>
      <c r="G18" s="1056"/>
      <c r="H18" s="1056"/>
      <c r="I18" s="1056"/>
      <c r="J18" s="1056"/>
      <c r="K18" s="1056"/>
      <c r="L18" s="1056"/>
      <c r="M18" s="1056"/>
      <c r="N18" s="1056"/>
      <c r="O18" s="1056"/>
      <c r="P18" s="1056"/>
      <c r="Q18" s="1056"/>
      <c r="R18" s="1056"/>
      <c r="S18" s="1056"/>
      <c r="U18" s="6"/>
    </row>
    <row r="19" spans="1:21" s="69" customFormat="1" ht="36.75" customHeight="1" x14ac:dyDescent="0.25">
      <c r="A19" s="2"/>
      <c r="B19" s="5"/>
      <c r="C19" s="1058"/>
      <c r="D19" s="1058"/>
      <c r="E19" s="1058"/>
      <c r="F19" s="1058"/>
      <c r="G19" s="1058"/>
      <c r="H19" s="1058"/>
      <c r="I19" s="1058"/>
      <c r="J19" s="1058"/>
      <c r="K19" s="1058"/>
      <c r="L19" s="1058"/>
      <c r="M19" s="1058"/>
      <c r="N19" s="1058"/>
      <c r="O19" s="1058"/>
      <c r="P19" s="1058"/>
      <c r="Q19" s="1058"/>
      <c r="R19" s="1058"/>
      <c r="S19" s="1058"/>
      <c r="U19" s="6"/>
    </row>
    <row r="20" spans="1:21" s="69" customFormat="1" ht="15" x14ac:dyDescent="0.25">
      <c r="A20" s="2"/>
      <c r="B20" s="5"/>
      <c r="C20" s="2"/>
      <c r="D20" s="2"/>
      <c r="E20" s="2"/>
      <c r="F20" s="2"/>
      <c r="G20" s="2"/>
      <c r="H20" s="2"/>
      <c r="I20" s="2"/>
      <c r="J20" s="2"/>
      <c r="K20" s="2"/>
      <c r="L20" s="2"/>
      <c r="M20" s="2"/>
      <c r="N20" s="2"/>
      <c r="O20" s="2"/>
      <c r="P20" s="2"/>
      <c r="Q20" s="2"/>
      <c r="R20" s="2"/>
      <c r="U20" s="6"/>
    </row>
    <row r="21" spans="1:21" s="69" customFormat="1" ht="15" x14ac:dyDescent="0.25">
      <c r="A21" s="2"/>
      <c r="B21" s="5"/>
      <c r="C21" s="2"/>
      <c r="D21" s="2"/>
      <c r="E21" s="2"/>
      <c r="F21" s="2"/>
      <c r="G21" s="2"/>
      <c r="H21" s="2"/>
      <c r="I21" s="2"/>
      <c r="J21" s="2"/>
      <c r="K21" s="2"/>
      <c r="L21" s="2"/>
      <c r="M21" s="2"/>
      <c r="N21" s="2"/>
      <c r="O21" s="2"/>
      <c r="P21" s="2"/>
      <c r="Q21" s="2"/>
      <c r="R21" s="2"/>
      <c r="U21" s="6"/>
    </row>
    <row r="22" spans="1:21" s="69" customFormat="1" ht="15" customHeight="1" x14ac:dyDescent="0.25">
      <c r="A22" s="2"/>
      <c r="B22" s="5"/>
      <c r="C22" s="2"/>
      <c r="D22" s="37"/>
      <c r="E22" s="649" t="s">
        <v>466</v>
      </c>
      <c r="F22" s="655"/>
      <c r="G22" s="655"/>
      <c r="H22" s="714"/>
      <c r="I22" s="746" t="str">
        <f>INDEX(Locations, selection)</f>
        <v>Kingston Buci</v>
      </c>
      <c r="J22" s="747"/>
      <c r="K22" s="637" t="str">
        <f>INDEX(Locations, selection2)</f>
        <v>Stepping Stones</v>
      </c>
      <c r="L22" s="637"/>
      <c r="M22" s="708" t="s">
        <v>292</v>
      </c>
      <c r="N22" s="708"/>
      <c r="U22" s="6"/>
    </row>
    <row r="23" spans="1:21" s="69" customFormat="1" ht="15" x14ac:dyDescent="0.25">
      <c r="A23" s="2"/>
      <c r="B23" s="5"/>
      <c r="C23" s="2"/>
      <c r="D23" s="119"/>
      <c r="E23" s="650"/>
      <c r="F23" s="656"/>
      <c r="G23" s="656"/>
      <c r="H23" s="715"/>
      <c r="I23" s="748"/>
      <c r="J23" s="749"/>
      <c r="K23" s="637"/>
      <c r="L23" s="637"/>
      <c r="M23" s="708"/>
      <c r="N23" s="708"/>
      <c r="U23" s="6"/>
    </row>
    <row r="24" spans="1:21" s="69" customFormat="1" ht="15" x14ac:dyDescent="0.25">
      <c r="A24" s="2"/>
      <c r="B24" s="5"/>
      <c r="C24" s="2"/>
      <c r="D24" s="119"/>
      <c r="E24" s="651"/>
      <c r="F24" s="657"/>
      <c r="G24" s="657"/>
      <c r="H24" s="716"/>
      <c r="I24" s="750"/>
      <c r="J24" s="751"/>
      <c r="K24" s="637"/>
      <c r="L24" s="637"/>
      <c r="M24" s="708"/>
      <c r="N24" s="708"/>
      <c r="U24" s="6"/>
    </row>
    <row r="25" spans="1:21" s="69" customFormat="1" ht="18" customHeight="1" x14ac:dyDescent="0.25">
      <c r="A25" s="2"/>
      <c r="B25" s="5"/>
      <c r="C25" s="2"/>
      <c r="E25" s="1037" t="s">
        <v>457</v>
      </c>
      <c r="F25" s="1038"/>
      <c r="G25" s="1038"/>
      <c r="H25" s="1039"/>
      <c r="I25" s="1036">
        <f t="shared" ref="I25:I30" si="0">IF(HLOOKUP($E25, Births, selection+1, FALSE) = "", "", HLOOKUP($E25,Births, selection+1, FALSE))</f>
        <v>151</v>
      </c>
      <c r="J25" s="825"/>
      <c r="K25" s="1036">
        <f t="shared" ref="K25:K30" si="1">IF(HLOOKUP($E25, Births, selection2+1, FALSE) = "", "", HLOOKUP($E25,Births, selection2+1, FALSE))</f>
        <v>106</v>
      </c>
      <c r="L25" s="825"/>
      <c r="M25" s="1036">
        <f>'ONS births'!B11</f>
        <v>8927</v>
      </c>
      <c r="N25" s="825"/>
      <c r="U25" s="6"/>
    </row>
    <row r="26" spans="1:21" s="69" customFormat="1" ht="15" x14ac:dyDescent="0.25">
      <c r="A26" s="2"/>
      <c r="B26" s="5"/>
      <c r="C26" s="2"/>
      <c r="E26" s="1037" t="s">
        <v>458</v>
      </c>
      <c r="F26" s="1038"/>
      <c r="G26" s="1038"/>
      <c r="H26" s="1039"/>
      <c r="I26" s="1036">
        <f t="shared" si="0"/>
        <v>167</v>
      </c>
      <c r="J26" s="825"/>
      <c r="K26" s="1036">
        <f t="shared" si="1"/>
        <v>127</v>
      </c>
      <c r="L26" s="825"/>
      <c r="M26" s="1036">
        <f>'ONS births'!C11</f>
        <v>9024</v>
      </c>
      <c r="N26" s="825"/>
      <c r="U26" s="6"/>
    </row>
    <row r="27" spans="1:21" s="69" customFormat="1" ht="15" x14ac:dyDescent="0.25">
      <c r="A27" s="2"/>
      <c r="B27" s="5"/>
      <c r="C27" s="2"/>
      <c r="E27" s="1037" t="s">
        <v>459</v>
      </c>
      <c r="F27" s="1038"/>
      <c r="G27" s="1038"/>
      <c r="H27" s="1039"/>
      <c r="I27" s="1036">
        <f t="shared" si="0"/>
        <v>168</v>
      </c>
      <c r="J27" s="825"/>
      <c r="K27" s="1036">
        <f t="shared" si="1"/>
        <v>106</v>
      </c>
      <c r="L27" s="825"/>
      <c r="M27" s="1036">
        <f>'ONS births'!D11</f>
        <v>9198</v>
      </c>
      <c r="N27" s="825"/>
      <c r="U27" s="6"/>
    </row>
    <row r="28" spans="1:21" s="69" customFormat="1" ht="15" x14ac:dyDescent="0.25">
      <c r="A28" s="2"/>
      <c r="B28" s="5"/>
      <c r="C28" s="2"/>
      <c r="E28" s="1037" t="s">
        <v>460</v>
      </c>
      <c r="F28" s="1038"/>
      <c r="G28" s="1038"/>
      <c r="H28" s="1039"/>
      <c r="I28" s="1036">
        <f t="shared" si="0"/>
        <v>178</v>
      </c>
      <c r="J28" s="825"/>
      <c r="K28" s="1036">
        <f t="shared" si="1"/>
        <v>138</v>
      </c>
      <c r="L28" s="825"/>
      <c r="M28" s="1036">
        <f>'ONS births'!E11</f>
        <v>9207</v>
      </c>
      <c r="N28" s="825"/>
      <c r="U28" s="6"/>
    </row>
    <row r="29" spans="1:21" s="69" customFormat="1" ht="15" x14ac:dyDescent="0.25">
      <c r="A29" s="2"/>
      <c r="B29" s="5"/>
      <c r="C29" s="2"/>
      <c r="E29" s="1037" t="s">
        <v>461</v>
      </c>
      <c r="F29" s="1038"/>
      <c r="G29" s="1038"/>
      <c r="H29" s="1039"/>
      <c r="I29" s="1036">
        <f t="shared" si="0"/>
        <v>202</v>
      </c>
      <c r="J29" s="825"/>
      <c r="K29" s="1036">
        <f t="shared" si="1"/>
        <v>115</v>
      </c>
      <c r="L29" s="825"/>
      <c r="M29" s="1036">
        <f>'ONS births'!F11</f>
        <v>8835</v>
      </c>
      <c r="N29" s="825"/>
      <c r="U29" s="6"/>
    </row>
    <row r="30" spans="1:21" s="69" customFormat="1" ht="15" x14ac:dyDescent="0.25">
      <c r="A30" s="2"/>
      <c r="B30" s="5"/>
      <c r="C30" s="2"/>
      <c r="E30" s="1037" t="s">
        <v>462</v>
      </c>
      <c r="F30" s="1038"/>
      <c r="G30" s="1038"/>
      <c r="H30" s="1039"/>
      <c r="I30" s="1036" t="str">
        <f t="shared" si="0"/>
        <v>-</v>
      </c>
      <c r="J30" s="825"/>
      <c r="K30" s="1036" t="str">
        <f t="shared" si="1"/>
        <v>-</v>
      </c>
      <c r="L30" s="825"/>
      <c r="M30" s="1036">
        <f>'ONS births'!G11</f>
        <v>8719</v>
      </c>
      <c r="N30" s="825"/>
      <c r="U30" s="6"/>
    </row>
    <row r="31" spans="1:21" s="69" customFormat="1" ht="15" x14ac:dyDescent="0.25">
      <c r="A31" s="2"/>
      <c r="B31" s="5"/>
      <c r="C31" s="2"/>
      <c r="D31" s="2"/>
      <c r="E31" s="2"/>
      <c r="F31" s="2"/>
      <c r="G31" s="2"/>
      <c r="H31" s="2"/>
      <c r="I31" s="2"/>
      <c r="J31" s="2"/>
      <c r="K31" s="2"/>
      <c r="L31" s="2"/>
      <c r="M31" s="2"/>
      <c r="N31" s="2"/>
      <c r="O31" s="2"/>
      <c r="P31" s="2"/>
      <c r="Q31" s="2"/>
      <c r="R31" s="2"/>
      <c r="U31" s="6"/>
    </row>
    <row r="32" spans="1:21" s="69" customFormat="1" ht="15" x14ac:dyDescent="0.25">
      <c r="A32" s="2"/>
      <c r="B32" s="5"/>
      <c r="C32" s="2"/>
      <c r="D32" s="2"/>
      <c r="E32" s="2"/>
      <c r="F32" s="2"/>
      <c r="G32" s="2"/>
      <c r="H32" s="2"/>
      <c r="I32" s="2"/>
      <c r="J32" s="2"/>
      <c r="K32" s="2"/>
      <c r="L32" s="2"/>
      <c r="M32" s="2"/>
      <c r="N32" s="2"/>
      <c r="O32" s="2"/>
      <c r="P32" s="2"/>
      <c r="Q32" s="2"/>
      <c r="R32" s="2"/>
      <c r="U32" s="6"/>
    </row>
    <row r="33" spans="1:21" s="69" customFormat="1" ht="15" x14ac:dyDescent="0.25">
      <c r="A33" s="2"/>
      <c r="B33" s="5"/>
      <c r="C33" s="5"/>
      <c r="D33" s="5"/>
      <c r="E33" s="5"/>
      <c r="F33" s="5"/>
      <c r="G33" s="5"/>
      <c r="H33" s="5"/>
      <c r="I33" s="5"/>
      <c r="J33" s="5"/>
      <c r="K33" s="5"/>
      <c r="L33" s="5"/>
      <c r="M33" s="5"/>
      <c r="N33" s="5"/>
      <c r="O33" s="5"/>
      <c r="P33" s="5"/>
      <c r="Q33" s="5"/>
      <c r="R33" s="5"/>
      <c r="S33" s="6"/>
      <c r="T33" s="6"/>
      <c r="U33" s="6"/>
    </row>
    <row r="34" spans="1:21" s="69" customFormat="1" ht="15" x14ac:dyDescent="0.25">
      <c r="A34" s="2"/>
      <c r="B34" s="5"/>
      <c r="C34" s="5"/>
      <c r="D34" s="5"/>
      <c r="E34" s="5"/>
      <c r="F34" s="5"/>
      <c r="G34" s="5"/>
      <c r="H34" s="5"/>
      <c r="I34" s="5"/>
      <c r="J34" s="5"/>
      <c r="K34" s="5"/>
      <c r="L34" s="5"/>
      <c r="M34" s="5"/>
      <c r="N34" s="5"/>
      <c r="O34" s="5"/>
      <c r="P34" s="5"/>
      <c r="Q34" s="5"/>
      <c r="R34" s="5"/>
      <c r="S34" s="6"/>
      <c r="T34" s="6"/>
      <c r="U34" s="6"/>
    </row>
    <row r="35" spans="1:21" s="69" customFormat="1" ht="15" x14ac:dyDescent="0.25">
      <c r="A35" s="2"/>
      <c r="B35" s="5"/>
      <c r="C35" s="2"/>
      <c r="D35" s="2"/>
      <c r="E35" s="2"/>
      <c r="F35" s="2"/>
      <c r="G35" s="2"/>
      <c r="H35" s="2"/>
      <c r="I35" s="2"/>
      <c r="J35" s="2"/>
      <c r="K35" s="2"/>
      <c r="L35" s="2"/>
      <c r="M35" s="2"/>
      <c r="N35" s="2"/>
      <c r="O35" s="2"/>
      <c r="P35" s="2"/>
      <c r="Q35" s="2"/>
      <c r="R35" s="2"/>
      <c r="U35" s="6"/>
    </row>
    <row r="36" spans="1:21" s="69" customFormat="1" ht="15" x14ac:dyDescent="0.25">
      <c r="A36" s="2"/>
      <c r="B36" s="5"/>
      <c r="C36" s="2"/>
      <c r="D36" s="2"/>
      <c r="E36" s="2"/>
      <c r="F36" s="2"/>
      <c r="G36" s="2"/>
      <c r="H36" s="2"/>
      <c r="I36" s="2"/>
      <c r="J36" s="2"/>
      <c r="K36" s="2"/>
      <c r="L36" s="2"/>
      <c r="M36" s="2"/>
      <c r="N36" s="2"/>
      <c r="O36" s="2"/>
      <c r="P36" s="2"/>
      <c r="Q36" s="2"/>
      <c r="R36" s="2"/>
      <c r="U36" s="6"/>
    </row>
    <row r="37" spans="1:21" s="69" customFormat="1" ht="15" x14ac:dyDescent="0.25">
      <c r="A37" s="2"/>
      <c r="B37" s="5"/>
      <c r="C37" s="2" t="s">
        <v>475</v>
      </c>
      <c r="D37" s="2"/>
      <c r="E37" s="2"/>
      <c r="F37" s="2"/>
      <c r="G37" s="2"/>
      <c r="H37" s="2"/>
      <c r="I37" s="2"/>
      <c r="J37" s="2"/>
      <c r="K37" s="2"/>
      <c r="L37" s="2"/>
      <c r="M37" s="2"/>
      <c r="N37" s="2"/>
      <c r="O37" s="2"/>
      <c r="P37" s="2"/>
      <c r="Q37" s="2"/>
      <c r="R37" s="2"/>
      <c r="U37" s="6"/>
    </row>
    <row r="38" spans="1:21" s="69" customFormat="1" ht="33.75" customHeight="1" x14ac:dyDescent="0.25">
      <c r="A38" s="2"/>
      <c r="B38" s="5"/>
      <c r="C38" s="1056" t="s">
        <v>476</v>
      </c>
      <c r="D38" s="1056"/>
      <c r="E38" s="1056"/>
      <c r="F38" s="1056"/>
      <c r="G38" s="1056"/>
      <c r="H38" s="1056"/>
      <c r="I38" s="1056"/>
      <c r="J38" s="1056"/>
      <c r="K38" s="1056"/>
      <c r="L38" s="1056"/>
      <c r="M38" s="1056"/>
      <c r="N38" s="1056"/>
      <c r="O38" s="1056"/>
      <c r="P38" s="1056"/>
      <c r="Q38" s="1056"/>
      <c r="R38" s="1056"/>
      <c r="S38" s="1056"/>
      <c r="U38" s="6"/>
    </row>
    <row r="39" spans="1:21" s="69" customFormat="1" ht="15" x14ac:dyDescent="0.25">
      <c r="A39" s="2"/>
      <c r="B39" s="5"/>
      <c r="C39" s="2"/>
      <c r="D39" s="2"/>
      <c r="E39" s="2"/>
      <c r="F39" s="2"/>
      <c r="G39" s="2"/>
      <c r="H39" s="2"/>
      <c r="I39" s="2"/>
      <c r="J39" s="2"/>
      <c r="K39" s="2"/>
      <c r="L39" s="2"/>
      <c r="M39" s="2"/>
      <c r="N39" s="2"/>
      <c r="O39" s="2"/>
      <c r="P39" s="2"/>
      <c r="Q39" s="2"/>
      <c r="R39" s="2"/>
      <c r="U39" s="6"/>
    </row>
    <row r="40" spans="1:21" s="69" customFormat="1" ht="15" x14ac:dyDescent="0.25">
      <c r="A40" s="2"/>
      <c r="B40" s="5"/>
      <c r="C40" s="2"/>
      <c r="D40" s="2"/>
      <c r="E40" s="2"/>
      <c r="F40" s="2"/>
      <c r="G40" s="2"/>
      <c r="H40" s="2"/>
      <c r="I40" s="2"/>
      <c r="J40" s="2"/>
      <c r="K40" s="2"/>
      <c r="L40" s="2"/>
      <c r="M40" s="2"/>
      <c r="N40" s="2"/>
      <c r="O40" s="2"/>
      <c r="P40" s="2"/>
      <c r="Q40" s="2"/>
      <c r="R40" s="2"/>
      <c r="U40" s="6"/>
    </row>
    <row r="41" spans="1:21" s="69" customFormat="1" ht="15" customHeight="1" x14ac:dyDescent="0.25">
      <c r="A41" s="2"/>
      <c r="B41" s="5"/>
      <c r="C41" s="2"/>
      <c r="D41" s="2"/>
      <c r="E41" s="649" t="s">
        <v>477</v>
      </c>
      <c r="F41" s="655"/>
      <c r="G41" s="655"/>
      <c r="H41" s="714"/>
      <c r="I41" s="746" t="str">
        <f>INDEX(Locations, selection)</f>
        <v>Kingston Buci</v>
      </c>
      <c r="J41" s="747"/>
      <c r="K41" s="637" t="str">
        <f>INDEX(Locations, selection2)</f>
        <v>Stepping Stones</v>
      </c>
      <c r="L41" s="637"/>
      <c r="M41" s="708" t="s">
        <v>292</v>
      </c>
      <c r="N41" s="708"/>
      <c r="O41" s="2"/>
      <c r="P41" s="2"/>
      <c r="Q41" s="2"/>
      <c r="R41" s="2"/>
      <c r="U41" s="6"/>
    </row>
    <row r="42" spans="1:21" s="69" customFormat="1" ht="15" x14ac:dyDescent="0.25">
      <c r="A42" s="2"/>
      <c r="B42" s="5"/>
      <c r="C42" s="2"/>
      <c r="D42" s="2"/>
      <c r="E42" s="650"/>
      <c r="F42" s="656"/>
      <c r="G42" s="656"/>
      <c r="H42" s="715"/>
      <c r="I42" s="748"/>
      <c r="J42" s="749"/>
      <c r="K42" s="637"/>
      <c r="L42" s="637"/>
      <c r="M42" s="708"/>
      <c r="N42" s="708"/>
      <c r="O42" s="2"/>
      <c r="P42" s="2"/>
      <c r="Q42" s="2"/>
      <c r="R42" s="2"/>
      <c r="U42" s="6"/>
    </row>
    <row r="43" spans="1:21" s="69" customFormat="1" ht="15" x14ac:dyDescent="0.25">
      <c r="A43" s="2"/>
      <c r="B43" s="5"/>
      <c r="C43" s="2"/>
      <c r="D43" s="2"/>
      <c r="E43" s="651"/>
      <c r="F43" s="657"/>
      <c r="G43" s="657"/>
      <c r="H43" s="716"/>
      <c r="I43" s="750"/>
      <c r="J43" s="751"/>
      <c r="K43" s="637"/>
      <c r="L43" s="637"/>
      <c r="M43" s="708"/>
      <c r="N43" s="708"/>
      <c r="O43" s="2"/>
      <c r="P43" s="2"/>
      <c r="Q43" s="2"/>
      <c r="R43" s="2"/>
      <c r="U43" s="6"/>
    </row>
    <row r="44" spans="1:21" s="69" customFormat="1" ht="15" x14ac:dyDescent="0.25">
      <c r="A44" s="2"/>
      <c r="B44" s="5"/>
      <c r="C44" s="2"/>
      <c r="D44" s="2"/>
      <c r="E44" s="1037" t="s">
        <v>478</v>
      </c>
      <c r="F44" s="1038"/>
      <c r="G44" s="1038"/>
      <c r="H44" s="1039"/>
      <c r="I44" s="1036">
        <f t="shared" ref="I44:I49" si="2">IF(HLOOKUP($E44, YoungMums, selection+1, FALSE) = "", "", HLOOKUP($E44,YoungMums, selection+1, FALSE))</f>
        <v>8</v>
      </c>
      <c r="J44" s="1057"/>
      <c r="K44" s="1036">
        <f t="shared" ref="K44:K49" si="3">IF(HLOOKUP($E44, YoungMums, selection2+1, FALSE) = "", "", HLOOKUP($E44,YoungMums, selection2+1, FALSE))</f>
        <v>9</v>
      </c>
      <c r="L44" s="1057"/>
      <c r="M44" s="1036">
        <f>Data!CV76</f>
        <v>456</v>
      </c>
      <c r="N44" s="1057"/>
      <c r="O44" s="2"/>
      <c r="P44" s="2"/>
      <c r="Q44" s="2"/>
      <c r="R44" s="2"/>
      <c r="U44" s="6"/>
    </row>
    <row r="45" spans="1:21" s="69" customFormat="1" ht="15" x14ac:dyDescent="0.25">
      <c r="A45" s="2"/>
      <c r="B45" s="5"/>
      <c r="C45" s="2"/>
      <c r="D45" s="2"/>
      <c r="E45" s="1037" t="s">
        <v>479</v>
      </c>
      <c r="F45" s="1038"/>
      <c r="G45" s="1038"/>
      <c r="H45" s="1039"/>
      <c r="I45" s="1036">
        <f t="shared" si="2"/>
        <v>5</v>
      </c>
      <c r="J45" s="1057"/>
      <c r="K45" s="1036">
        <f t="shared" si="3"/>
        <v>8</v>
      </c>
      <c r="L45" s="1057"/>
      <c r="M45" s="1036">
        <f>Data!CW76</f>
        <v>399</v>
      </c>
      <c r="N45" s="1057"/>
      <c r="O45" s="2"/>
      <c r="P45" s="2"/>
      <c r="Q45" s="2"/>
      <c r="R45" s="2"/>
      <c r="U45" s="6"/>
    </row>
    <row r="46" spans="1:21" s="69" customFormat="1" ht="15" x14ac:dyDescent="0.25">
      <c r="A46" s="2"/>
      <c r="B46" s="5"/>
      <c r="C46" s="2"/>
      <c r="D46" s="2"/>
      <c r="E46" s="1037" t="s">
        <v>480</v>
      </c>
      <c r="F46" s="1038"/>
      <c r="G46" s="1038"/>
      <c r="H46" s="1039"/>
      <c r="I46" s="1036">
        <f t="shared" si="2"/>
        <v>7</v>
      </c>
      <c r="J46" s="1057"/>
      <c r="K46" s="1036">
        <f t="shared" si="3"/>
        <v>5</v>
      </c>
      <c r="L46" s="1057"/>
      <c r="M46" s="1036">
        <f>Data!CX76</f>
        <v>367</v>
      </c>
      <c r="N46" s="1057"/>
      <c r="O46" s="2"/>
      <c r="P46" s="2"/>
      <c r="Q46" s="2"/>
      <c r="R46" s="2"/>
      <c r="U46" s="6"/>
    </row>
    <row r="47" spans="1:21" s="69" customFormat="1" ht="15" x14ac:dyDescent="0.25">
      <c r="A47" s="2"/>
      <c r="B47" s="5"/>
      <c r="C47" s="2"/>
      <c r="D47" s="2"/>
      <c r="E47" s="1037" t="s">
        <v>481</v>
      </c>
      <c r="F47" s="1038"/>
      <c r="G47" s="1038"/>
      <c r="H47" s="1039"/>
      <c r="I47" s="1036">
        <f t="shared" si="2"/>
        <v>4</v>
      </c>
      <c r="J47" s="1057"/>
      <c r="K47" s="1036">
        <f t="shared" si="3"/>
        <v>7</v>
      </c>
      <c r="L47" s="1057"/>
      <c r="M47" s="1036">
        <f>Data!CY76</f>
        <v>345</v>
      </c>
      <c r="N47" s="1057"/>
      <c r="O47" s="2"/>
      <c r="P47" s="2"/>
      <c r="Q47" s="2"/>
      <c r="R47" s="2"/>
      <c r="U47" s="6"/>
    </row>
    <row r="48" spans="1:21" s="69" customFormat="1" ht="15" x14ac:dyDescent="0.25">
      <c r="A48" s="2"/>
      <c r="B48" s="5"/>
      <c r="C48" s="2"/>
      <c r="D48" s="2"/>
      <c r="E48" s="1037" t="s">
        <v>482</v>
      </c>
      <c r="F48" s="1038"/>
      <c r="G48" s="1038"/>
      <c r="H48" s="1039"/>
      <c r="I48" s="1036">
        <f t="shared" si="2"/>
        <v>6</v>
      </c>
      <c r="J48" s="1057"/>
      <c r="K48" s="1036">
        <f t="shared" si="3"/>
        <v>7</v>
      </c>
      <c r="L48" s="1057"/>
      <c r="M48" s="1036">
        <f>Data!CZ76</f>
        <v>331</v>
      </c>
      <c r="N48" s="1057"/>
      <c r="O48" s="2"/>
      <c r="P48" s="2"/>
      <c r="Q48" s="2"/>
      <c r="R48" s="2"/>
      <c r="U48" s="6"/>
    </row>
    <row r="49" spans="1:21" s="69" customFormat="1" ht="15" x14ac:dyDescent="0.25">
      <c r="A49" s="2"/>
      <c r="B49" s="5"/>
      <c r="C49" s="2"/>
      <c r="D49" s="2"/>
      <c r="E49" s="1037" t="s">
        <v>483</v>
      </c>
      <c r="F49" s="1038"/>
      <c r="G49" s="1038"/>
      <c r="H49" s="1039"/>
      <c r="I49" s="1036" t="str">
        <f t="shared" si="2"/>
        <v>-</v>
      </c>
      <c r="J49" s="1057"/>
      <c r="K49" s="1036" t="str">
        <f t="shared" si="3"/>
        <v>-</v>
      </c>
      <c r="L49" s="1057"/>
      <c r="M49" s="1036">
        <f>Data!DA76</f>
        <v>240</v>
      </c>
      <c r="N49" s="1057"/>
      <c r="O49" s="2"/>
      <c r="P49" s="2"/>
      <c r="Q49" s="2"/>
      <c r="R49" s="2"/>
      <c r="U49" s="6"/>
    </row>
    <row r="50" spans="1:21" s="69" customFormat="1" ht="15" x14ac:dyDescent="0.25">
      <c r="A50" s="103"/>
      <c r="B50" s="5"/>
      <c r="C50" s="103"/>
      <c r="D50" s="103"/>
      <c r="E50" s="130"/>
      <c r="F50" s="130"/>
      <c r="G50" s="130"/>
      <c r="H50" s="130"/>
      <c r="I50" s="131"/>
      <c r="J50" s="131"/>
      <c r="K50" s="1061"/>
      <c r="L50" s="1061"/>
      <c r="M50" s="132"/>
      <c r="N50" s="131"/>
      <c r="O50" s="103"/>
      <c r="P50" s="103"/>
      <c r="Q50" s="103"/>
      <c r="R50" s="103"/>
      <c r="U50" s="6"/>
    </row>
    <row r="51" spans="1:21" s="69" customFormat="1" ht="15" x14ac:dyDescent="0.25">
      <c r="A51" s="103"/>
      <c r="B51" s="5"/>
      <c r="C51" s="103"/>
      <c r="D51" s="103"/>
      <c r="E51" s="130"/>
      <c r="F51" s="130"/>
      <c r="G51" s="130"/>
      <c r="H51" s="130"/>
      <c r="I51" s="131"/>
      <c r="J51" s="131"/>
      <c r="K51" s="131"/>
      <c r="L51" s="131"/>
      <c r="M51" s="132"/>
      <c r="N51" s="131"/>
      <c r="O51" s="103"/>
      <c r="P51" s="103"/>
      <c r="Q51" s="103"/>
      <c r="R51" s="103"/>
      <c r="U51" s="6"/>
    </row>
    <row r="52" spans="1:21" s="69" customFormat="1" ht="15" x14ac:dyDescent="0.25">
      <c r="A52" s="103"/>
      <c r="B52" s="5"/>
      <c r="C52" s="103"/>
      <c r="D52" s="103"/>
      <c r="E52" s="130"/>
      <c r="F52" s="144"/>
      <c r="G52" s="144"/>
      <c r="H52" s="144"/>
      <c r="I52" s="145"/>
      <c r="J52" s="145"/>
      <c r="K52" s="145"/>
      <c r="L52" s="131"/>
      <c r="M52" s="132"/>
      <c r="N52" s="131"/>
      <c r="O52" s="103"/>
      <c r="P52" s="103"/>
      <c r="Q52" s="103"/>
      <c r="R52" s="103"/>
      <c r="U52" s="6"/>
    </row>
    <row r="53" spans="1:21" s="69" customFormat="1" ht="15" x14ac:dyDescent="0.25">
      <c r="A53" s="103"/>
      <c r="B53" s="5"/>
      <c r="C53" s="103"/>
      <c r="D53" s="103"/>
      <c r="E53" s="130"/>
      <c r="F53" s="144"/>
      <c r="G53" s="1045" t="str">
        <f>I41</f>
        <v>Kingston Buci</v>
      </c>
      <c r="H53" s="1045"/>
      <c r="I53" s="1045" t="str">
        <f>K41</f>
        <v>Stepping Stones</v>
      </c>
      <c r="J53" s="1045"/>
      <c r="K53" s="145"/>
      <c r="L53" s="131"/>
      <c r="M53" s="132"/>
      <c r="N53" s="131"/>
      <c r="O53" s="103"/>
      <c r="P53" s="103"/>
      <c r="Q53" s="103"/>
      <c r="R53" s="103"/>
      <c r="U53" s="6"/>
    </row>
    <row r="54" spans="1:21" s="69" customFormat="1" ht="15" x14ac:dyDescent="0.25">
      <c r="A54" s="103"/>
      <c r="B54" s="5"/>
      <c r="C54" s="103"/>
      <c r="D54" s="103"/>
      <c r="E54" s="130"/>
      <c r="F54" s="144"/>
      <c r="G54" s="73" t="s">
        <v>487</v>
      </c>
      <c r="H54" s="73" t="s">
        <v>488</v>
      </c>
      <c r="I54" s="73" t="s">
        <v>487</v>
      </c>
      <c r="J54" s="73" t="s">
        <v>488</v>
      </c>
      <c r="K54" s="145"/>
      <c r="L54" s="131"/>
      <c r="M54" s="132"/>
      <c r="N54" s="131"/>
      <c r="O54" s="103"/>
      <c r="P54" s="103"/>
      <c r="Q54" s="103"/>
      <c r="R54" s="103"/>
      <c r="U54" s="6"/>
    </row>
    <row r="55" spans="1:21" s="69" customFormat="1" ht="15" x14ac:dyDescent="0.25">
      <c r="A55" s="103"/>
      <c r="B55" s="5"/>
      <c r="C55" s="103"/>
      <c r="D55" s="103"/>
      <c r="E55" s="130"/>
      <c r="F55" s="144">
        <v>2009</v>
      </c>
      <c r="G55" s="146">
        <f>I44/I25</f>
        <v>5.2980132450331126E-2</v>
      </c>
      <c r="H55" s="147">
        <f>1-G55</f>
        <v>0.94701986754966883</v>
      </c>
      <c r="I55" s="148">
        <f>K44/K25</f>
        <v>8.4905660377358486E-2</v>
      </c>
      <c r="J55" s="149">
        <f>1-I55</f>
        <v>0.91509433962264153</v>
      </c>
      <c r="K55" s="145"/>
      <c r="L55" s="131"/>
      <c r="M55" s="132"/>
      <c r="N55" s="131"/>
      <c r="O55" s="103"/>
      <c r="P55" s="103"/>
      <c r="Q55" s="103"/>
      <c r="R55" s="103"/>
      <c r="U55" s="6"/>
    </row>
    <row r="56" spans="1:21" s="69" customFormat="1" ht="15" x14ac:dyDescent="0.25">
      <c r="A56" s="103"/>
      <c r="B56" s="5"/>
      <c r="C56" s="103"/>
      <c r="D56" s="103"/>
      <c r="E56" s="130"/>
      <c r="F56" s="144">
        <v>2010</v>
      </c>
      <c r="G56" s="146">
        <f t="shared" ref="G56:G59" si="4">I45/I26</f>
        <v>2.9940119760479042E-2</v>
      </c>
      <c r="H56" s="147">
        <f t="shared" ref="H56:H59" si="5">1-G56</f>
        <v>0.97005988023952094</v>
      </c>
      <c r="I56" s="148">
        <f t="shared" ref="I56:I59" si="6">K45/K26</f>
        <v>6.2992125984251968E-2</v>
      </c>
      <c r="J56" s="149">
        <f t="shared" ref="J56:J59" si="7">1-I56</f>
        <v>0.93700787401574803</v>
      </c>
      <c r="K56" s="145"/>
      <c r="L56" s="131"/>
      <c r="M56" s="132"/>
      <c r="N56" s="131"/>
      <c r="O56" s="103"/>
      <c r="P56" s="103"/>
      <c r="Q56" s="103"/>
      <c r="R56" s="103"/>
      <c r="U56" s="6"/>
    </row>
    <row r="57" spans="1:21" s="69" customFormat="1" ht="15" x14ac:dyDescent="0.25">
      <c r="A57" s="103"/>
      <c r="B57" s="5"/>
      <c r="C57" s="103"/>
      <c r="D57" s="103"/>
      <c r="E57" s="130"/>
      <c r="F57" s="144">
        <v>2011</v>
      </c>
      <c r="G57" s="146">
        <f t="shared" si="4"/>
        <v>4.1666666666666664E-2</v>
      </c>
      <c r="H57" s="147">
        <f t="shared" si="5"/>
        <v>0.95833333333333337</v>
      </c>
      <c r="I57" s="148">
        <f t="shared" si="6"/>
        <v>4.716981132075472E-2</v>
      </c>
      <c r="J57" s="149">
        <f t="shared" si="7"/>
        <v>0.95283018867924529</v>
      </c>
      <c r="K57" s="145"/>
      <c r="L57" s="131"/>
      <c r="M57" s="132"/>
      <c r="N57" s="131"/>
      <c r="O57" s="103"/>
      <c r="P57" s="103"/>
      <c r="Q57" s="103"/>
      <c r="R57" s="103"/>
      <c r="U57" s="6"/>
    </row>
    <row r="58" spans="1:21" s="69" customFormat="1" ht="15" x14ac:dyDescent="0.25">
      <c r="A58" s="103"/>
      <c r="B58" s="5"/>
      <c r="C58" s="103"/>
      <c r="D58" s="103"/>
      <c r="E58" s="130"/>
      <c r="F58" s="144">
        <v>2012</v>
      </c>
      <c r="G58" s="146">
        <f t="shared" si="4"/>
        <v>2.247191011235955E-2</v>
      </c>
      <c r="H58" s="147">
        <f t="shared" si="5"/>
        <v>0.97752808988764039</v>
      </c>
      <c r="I58" s="148">
        <f t="shared" si="6"/>
        <v>5.0724637681159424E-2</v>
      </c>
      <c r="J58" s="149">
        <f t="shared" si="7"/>
        <v>0.94927536231884058</v>
      </c>
      <c r="K58" s="145"/>
      <c r="L58" s="131"/>
      <c r="M58" s="132"/>
      <c r="N58" s="131"/>
      <c r="O58" s="103"/>
      <c r="P58" s="103"/>
      <c r="Q58" s="103"/>
      <c r="R58" s="103"/>
      <c r="U58" s="6"/>
    </row>
    <row r="59" spans="1:21" s="69" customFormat="1" ht="15" x14ac:dyDescent="0.25">
      <c r="A59" s="103"/>
      <c r="B59" s="5"/>
      <c r="C59" s="103"/>
      <c r="D59" s="103"/>
      <c r="E59" s="130"/>
      <c r="F59" s="144">
        <v>2013</v>
      </c>
      <c r="G59" s="146">
        <f t="shared" si="4"/>
        <v>2.9702970297029702E-2</v>
      </c>
      <c r="H59" s="147">
        <f t="shared" si="5"/>
        <v>0.97029702970297027</v>
      </c>
      <c r="I59" s="148">
        <f t="shared" si="6"/>
        <v>6.0869565217391307E-2</v>
      </c>
      <c r="J59" s="149">
        <f t="shared" si="7"/>
        <v>0.93913043478260871</v>
      </c>
      <c r="K59" s="145"/>
      <c r="L59" s="131"/>
      <c r="M59" s="132"/>
      <c r="N59" s="131"/>
      <c r="O59" s="103"/>
      <c r="P59" s="103"/>
      <c r="Q59" s="103"/>
      <c r="R59" s="103"/>
      <c r="U59" s="6"/>
    </row>
    <row r="60" spans="1:21" s="69" customFormat="1" ht="15" x14ac:dyDescent="0.25">
      <c r="A60" s="103"/>
      <c r="B60" s="5"/>
      <c r="C60" s="103"/>
      <c r="D60" s="103"/>
      <c r="E60" s="130"/>
      <c r="F60" s="130"/>
      <c r="G60" s="130"/>
      <c r="H60" s="130"/>
      <c r="I60" s="131"/>
      <c r="J60" s="131"/>
      <c r="K60" s="131"/>
      <c r="L60" s="131"/>
      <c r="M60" s="132"/>
      <c r="N60" s="131"/>
      <c r="O60" s="103"/>
      <c r="P60" s="103"/>
      <c r="Q60" s="103"/>
      <c r="R60" s="103"/>
      <c r="U60" s="6"/>
    </row>
    <row r="61" spans="1:21" s="69" customFormat="1" ht="15" x14ac:dyDescent="0.25">
      <c r="A61" s="103"/>
      <c r="B61" s="5"/>
      <c r="C61" s="103"/>
      <c r="D61" s="103"/>
      <c r="E61" s="130"/>
      <c r="F61" s="130"/>
      <c r="G61" s="130"/>
      <c r="H61" s="130"/>
      <c r="I61" s="131"/>
      <c r="J61" s="131"/>
      <c r="K61" s="131"/>
      <c r="L61" s="131"/>
      <c r="M61" s="132"/>
      <c r="N61" s="131"/>
      <c r="O61" s="103"/>
      <c r="P61" s="103"/>
      <c r="Q61" s="103"/>
      <c r="R61" s="103"/>
      <c r="U61" s="6"/>
    </row>
    <row r="62" spans="1:21" s="69" customFormat="1" ht="15" x14ac:dyDescent="0.25">
      <c r="A62" s="103"/>
      <c r="B62" s="5"/>
      <c r="C62" s="103"/>
      <c r="D62" s="103"/>
      <c r="E62" s="130"/>
      <c r="F62" s="130"/>
      <c r="G62" s="130"/>
      <c r="H62" s="130"/>
      <c r="I62" s="131"/>
      <c r="J62" s="131"/>
      <c r="K62" s="131"/>
      <c r="L62" s="131"/>
      <c r="M62" s="132"/>
      <c r="N62" s="131"/>
      <c r="O62" s="103"/>
      <c r="P62" s="103"/>
      <c r="Q62" s="103"/>
      <c r="R62" s="103"/>
      <c r="U62" s="6"/>
    </row>
    <row r="63" spans="1:21" s="69" customFormat="1" ht="15" x14ac:dyDescent="0.25">
      <c r="A63" s="103"/>
      <c r="B63" s="5"/>
      <c r="C63" s="103"/>
      <c r="D63" s="103"/>
      <c r="E63" s="130"/>
      <c r="F63" s="130"/>
      <c r="G63" s="130"/>
      <c r="H63" s="130"/>
      <c r="I63" s="131"/>
      <c r="J63" s="131"/>
      <c r="K63" s="131"/>
      <c r="L63" s="131"/>
      <c r="M63" s="132"/>
      <c r="N63" s="131"/>
      <c r="O63" s="103"/>
      <c r="P63" s="103"/>
      <c r="Q63" s="103"/>
      <c r="R63" s="103"/>
      <c r="U63" s="6"/>
    </row>
    <row r="64" spans="1:21" s="69" customFormat="1" ht="15" x14ac:dyDescent="0.25">
      <c r="A64" s="103"/>
      <c r="B64" s="5"/>
      <c r="C64" s="103"/>
      <c r="D64" s="103"/>
      <c r="E64" s="130"/>
      <c r="F64" s="130"/>
      <c r="G64" s="130"/>
      <c r="H64" s="130"/>
      <c r="I64" s="131"/>
      <c r="J64" s="131"/>
      <c r="K64" s="131"/>
      <c r="L64" s="131"/>
      <c r="M64" s="132"/>
      <c r="N64" s="131"/>
      <c r="O64" s="103"/>
      <c r="P64" s="103"/>
      <c r="Q64" s="103"/>
      <c r="R64" s="103"/>
      <c r="U64" s="6"/>
    </row>
    <row r="65" spans="1:21" s="69" customFormat="1" ht="15" x14ac:dyDescent="0.25">
      <c r="A65" s="103"/>
      <c r="B65" s="5"/>
      <c r="C65" s="5"/>
      <c r="D65" s="5"/>
      <c r="E65" s="150"/>
      <c r="F65" s="150"/>
      <c r="G65" s="150"/>
      <c r="H65" s="150"/>
      <c r="I65" s="151"/>
      <c r="J65" s="151"/>
      <c r="K65" s="151"/>
      <c r="L65" s="151"/>
      <c r="M65" s="152"/>
      <c r="N65" s="151"/>
      <c r="O65" s="5"/>
      <c r="P65" s="5"/>
      <c r="Q65" s="5"/>
      <c r="R65" s="5"/>
      <c r="S65" s="6"/>
      <c r="T65" s="6"/>
      <c r="U65" s="6"/>
    </row>
    <row r="66" spans="1:21" s="69" customFormat="1" ht="15" x14ac:dyDescent="0.25">
      <c r="A66" s="103"/>
      <c r="B66" s="5"/>
      <c r="C66" s="5"/>
      <c r="D66" s="5"/>
      <c r="E66" s="150"/>
      <c r="F66" s="150"/>
      <c r="G66" s="150"/>
      <c r="H66" s="150"/>
      <c r="I66" s="151"/>
      <c r="J66" s="151"/>
      <c r="K66" s="151"/>
      <c r="L66" s="151"/>
      <c r="M66" s="152"/>
      <c r="N66" s="151"/>
      <c r="O66" s="5"/>
      <c r="P66" s="5"/>
      <c r="Q66" s="5"/>
      <c r="R66" s="5"/>
      <c r="S66" s="6"/>
      <c r="T66" s="6"/>
      <c r="U66" s="6"/>
    </row>
    <row r="67" spans="1:21" s="69" customFormat="1" ht="15" x14ac:dyDescent="0.25">
      <c r="A67" s="103"/>
      <c r="B67" s="5"/>
      <c r="C67" s="103"/>
      <c r="D67" s="103"/>
      <c r="E67" s="130"/>
      <c r="F67" s="130"/>
      <c r="G67" s="130"/>
      <c r="H67" s="130"/>
      <c r="I67" s="131"/>
      <c r="J67" s="131"/>
      <c r="K67" s="131"/>
      <c r="L67" s="131"/>
      <c r="M67" s="132"/>
      <c r="N67" s="131"/>
      <c r="O67" s="103"/>
      <c r="P67" s="103"/>
      <c r="Q67" s="103"/>
      <c r="R67" s="103"/>
      <c r="U67" s="6"/>
    </row>
    <row r="68" spans="1:21" s="69" customFormat="1" ht="15" x14ac:dyDescent="0.25">
      <c r="A68" s="103"/>
      <c r="B68" s="5"/>
      <c r="C68" s="103"/>
      <c r="D68" s="103"/>
      <c r="E68" s="130"/>
      <c r="F68" s="130"/>
      <c r="G68" s="130"/>
      <c r="H68" s="130"/>
      <c r="I68" s="131"/>
      <c r="J68" s="131"/>
      <c r="K68" s="131"/>
      <c r="L68" s="131"/>
      <c r="M68" s="132"/>
      <c r="N68" s="131"/>
      <c r="O68" s="103"/>
      <c r="P68" s="103"/>
      <c r="Q68" s="103"/>
      <c r="R68" s="103"/>
      <c r="U68" s="6"/>
    </row>
    <row r="69" spans="1:21" s="69" customFormat="1" ht="15" x14ac:dyDescent="0.25">
      <c r="A69" s="103"/>
      <c r="B69" s="5"/>
      <c r="C69" s="103" t="s">
        <v>489</v>
      </c>
      <c r="D69" s="103"/>
      <c r="E69" s="130"/>
      <c r="F69" s="130"/>
      <c r="G69" s="130"/>
      <c r="H69" s="130"/>
      <c r="I69" s="131"/>
      <c r="J69" s="131"/>
      <c r="K69" s="131"/>
      <c r="L69" s="131"/>
      <c r="M69" s="132"/>
      <c r="N69" s="131"/>
      <c r="O69" s="103"/>
      <c r="P69" s="103"/>
      <c r="Q69" s="103"/>
      <c r="R69" s="103"/>
      <c r="U69" s="6"/>
    </row>
    <row r="70" spans="1:21" s="69" customFormat="1" ht="15" x14ac:dyDescent="0.25">
      <c r="A70" s="103"/>
      <c r="B70" s="5"/>
      <c r="C70" s="103"/>
      <c r="D70" s="103"/>
      <c r="E70" s="130"/>
      <c r="F70" s="130"/>
      <c r="G70" s="130"/>
      <c r="H70" s="130"/>
      <c r="I70" s="131"/>
      <c r="J70" s="131"/>
      <c r="K70" s="131"/>
      <c r="L70" s="131"/>
      <c r="M70" s="132"/>
      <c r="N70" s="131"/>
      <c r="O70" s="103"/>
      <c r="P70" s="103"/>
      <c r="Q70" s="103"/>
      <c r="R70" s="103"/>
      <c r="U70" s="6"/>
    </row>
    <row r="71" spans="1:21" s="69" customFormat="1" ht="15" x14ac:dyDescent="0.25">
      <c r="A71" s="103"/>
      <c r="B71" s="5"/>
      <c r="C71" s="103"/>
      <c r="D71" s="103"/>
      <c r="E71" s="130"/>
      <c r="F71" s="130"/>
      <c r="G71" s="130"/>
      <c r="H71" s="130"/>
      <c r="I71" s="131"/>
      <c r="J71" s="131"/>
      <c r="K71" s="131"/>
      <c r="L71" s="131"/>
      <c r="M71" s="132"/>
      <c r="N71" s="131"/>
      <c r="O71" s="103"/>
      <c r="P71" s="103"/>
      <c r="Q71" s="103"/>
      <c r="R71" s="103"/>
      <c r="U71" s="6"/>
    </row>
    <row r="72" spans="1:21" s="69" customFormat="1" ht="15" x14ac:dyDescent="0.25">
      <c r="A72" s="103"/>
      <c r="B72" s="5"/>
      <c r="C72" s="103"/>
      <c r="D72" s="103"/>
      <c r="E72" s="130"/>
      <c r="F72" s="130"/>
      <c r="G72" s="130"/>
      <c r="H72" s="130"/>
      <c r="I72" s="131"/>
      <c r="J72" s="131"/>
      <c r="K72" s="131"/>
      <c r="L72" s="131"/>
      <c r="M72" s="132"/>
      <c r="N72" s="131"/>
      <c r="O72" s="103"/>
      <c r="P72" s="103"/>
      <c r="Q72" s="103"/>
      <c r="R72" s="103"/>
      <c r="U72" s="6"/>
    </row>
    <row r="73" spans="1:21" s="69" customFormat="1" ht="15" x14ac:dyDescent="0.25">
      <c r="A73" s="103"/>
      <c r="B73" s="5"/>
      <c r="C73" s="103"/>
      <c r="D73" s="103"/>
      <c r="E73" s="130"/>
      <c r="F73" s="130"/>
      <c r="G73" s="130"/>
      <c r="H73" s="130"/>
      <c r="I73" s="131"/>
      <c r="J73" s="131"/>
      <c r="K73" s="131"/>
      <c r="L73" s="131"/>
      <c r="M73" s="132"/>
      <c r="N73" s="131"/>
      <c r="O73" s="103"/>
      <c r="P73" s="103"/>
      <c r="Q73" s="103"/>
      <c r="R73" s="103"/>
      <c r="U73" s="6"/>
    </row>
    <row r="74" spans="1:21" s="69" customFormat="1" ht="15" x14ac:dyDescent="0.25">
      <c r="A74" s="103"/>
      <c r="B74" s="5"/>
      <c r="C74" s="103"/>
      <c r="D74" s="103"/>
      <c r="E74" s="130"/>
      <c r="F74" s="130"/>
      <c r="G74" s="130"/>
      <c r="H74" s="130"/>
      <c r="I74" s="131"/>
      <c r="J74" s="131"/>
      <c r="K74" s="131"/>
      <c r="L74" s="131"/>
      <c r="M74" s="132"/>
      <c r="N74" s="131"/>
      <c r="O74" s="103"/>
      <c r="P74" s="103"/>
      <c r="Q74" s="103"/>
      <c r="R74" s="103"/>
      <c r="U74" s="6"/>
    </row>
    <row r="75" spans="1:21" s="69" customFormat="1" ht="36" customHeight="1" x14ac:dyDescent="0.25">
      <c r="A75" s="103"/>
      <c r="B75" s="5"/>
      <c r="C75" s="913" t="s">
        <v>492</v>
      </c>
      <c r="D75" s="913"/>
      <c r="E75" s="913"/>
      <c r="F75" s="913"/>
      <c r="G75" s="913"/>
      <c r="H75" s="913"/>
      <c r="I75" s="913"/>
      <c r="J75" s="913"/>
      <c r="K75" s="913"/>
      <c r="L75" s="913"/>
      <c r="M75" s="913"/>
      <c r="N75" s="913"/>
      <c r="O75" s="913"/>
      <c r="P75" s="913"/>
      <c r="Q75" s="913"/>
      <c r="R75" s="913"/>
      <c r="S75" s="913"/>
      <c r="U75" s="6"/>
    </row>
    <row r="76" spans="1:21" s="69" customFormat="1" ht="15" x14ac:dyDescent="0.25">
      <c r="A76" s="103"/>
      <c r="B76" s="5"/>
      <c r="C76" s="103"/>
      <c r="D76" s="103"/>
      <c r="E76" s="130"/>
      <c r="F76" s="130"/>
      <c r="G76" s="130"/>
      <c r="H76" s="130"/>
      <c r="I76" s="131"/>
      <c r="J76" s="131"/>
      <c r="K76" s="131"/>
      <c r="L76" s="131"/>
      <c r="M76" s="132"/>
      <c r="N76" s="131"/>
      <c r="O76" s="103"/>
      <c r="P76" s="103"/>
      <c r="Q76" s="103"/>
      <c r="R76" s="103"/>
      <c r="U76" s="6"/>
    </row>
    <row r="77" spans="1:21" s="69" customFormat="1" ht="15" x14ac:dyDescent="0.25">
      <c r="A77" s="103"/>
      <c r="B77" s="5"/>
      <c r="C77" s="103"/>
      <c r="D77" s="103"/>
      <c r="E77" s="130"/>
      <c r="F77" s="130"/>
      <c r="G77" s="649" t="s">
        <v>493</v>
      </c>
      <c r="H77" s="655"/>
      <c r="I77" s="655"/>
      <c r="J77" s="714"/>
      <c r="K77" s="746" t="str">
        <f>INDEX(Locations, selection)</f>
        <v>Kingston Buci</v>
      </c>
      <c r="L77" s="747"/>
      <c r="M77" s="637" t="str">
        <f>INDEX(Locations, selection2)</f>
        <v>Stepping Stones</v>
      </c>
      <c r="N77" s="637"/>
      <c r="O77" s="1062"/>
      <c r="P77" s="1062"/>
      <c r="Q77" s="103"/>
      <c r="R77" s="103"/>
      <c r="U77" s="6"/>
    </row>
    <row r="78" spans="1:21" s="69" customFormat="1" ht="15" x14ac:dyDescent="0.25">
      <c r="A78" s="103"/>
      <c r="B78" s="5"/>
      <c r="C78" s="103"/>
      <c r="D78" s="103"/>
      <c r="E78" s="130"/>
      <c r="F78" s="130"/>
      <c r="G78" s="650"/>
      <c r="H78" s="656"/>
      <c r="I78" s="656"/>
      <c r="J78" s="715"/>
      <c r="K78" s="748"/>
      <c r="L78" s="749"/>
      <c r="M78" s="637"/>
      <c r="N78" s="637"/>
      <c r="O78" s="1062"/>
      <c r="P78" s="1062"/>
      <c r="Q78" s="103"/>
      <c r="R78" s="103"/>
      <c r="U78" s="6"/>
    </row>
    <row r="79" spans="1:21" s="69" customFormat="1" ht="15" x14ac:dyDescent="0.25">
      <c r="A79" s="103"/>
      <c r="B79" s="5"/>
      <c r="C79" s="103"/>
      <c r="D79" s="103"/>
      <c r="E79" s="130"/>
      <c r="F79" s="130"/>
      <c r="G79" s="651"/>
      <c r="H79" s="657"/>
      <c r="I79" s="657"/>
      <c r="J79" s="716"/>
      <c r="K79" s="750"/>
      <c r="L79" s="751"/>
      <c r="M79" s="637"/>
      <c r="N79" s="637"/>
      <c r="O79" s="1062"/>
      <c r="P79" s="1062"/>
      <c r="Q79" s="103"/>
      <c r="R79" s="103"/>
      <c r="U79" s="6"/>
    </row>
    <row r="80" spans="1:21" s="69" customFormat="1" ht="15" x14ac:dyDescent="0.25">
      <c r="A80" s="103"/>
      <c r="B80" s="5"/>
      <c r="C80" s="103"/>
      <c r="D80" s="103"/>
      <c r="E80" s="130"/>
      <c r="F80" s="130"/>
      <c r="G80" s="1037" t="s">
        <v>490</v>
      </c>
      <c r="H80" s="1038"/>
      <c r="I80" s="1038"/>
      <c r="J80" s="1039"/>
      <c r="K80" s="823">
        <f>IF(HLOOKUP($G80, TeenMums, selection+1, FALSE) = "", "", HLOOKUP($G80,TeenMums, selection+1, FALSE))</f>
        <v>9</v>
      </c>
      <c r="L80" s="825"/>
      <c r="M80" s="823">
        <f>IF(HLOOKUP($G80, TeenMums, selection2+1, FALSE) = "", "", HLOOKUP($G80,TeenMums, selection2+1, FALSE))</f>
        <v>15</v>
      </c>
      <c r="N80" s="825"/>
      <c r="O80" s="1043"/>
      <c r="P80" s="1044"/>
      <c r="Q80" s="103"/>
      <c r="R80" s="103"/>
      <c r="U80" s="6"/>
    </row>
    <row r="81" spans="1:21" s="69" customFormat="1" ht="15" x14ac:dyDescent="0.25">
      <c r="A81" s="2"/>
      <c r="B81" s="5"/>
      <c r="C81" s="103"/>
      <c r="D81" s="103"/>
      <c r="E81" s="103"/>
      <c r="F81" s="103"/>
      <c r="G81" s="103"/>
      <c r="H81" s="103"/>
      <c r="I81" s="103"/>
      <c r="J81" s="103"/>
      <c r="K81" s="103"/>
      <c r="L81" s="103"/>
      <c r="M81" s="103"/>
      <c r="N81" s="103"/>
      <c r="O81" s="103"/>
      <c r="P81" s="103"/>
      <c r="Q81" s="103"/>
      <c r="R81" s="103"/>
      <c r="U81" s="6"/>
    </row>
    <row r="82" spans="1:21" s="69" customFormat="1" ht="15" x14ac:dyDescent="0.25">
      <c r="A82" s="103"/>
      <c r="B82" s="5"/>
      <c r="C82" s="103"/>
      <c r="D82" s="103"/>
      <c r="E82" s="103"/>
      <c r="F82" s="103"/>
      <c r="G82" s="103"/>
      <c r="H82" s="103"/>
      <c r="I82" s="103"/>
      <c r="J82" s="103"/>
      <c r="K82" s="103"/>
      <c r="L82" s="103"/>
      <c r="M82" s="103"/>
      <c r="N82" s="103"/>
      <c r="O82" s="103"/>
      <c r="P82" s="103"/>
      <c r="Q82" s="103"/>
      <c r="R82" s="103"/>
      <c r="U82" s="6"/>
    </row>
    <row r="83" spans="1:21" s="69" customFormat="1" ht="15" x14ac:dyDescent="0.25">
      <c r="A83" s="103"/>
      <c r="B83" s="5"/>
      <c r="C83" s="5"/>
      <c r="D83" s="5"/>
      <c r="E83" s="5"/>
      <c r="F83" s="5"/>
      <c r="G83" s="5"/>
      <c r="H83" s="5"/>
      <c r="I83" s="5"/>
      <c r="J83" s="5"/>
      <c r="K83" s="5"/>
      <c r="L83" s="5"/>
      <c r="M83" s="5"/>
      <c r="N83" s="5"/>
      <c r="O83" s="5"/>
      <c r="P83" s="5"/>
      <c r="Q83" s="5"/>
      <c r="R83" s="5"/>
      <c r="S83" s="6"/>
      <c r="T83" s="6"/>
      <c r="U83" s="6"/>
    </row>
    <row r="84" spans="1:21" s="69" customFormat="1" ht="15" x14ac:dyDescent="0.25">
      <c r="A84" s="2"/>
      <c r="B84" s="5"/>
      <c r="C84" s="5"/>
      <c r="D84" s="5"/>
      <c r="E84" s="5"/>
      <c r="F84" s="5"/>
      <c r="G84" s="5"/>
      <c r="H84" s="5"/>
      <c r="I84" s="5"/>
      <c r="J84" s="5"/>
      <c r="K84" s="5"/>
      <c r="L84" s="5"/>
      <c r="M84" s="5"/>
      <c r="N84" s="5"/>
      <c r="O84" s="5"/>
      <c r="P84" s="5"/>
      <c r="Q84" s="5"/>
      <c r="R84" s="5"/>
      <c r="S84" s="6"/>
      <c r="T84" s="6"/>
      <c r="U84" s="6"/>
    </row>
    <row r="85" spans="1:21" ht="15" x14ac:dyDescent="0.25">
      <c r="A85" s="2"/>
      <c r="B85" s="5"/>
      <c r="C85" s="5"/>
      <c r="D85" s="5"/>
      <c r="E85" s="5"/>
      <c r="F85" s="5"/>
      <c r="G85" s="5"/>
      <c r="H85" s="5"/>
      <c r="I85" s="5"/>
      <c r="J85" s="5"/>
      <c r="K85" s="5"/>
      <c r="L85" s="5"/>
      <c r="M85" s="5"/>
      <c r="N85" s="5"/>
      <c r="O85" s="5"/>
      <c r="P85" s="5"/>
      <c r="Q85" s="5"/>
      <c r="R85" s="5"/>
      <c r="S85" s="6"/>
      <c r="T85" s="6"/>
      <c r="U85" s="6"/>
    </row>
    <row r="86" spans="1:21" ht="15" x14ac:dyDescent="0.25">
      <c r="A86" s="2"/>
      <c r="B86" s="5"/>
      <c r="C86" s="2"/>
      <c r="D86" s="2"/>
      <c r="E86" s="2"/>
      <c r="F86" s="2"/>
      <c r="G86" s="2"/>
      <c r="H86" s="2"/>
      <c r="I86" s="2"/>
      <c r="J86" s="2"/>
      <c r="K86" s="2"/>
      <c r="L86" s="2"/>
      <c r="M86" s="2"/>
      <c r="N86" s="2"/>
      <c r="O86" s="2"/>
      <c r="P86" s="2"/>
      <c r="Q86" s="2"/>
      <c r="R86" s="2"/>
      <c r="S86" s="69"/>
      <c r="T86" s="69"/>
      <c r="U86" s="6"/>
    </row>
    <row r="87" spans="1:21" ht="15" x14ac:dyDescent="0.25">
      <c r="A87" s="2"/>
      <c r="B87" s="5"/>
      <c r="C87" s="2"/>
      <c r="D87" s="2"/>
      <c r="E87" s="2"/>
      <c r="F87" s="2"/>
      <c r="G87" s="2"/>
      <c r="H87" s="2"/>
      <c r="I87" s="2"/>
      <c r="J87" s="2"/>
      <c r="K87" s="2"/>
      <c r="L87" s="2"/>
      <c r="M87" s="2"/>
      <c r="N87" s="2"/>
      <c r="O87" s="2"/>
      <c r="P87" s="2"/>
      <c r="Q87" s="2"/>
      <c r="R87" s="2"/>
      <c r="S87" s="69"/>
      <c r="T87" s="69"/>
      <c r="U87" s="6"/>
    </row>
    <row r="88" spans="1:21" ht="15" x14ac:dyDescent="0.25">
      <c r="A88" s="2"/>
      <c r="B88" s="5"/>
      <c r="C88" s="2"/>
      <c r="D88" s="2"/>
      <c r="E88" s="2"/>
      <c r="F88" s="2"/>
      <c r="G88" s="2"/>
      <c r="H88" s="2"/>
      <c r="I88" s="2"/>
      <c r="J88" s="2"/>
      <c r="K88" s="2"/>
      <c r="L88" s="2"/>
      <c r="M88" s="2"/>
      <c r="N88" s="2"/>
      <c r="O88" s="2"/>
      <c r="P88" s="2"/>
      <c r="Q88" s="2"/>
      <c r="R88" s="2"/>
      <c r="S88" s="69"/>
      <c r="T88" s="69"/>
      <c r="U88" s="6"/>
    </row>
    <row r="89" spans="1:21" ht="15" x14ac:dyDescent="0.25">
      <c r="A89" s="2"/>
      <c r="B89" s="5"/>
      <c r="C89" s="2"/>
      <c r="D89" s="2"/>
      <c r="E89" s="2"/>
      <c r="F89" s="2"/>
      <c r="G89" s="2"/>
      <c r="H89" s="2"/>
      <c r="I89" s="2"/>
      <c r="J89" s="2"/>
      <c r="K89" s="2"/>
      <c r="L89" s="2"/>
      <c r="M89" s="2"/>
      <c r="N89" s="2"/>
      <c r="O89" s="2"/>
      <c r="P89" s="2"/>
      <c r="Q89" s="2"/>
      <c r="R89" s="2"/>
      <c r="S89" s="69"/>
      <c r="T89" s="69"/>
      <c r="U89" s="6"/>
    </row>
    <row r="90" spans="1:21" ht="15" x14ac:dyDescent="0.25">
      <c r="A90" s="2"/>
      <c r="B90" s="5"/>
      <c r="C90" s="2"/>
      <c r="D90" s="2"/>
      <c r="E90" s="2"/>
      <c r="F90" s="2"/>
      <c r="G90" s="2"/>
      <c r="H90" s="2"/>
      <c r="I90" s="2"/>
      <c r="J90" s="2"/>
      <c r="K90" s="2"/>
      <c r="L90" s="2"/>
      <c r="M90" s="2"/>
      <c r="N90" s="2"/>
      <c r="O90" s="2"/>
      <c r="P90" s="2"/>
      <c r="Q90" s="2"/>
      <c r="R90" s="2"/>
      <c r="S90" s="69"/>
      <c r="T90" s="69"/>
      <c r="U90" s="6"/>
    </row>
    <row r="91" spans="1:21" ht="15" x14ac:dyDescent="0.25">
      <c r="A91" s="2"/>
      <c r="B91" s="5"/>
      <c r="C91" s="2"/>
      <c r="D91" s="2"/>
      <c r="E91" s="2"/>
      <c r="F91" s="2"/>
      <c r="G91" s="2"/>
      <c r="H91" s="2"/>
      <c r="I91" s="2"/>
      <c r="J91" s="2"/>
      <c r="K91" s="2"/>
      <c r="L91" s="2"/>
      <c r="M91" s="2"/>
      <c r="N91" s="2"/>
      <c r="O91" s="2"/>
      <c r="P91" s="2"/>
      <c r="Q91" s="2"/>
      <c r="R91" s="2"/>
      <c r="S91" s="69"/>
      <c r="T91" s="69"/>
      <c r="U91" s="6"/>
    </row>
    <row r="92" spans="1:21" ht="15" x14ac:dyDescent="0.25">
      <c r="A92" s="2"/>
      <c r="B92" s="5"/>
      <c r="C92" s="2"/>
      <c r="D92" s="2"/>
      <c r="E92" s="2"/>
      <c r="F92" s="2"/>
      <c r="G92" s="2"/>
      <c r="H92" s="2"/>
      <c r="I92" s="2"/>
      <c r="J92" s="2"/>
      <c r="K92" s="2"/>
      <c r="L92" s="2"/>
      <c r="M92" s="2"/>
      <c r="N92" s="2"/>
      <c r="O92" s="2"/>
      <c r="P92" s="2"/>
      <c r="Q92" s="2"/>
      <c r="R92" s="2"/>
      <c r="S92" s="69"/>
      <c r="T92" s="69"/>
      <c r="U92" s="6"/>
    </row>
    <row r="93" spans="1:21" ht="15" x14ac:dyDescent="0.25">
      <c r="A93" s="2"/>
      <c r="B93" s="5"/>
      <c r="C93" s="2"/>
      <c r="D93" s="2"/>
      <c r="E93" s="2"/>
      <c r="F93" s="2"/>
      <c r="G93" s="2"/>
      <c r="H93" s="2"/>
      <c r="I93" s="2"/>
      <c r="J93" s="2"/>
      <c r="K93" s="2"/>
      <c r="L93" s="2"/>
      <c r="M93" s="2"/>
      <c r="N93" s="2"/>
      <c r="O93" s="2"/>
      <c r="P93" s="2"/>
      <c r="Q93" s="2"/>
      <c r="R93" s="2"/>
      <c r="S93" s="69"/>
      <c r="T93" s="69"/>
      <c r="U93" s="6"/>
    </row>
    <row r="94" spans="1:21" ht="15" x14ac:dyDescent="0.25">
      <c r="A94" s="2"/>
      <c r="B94" s="5"/>
      <c r="C94" s="2"/>
      <c r="D94" s="2"/>
      <c r="E94" s="2"/>
      <c r="F94" s="2"/>
      <c r="G94" s="2"/>
      <c r="H94" s="2"/>
      <c r="I94" s="2"/>
      <c r="J94" s="2"/>
      <c r="K94" s="2"/>
      <c r="L94" s="2"/>
      <c r="M94" s="2"/>
      <c r="N94" s="2"/>
      <c r="O94" s="2"/>
      <c r="P94" s="2"/>
      <c r="Q94" s="2"/>
      <c r="R94" s="2"/>
      <c r="S94" s="69"/>
      <c r="T94" s="69"/>
      <c r="U94" s="6"/>
    </row>
    <row r="95" spans="1:21" ht="15" x14ac:dyDescent="0.25">
      <c r="A95" s="2"/>
      <c r="B95" s="5"/>
      <c r="C95" s="2"/>
      <c r="D95" s="2"/>
      <c r="E95" s="2"/>
      <c r="F95" s="2"/>
      <c r="G95" s="2"/>
      <c r="H95" s="2"/>
      <c r="I95" s="2"/>
      <c r="J95" s="2"/>
      <c r="K95" s="2"/>
      <c r="L95" s="2"/>
      <c r="M95" s="2"/>
      <c r="N95" s="2"/>
      <c r="O95" s="2"/>
      <c r="P95" s="2"/>
      <c r="Q95" s="2"/>
      <c r="R95" s="2"/>
      <c r="S95" s="69"/>
      <c r="T95" s="69"/>
      <c r="U95" s="6"/>
    </row>
    <row r="96" spans="1:21" ht="15" x14ac:dyDescent="0.25">
      <c r="A96" s="2"/>
      <c r="B96" s="5"/>
      <c r="C96" s="2"/>
      <c r="D96" s="2"/>
      <c r="E96" s="2"/>
      <c r="F96" s="2"/>
      <c r="G96" s="2"/>
      <c r="H96" s="2"/>
      <c r="I96" s="2"/>
      <c r="J96" s="2"/>
      <c r="K96" s="2"/>
      <c r="L96" s="2"/>
      <c r="M96" s="2"/>
      <c r="N96" s="2"/>
      <c r="O96" s="2"/>
      <c r="P96" s="2"/>
      <c r="Q96" s="2"/>
      <c r="R96" s="2"/>
      <c r="S96" s="69"/>
      <c r="T96" s="69"/>
      <c r="U96" s="6"/>
    </row>
    <row r="97" spans="1:21" ht="15" x14ac:dyDescent="0.25">
      <c r="A97" s="2"/>
      <c r="B97" s="5"/>
      <c r="C97" s="2"/>
      <c r="D97" s="2"/>
      <c r="E97" s="2"/>
      <c r="F97" s="2"/>
      <c r="G97" s="2"/>
      <c r="H97" s="2"/>
      <c r="I97" s="2"/>
      <c r="J97" s="2"/>
      <c r="K97" s="2"/>
      <c r="L97" s="2"/>
      <c r="M97" s="2"/>
      <c r="N97" s="2"/>
      <c r="O97" s="2"/>
      <c r="P97" s="2"/>
      <c r="Q97" s="2"/>
      <c r="R97" s="2"/>
      <c r="S97" s="69"/>
      <c r="T97" s="69"/>
      <c r="U97" s="6"/>
    </row>
    <row r="98" spans="1:21" ht="15" x14ac:dyDescent="0.25">
      <c r="A98" s="2"/>
      <c r="B98" s="5"/>
      <c r="C98" s="2"/>
      <c r="D98" s="2"/>
      <c r="E98" s="2"/>
      <c r="F98" s="2"/>
      <c r="G98" s="2"/>
      <c r="H98" s="2"/>
      <c r="I98" s="2"/>
      <c r="J98" s="2"/>
      <c r="K98" s="2"/>
      <c r="L98" s="2"/>
      <c r="M98" s="2"/>
      <c r="N98" s="2"/>
      <c r="O98" s="2"/>
      <c r="P98" s="2"/>
      <c r="Q98" s="2"/>
      <c r="R98" s="2"/>
      <c r="S98" s="69"/>
      <c r="T98" s="69"/>
      <c r="U98" s="6"/>
    </row>
    <row r="99" spans="1:21" ht="15" x14ac:dyDescent="0.25">
      <c r="A99" s="2"/>
      <c r="B99" s="5"/>
      <c r="C99" s="2"/>
      <c r="D99" s="2"/>
      <c r="E99" s="2"/>
      <c r="F99" s="2"/>
      <c r="G99" s="2"/>
      <c r="H99" s="2"/>
      <c r="I99" s="2"/>
      <c r="J99" s="2"/>
      <c r="K99" s="2"/>
      <c r="L99" s="2"/>
      <c r="M99" s="2"/>
      <c r="N99" s="2"/>
      <c r="O99" s="2"/>
      <c r="P99" s="2"/>
      <c r="Q99" s="2"/>
      <c r="R99" s="2"/>
      <c r="S99" s="69"/>
      <c r="T99" s="69"/>
      <c r="U99" s="6"/>
    </row>
    <row r="100" spans="1:21" ht="15" x14ac:dyDescent="0.25">
      <c r="A100" s="2"/>
      <c r="B100" s="5"/>
      <c r="C100" s="2"/>
      <c r="D100" s="2"/>
      <c r="E100" s="2"/>
      <c r="F100" s="2"/>
      <c r="G100" s="2"/>
      <c r="H100" s="2"/>
      <c r="I100" s="2"/>
      <c r="J100" s="2"/>
      <c r="K100" s="2"/>
      <c r="L100" s="2"/>
      <c r="M100" s="2"/>
      <c r="N100" s="2"/>
      <c r="O100" s="2"/>
      <c r="P100" s="2"/>
      <c r="Q100" s="2"/>
      <c r="R100" s="2"/>
      <c r="S100" s="69"/>
      <c r="T100" s="69"/>
      <c r="U100" s="6"/>
    </row>
    <row r="101" spans="1:21" ht="15" x14ac:dyDescent="0.25">
      <c r="A101" s="2"/>
      <c r="B101" s="5"/>
      <c r="C101" s="2"/>
      <c r="D101" s="2"/>
      <c r="E101" s="2"/>
      <c r="F101" s="2"/>
      <c r="G101" s="2"/>
      <c r="H101" s="2"/>
      <c r="I101" s="2"/>
      <c r="J101" s="2"/>
      <c r="K101" s="2"/>
      <c r="L101" s="2"/>
      <c r="M101" s="2"/>
      <c r="N101" s="2"/>
      <c r="O101" s="2"/>
      <c r="P101" s="2"/>
      <c r="Q101" s="2"/>
      <c r="R101" s="2"/>
      <c r="S101" s="69"/>
      <c r="T101" s="69"/>
      <c r="U101" s="6"/>
    </row>
    <row r="102" spans="1:21" ht="15" x14ac:dyDescent="0.25">
      <c r="A102" s="2"/>
      <c r="B102" s="5"/>
      <c r="C102" s="2"/>
      <c r="D102" s="2"/>
      <c r="E102" s="2"/>
      <c r="F102" s="2"/>
      <c r="G102" s="2"/>
      <c r="H102" s="2"/>
      <c r="I102" s="2"/>
      <c r="J102" s="2"/>
      <c r="K102" s="2"/>
      <c r="L102" s="2"/>
      <c r="M102" s="2"/>
      <c r="N102" s="2"/>
      <c r="O102" s="2"/>
      <c r="P102" s="2"/>
      <c r="Q102" s="2"/>
      <c r="R102" s="2"/>
      <c r="S102" s="69"/>
      <c r="T102" s="69"/>
      <c r="U102" s="6"/>
    </row>
    <row r="103" spans="1:21" ht="15" x14ac:dyDescent="0.25">
      <c r="A103" s="2"/>
      <c r="B103" s="5"/>
      <c r="C103" s="2"/>
      <c r="D103" s="2"/>
      <c r="E103" s="2"/>
      <c r="F103" s="2"/>
      <c r="G103" s="2"/>
      <c r="H103" s="2"/>
      <c r="I103" s="2"/>
      <c r="J103" s="2"/>
      <c r="K103" s="2"/>
      <c r="L103" s="2"/>
      <c r="M103" s="2"/>
      <c r="N103" s="2"/>
      <c r="O103" s="2"/>
      <c r="P103" s="2"/>
      <c r="Q103" s="2"/>
      <c r="R103" s="2"/>
      <c r="S103" s="69"/>
      <c r="T103" s="69"/>
      <c r="U103" s="6"/>
    </row>
    <row r="104" spans="1:21" ht="15" x14ac:dyDescent="0.25">
      <c r="A104" s="2"/>
      <c r="B104" s="5"/>
      <c r="C104" s="2"/>
      <c r="D104" s="2"/>
      <c r="E104" s="2"/>
      <c r="F104" s="2"/>
      <c r="G104" s="2"/>
      <c r="H104" s="2"/>
      <c r="I104" s="2"/>
      <c r="J104" s="2"/>
      <c r="K104" s="2"/>
      <c r="L104" s="2"/>
      <c r="M104" s="2"/>
      <c r="N104" s="2"/>
      <c r="O104" s="2"/>
      <c r="P104" s="2"/>
      <c r="Q104" s="2"/>
      <c r="R104" s="2"/>
      <c r="S104" s="69"/>
      <c r="T104" s="69"/>
      <c r="U104" s="6"/>
    </row>
    <row r="105" spans="1:21" ht="15" x14ac:dyDescent="0.25">
      <c r="A105" s="2"/>
      <c r="B105" s="5"/>
      <c r="C105" s="2"/>
      <c r="D105" s="2"/>
      <c r="E105" s="2"/>
      <c r="F105" s="2"/>
      <c r="G105" s="2"/>
      <c r="H105" s="2"/>
      <c r="I105" s="2"/>
      <c r="J105" s="2"/>
      <c r="K105" s="2"/>
      <c r="L105" s="2"/>
      <c r="M105" s="2"/>
      <c r="N105" s="2"/>
      <c r="O105" s="2"/>
      <c r="P105" s="2"/>
      <c r="Q105" s="2"/>
      <c r="R105" s="2"/>
      <c r="S105" s="69"/>
      <c r="T105" s="69"/>
      <c r="U105" s="6"/>
    </row>
    <row r="106" spans="1:21" ht="15" x14ac:dyDescent="0.25">
      <c r="A106" s="2"/>
      <c r="B106" s="5"/>
      <c r="D106" s="2"/>
      <c r="E106" s="2"/>
      <c r="F106" s="2"/>
      <c r="G106" s="2"/>
      <c r="H106" s="2"/>
      <c r="I106" s="2"/>
      <c r="J106" s="2"/>
      <c r="K106" s="2"/>
      <c r="L106" s="2"/>
      <c r="M106" s="2"/>
      <c r="N106" s="2"/>
      <c r="O106" s="2"/>
      <c r="P106" s="2"/>
      <c r="Q106" s="2"/>
      <c r="R106" s="2"/>
      <c r="S106" s="69"/>
      <c r="T106" s="69"/>
      <c r="U106" s="6"/>
    </row>
    <row r="107" spans="1:21" ht="15" x14ac:dyDescent="0.25">
      <c r="A107" s="2"/>
      <c r="B107" s="5"/>
      <c r="C107" s="2"/>
      <c r="D107" s="2"/>
      <c r="E107" s="2"/>
      <c r="F107" s="2"/>
      <c r="G107" s="2"/>
      <c r="H107" s="2"/>
      <c r="I107" s="2"/>
      <c r="J107" s="2"/>
      <c r="K107" s="2"/>
      <c r="L107" s="2"/>
      <c r="M107" s="2"/>
      <c r="N107" s="2"/>
      <c r="O107" s="2"/>
      <c r="P107" s="2"/>
      <c r="Q107" s="2"/>
      <c r="R107" s="2"/>
      <c r="S107" s="69"/>
      <c r="T107" s="69"/>
      <c r="U107" s="6"/>
    </row>
    <row r="108" spans="1:21" ht="15" x14ac:dyDescent="0.25">
      <c r="A108" s="2"/>
      <c r="B108" s="5"/>
      <c r="C108" s="2"/>
      <c r="D108" s="2"/>
      <c r="E108" s="2"/>
      <c r="F108" s="648"/>
      <c r="G108" s="648"/>
      <c r="H108" s="648"/>
      <c r="I108" s="648"/>
      <c r="J108" s="648"/>
      <c r="K108" s="2"/>
      <c r="L108" s="2"/>
      <c r="M108" s="2"/>
      <c r="N108" s="2"/>
      <c r="O108" s="2"/>
      <c r="P108" s="2"/>
      <c r="Q108" s="2"/>
      <c r="R108" s="2"/>
      <c r="S108" s="69"/>
      <c r="T108" s="69"/>
      <c r="U108" s="6"/>
    </row>
    <row r="109" spans="1:21" ht="22.5" customHeight="1" x14ac:dyDescent="0.25">
      <c r="A109" s="2"/>
      <c r="B109" s="5"/>
      <c r="C109" s="711" t="s">
        <v>494</v>
      </c>
      <c r="D109" s="711"/>
      <c r="E109" s="711"/>
      <c r="F109" s="711"/>
      <c r="G109" s="711"/>
      <c r="H109" s="711"/>
      <c r="I109" s="711"/>
      <c r="J109" s="711"/>
      <c r="K109" s="711"/>
      <c r="L109" s="711"/>
      <c r="M109" s="711"/>
      <c r="N109" s="711"/>
      <c r="O109" s="711"/>
      <c r="P109" s="711"/>
      <c r="Q109" s="711"/>
      <c r="R109" s="711"/>
      <c r="S109" s="711"/>
      <c r="T109" s="711"/>
      <c r="U109" s="6"/>
    </row>
    <row r="110" spans="1:21" s="69" customFormat="1" ht="30" customHeight="1" x14ac:dyDescent="0.25">
      <c r="A110" s="103"/>
      <c r="B110" s="5"/>
      <c r="C110" s="711" t="s">
        <v>495</v>
      </c>
      <c r="D110" s="711"/>
      <c r="E110" s="711"/>
      <c r="F110" s="711"/>
      <c r="G110" s="711"/>
      <c r="H110" s="711"/>
      <c r="I110" s="711"/>
      <c r="J110" s="711"/>
      <c r="K110" s="711"/>
      <c r="L110" s="711"/>
      <c r="M110" s="711"/>
      <c r="N110" s="711"/>
      <c r="O110" s="711"/>
      <c r="P110" s="711"/>
      <c r="Q110" s="711"/>
      <c r="R110" s="711"/>
      <c r="S110" s="711"/>
      <c r="T110" s="84"/>
      <c r="U110" s="6"/>
    </row>
    <row r="111" spans="1:21" ht="15" x14ac:dyDescent="0.25">
      <c r="A111" s="2"/>
      <c r="B111" s="5"/>
      <c r="C111" s="2"/>
      <c r="D111" s="1060"/>
      <c r="E111" s="1060"/>
      <c r="F111" s="1060"/>
      <c r="G111" s="1060"/>
      <c r="H111" s="1060"/>
      <c r="I111" s="1060"/>
      <c r="J111" s="2"/>
      <c r="K111" s="2"/>
      <c r="L111" s="2"/>
      <c r="M111" s="69"/>
      <c r="N111" s="2"/>
      <c r="O111" s="2"/>
      <c r="P111" s="2"/>
      <c r="Q111" s="2"/>
      <c r="R111" s="2"/>
      <c r="S111" s="69"/>
      <c r="T111" s="69"/>
      <c r="U111" s="6"/>
    </row>
    <row r="112" spans="1:21" s="69" customFormat="1" ht="22.5" customHeight="1" x14ac:dyDescent="0.25">
      <c r="A112" s="2"/>
      <c r="B112" s="5"/>
      <c r="C112" s="2"/>
      <c r="D112" s="993" t="s">
        <v>441</v>
      </c>
      <c r="E112" s="994"/>
      <c r="F112" s="553" t="str">
        <f>INDEX(Locations, selection)</f>
        <v>Kingston Buci</v>
      </c>
      <c r="G112" s="553"/>
      <c r="H112" s="553"/>
      <c r="I112" s="553"/>
      <c r="J112" s="2"/>
      <c r="K112" s="2"/>
      <c r="L112" s="2"/>
      <c r="N112" s="2"/>
      <c r="O112" s="2"/>
      <c r="P112" s="2"/>
      <c r="Q112" s="2"/>
      <c r="R112" s="2"/>
      <c r="U112" s="6"/>
    </row>
    <row r="113" spans="1:21" ht="15" x14ac:dyDescent="0.25">
      <c r="A113" s="2"/>
      <c r="B113" s="5"/>
      <c r="C113" s="2"/>
      <c r="D113" s="2"/>
      <c r="E113" s="2"/>
      <c r="G113" s="2"/>
      <c r="H113" s="2"/>
      <c r="I113" s="2"/>
      <c r="J113" s="2"/>
      <c r="K113" s="2"/>
      <c r="L113" s="2"/>
      <c r="M113" s="2"/>
      <c r="N113" s="2"/>
      <c r="O113" s="2"/>
      <c r="P113" s="2"/>
      <c r="Q113" s="2"/>
      <c r="R113" s="2"/>
      <c r="S113" s="2"/>
      <c r="T113" s="2"/>
      <c r="U113" s="6"/>
    </row>
    <row r="114" spans="1:21" ht="29.25" customHeight="1" x14ac:dyDescent="0.25">
      <c r="B114" s="6"/>
      <c r="C114" s="648"/>
      <c r="D114" s="1052"/>
      <c r="E114" s="1053"/>
      <c r="F114" s="1046" t="str">
        <f>Population!F19</f>
        <v>Adur</v>
      </c>
      <c r="G114" s="1046"/>
      <c r="H114" s="1046"/>
      <c r="I114" s="1047"/>
      <c r="J114" s="1048" t="s">
        <v>292</v>
      </c>
      <c r="K114" s="1048"/>
      <c r="L114" s="1048"/>
      <c r="M114" s="1049"/>
      <c r="N114" s="1050" t="s">
        <v>294</v>
      </c>
      <c r="O114" s="1050"/>
      <c r="P114" s="1050"/>
      <c r="Q114" s="1051"/>
      <c r="R114" s="2"/>
      <c r="S114" s="2"/>
      <c r="T114" s="2"/>
      <c r="U114" s="6"/>
    </row>
    <row r="115" spans="1:21" ht="16.5" thickBot="1" x14ac:dyDescent="0.3">
      <c r="B115" s="6"/>
      <c r="C115" s="648"/>
      <c r="D115" s="1054"/>
      <c r="E115" s="1055"/>
      <c r="F115" s="97" t="s">
        <v>439</v>
      </c>
      <c r="G115" s="97" t="s">
        <v>440</v>
      </c>
      <c r="H115" s="97" t="s">
        <v>419</v>
      </c>
      <c r="I115" s="98" t="s">
        <v>420</v>
      </c>
      <c r="J115" s="99" t="s">
        <v>439</v>
      </c>
      <c r="K115" s="99" t="s">
        <v>440</v>
      </c>
      <c r="L115" s="99" t="s">
        <v>419</v>
      </c>
      <c r="M115" s="100" t="s">
        <v>420</v>
      </c>
      <c r="N115" s="110" t="s">
        <v>439</v>
      </c>
      <c r="O115" s="110" t="s">
        <v>440</v>
      </c>
      <c r="P115" s="110" t="s">
        <v>419</v>
      </c>
      <c r="Q115" s="111" t="s">
        <v>420</v>
      </c>
      <c r="R115" s="2"/>
      <c r="S115" s="2"/>
      <c r="T115" s="2"/>
      <c r="U115" s="6"/>
    </row>
    <row r="116" spans="1:21" ht="20.25" customHeight="1" x14ac:dyDescent="0.25">
      <c r="B116" s="6"/>
      <c r="C116" s="2"/>
      <c r="D116" s="1040">
        <v>2004</v>
      </c>
      <c r="E116" s="1041"/>
      <c r="F116" s="90">
        <f>IF(F114 = "n/a", "n/a", VLOOKUP($F$114,TeenPregnancy,56, FALSE))</f>
        <v>44</v>
      </c>
      <c r="G116" s="89">
        <f>IF(F114="n/a","n/a",VLOOKUP($F$114,TeenPregnancy,8,FALSE))</f>
        <v>39.963669391462297</v>
      </c>
      <c r="H116" s="89">
        <f>IF(F114="n/a","n/a",VLOOKUP($F$114,TeenPregnancy,24,FALSE))</f>
        <v>29.037663358895799</v>
      </c>
      <c r="I116" s="94">
        <f>IF(F114="n/a","n/a",VLOOKUP($F$114,TeenPregnancy,40,FALSE))</f>
        <v>53.649360835883499</v>
      </c>
      <c r="J116" s="90">
        <f>VLOOKUP(J$114,TeenPregnancy,56, FALSE)</f>
        <v>405</v>
      </c>
      <c r="K116" s="89">
        <f>VLOOKUP(J$114, TeenPregnancy,8, FALSE)</f>
        <v>29.3286986747773</v>
      </c>
      <c r="L116" s="89">
        <f>VLOOKUP(J$114, TeenPregnancy,24, FALSE)</f>
        <v>26.541470188760002</v>
      </c>
      <c r="M116" s="94">
        <f>VLOOKUP(J$114, TeenPregnancy,40, FALSE)</f>
        <v>32.329010082246803</v>
      </c>
      <c r="N116" s="92">
        <f>VLOOKUP(N$114,TeenPregnancy,56, FALSE)</f>
        <v>39593</v>
      </c>
      <c r="O116" s="89">
        <f>VLOOKUP(N$114, TeenPregnancy,8, FALSE)</f>
        <v>41.595795980673401</v>
      </c>
      <c r="P116" s="89">
        <f>VLOOKUP(N$114, TeenPregnancy,24, FALSE)</f>
        <v>41.1870707737652</v>
      </c>
      <c r="Q116" s="89">
        <f>VLOOKUP(N$114, TeenPregnancy,40, FALSE)</f>
        <v>42.007567069314703</v>
      </c>
      <c r="R116" s="2"/>
      <c r="S116" s="2"/>
      <c r="T116" s="2"/>
      <c r="U116" s="6"/>
    </row>
    <row r="117" spans="1:21" ht="20.25" customHeight="1" x14ac:dyDescent="0.25">
      <c r="B117" s="6"/>
      <c r="C117" s="2"/>
      <c r="D117" s="644">
        <v>2005</v>
      </c>
      <c r="E117" s="1042"/>
      <c r="F117" s="91">
        <f>IF(F114="n/a", "n/a",VLOOKUP($F$114,TeenPregnancy,57, FALSE))</f>
        <v>47</v>
      </c>
      <c r="G117" s="87">
        <f>IF(F114="n/a","n/a",VLOOKUP($F$114,TeenPregnancy,9,FALSE))</f>
        <v>41.519434628975297</v>
      </c>
      <c r="H117" s="87">
        <f>IF(F114="n/a","n/a",VLOOKUP($F$114,TeenPregnancy,25,FALSE))</f>
        <v>30.5069188754998</v>
      </c>
      <c r="I117" s="95">
        <f>IF(F114="n/a","n/a",VLOOKUP($F$114,TeenPregnancy,41,FALSE))</f>
        <v>55.2120462373206</v>
      </c>
      <c r="J117" s="91">
        <f>VLOOKUP(J$114,TeenPregnancy,57, FALSE)</f>
        <v>446</v>
      </c>
      <c r="K117" s="87">
        <f>VLOOKUP(J$114, TeenPregnancy,9, FALSE)</f>
        <v>31.2675266404936</v>
      </c>
      <c r="L117" s="87">
        <f>VLOOKUP(J$114, TeenPregnancy,25, FALSE)</f>
        <v>28.432586852626901</v>
      </c>
      <c r="M117" s="95">
        <f>VLOOKUP(J$114, TeenPregnancy,41, FALSE)</f>
        <v>34.3085951633281</v>
      </c>
      <c r="N117" s="93">
        <f>VLOOKUP(N$114,TeenPregnancy,57, FALSE)</f>
        <v>39804</v>
      </c>
      <c r="O117" s="87">
        <f>VLOOKUP(N$114, TeenPregnancy,9, FALSE)</f>
        <v>41.426295144139701</v>
      </c>
      <c r="P117" s="87">
        <f>VLOOKUP(N$114, TeenPregnancy,25, FALSE)</f>
        <v>41.020313185122497</v>
      </c>
      <c r="Q117" s="87">
        <f>VLOOKUP(N$114, TeenPregnancy,41, FALSE)</f>
        <v>41.8352944791488</v>
      </c>
      <c r="R117" s="2"/>
      <c r="S117" s="2"/>
      <c r="T117" s="2"/>
      <c r="U117" s="6"/>
    </row>
    <row r="118" spans="1:21" ht="20.25" customHeight="1" x14ac:dyDescent="0.25">
      <c r="B118" s="6"/>
      <c r="C118" s="2"/>
      <c r="D118" s="644">
        <v>2006</v>
      </c>
      <c r="E118" s="1042"/>
      <c r="F118" s="91">
        <f>IF(F114 = "n/a", "n/a",VLOOKUP($F$114,TeenPregnancy,58, FALSE))</f>
        <v>44</v>
      </c>
      <c r="G118" s="87">
        <f>IF(F114="n/a","n/a",VLOOKUP($F$114,TeenPregnancy,10,FALSE))</f>
        <v>39.180765805877101</v>
      </c>
      <c r="H118" s="87">
        <f>IF(F114="n/a","n/a",VLOOKUP($F$114,TeenPregnancy,26,FALSE))</f>
        <v>28.4688044150884</v>
      </c>
      <c r="I118" s="95">
        <f>IF(F114="n/a","n/a",VLOOKUP($F$114,TeenPregnancy,42,FALSE))</f>
        <v>52.598349314610601</v>
      </c>
      <c r="J118" s="91">
        <f>VLOOKUP(J$114,TeenPregnancy,58, FALSE)</f>
        <v>408</v>
      </c>
      <c r="K118" s="87">
        <f>VLOOKUP(J$114, TeenPregnancy,10, FALSE)</f>
        <v>28.445931813428199</v>
      </c>
      <c r="L118" s="87">
        <f>VLOOKUP(J$114, TeenPregnancy,26, FALSE)</f>
        <v>25.752305483250101</v>
      </c>
      <c r="M118" s="96">
        <f>VLOOKUP(J$114, TeenPregnancy,42, FALSE)</f>
        <v>31.344695614210099</v>
      </c>
      <c r="N118" s="93">
        <f>VLOOKUP(N$114,TeenPregnancy,58, FALSE)</f>
        <v>39170</v>
      </c>
      <c r="O118" s="87">
        <f>VLOOKUP(N$114, TeenPregnancy,10, FALSE)</f>
        <v>40.586425669437702</v>
      </c>
      <c r="P118" s="87">
        <f>VLOOKUP(N$114, TeenPregnancy,26, FALSE)</f>
        <v>40.185476327619597</v>
      </c>
      <c r="Q118" s="87">
        <f>VLOOKUP(N$114, TeenPregnancy,42, FALSE)</f>
        <v>40.990379103094</v>
      </c>
      <c r="R118" s="2"/>
      <c r="S118" s="2"/>
      <c r="T118" s="2"/>
      <c r="U118" s="6"/>
    </row>
    <row r="119" spans="1:21" ht="20.25" customHeight="1" x14ac:dyDescent="0.25">
      <c r="B119" s="6"/>
      <c r="C119" s="2"/>
      <c r="D119" s="644">
        <v>2007</v>
      </c>
      <c r="E119" s="1042"/>
      <c r="F119" s="91">
        <f>IF(F114 = "n/a", "n/a",VLOOKUP($F$114,TeenPregnancy,59, FALSE))</f>
        <v>42</v>
      </c>
      <c r="G119" s="87">
        <f>IF(F114="n/a","n/a",VLOOKUP($F$114,TeenPregnancy,11,FALSE))</f>
        <v>36.020583190394497</v>
      </c>
      <c r="H119" s="87">
        <f>IF(F114="n/a","n/a",VLOOKUP($F$114,TeenPregnancy,27,FALSE))</f>
        <v>25.9604680381455</v>
      </c>
      <c r="I119" s="95">
        <f>IF(F114="n/a","n/a",VLOOKUP($F$114,TeenPregnancy,43,FALSE))</f>
        <v>48.689364304022902</v>
      </c>
      <c r="J119" s="91">
        <f>VLOOKUP(J$114,TeenPregnancy,59, FALSE)</f>
        <v>430</v>
      </c>
      <c r="K119" s="87">
        <f>VLOOKUP(J$114, TeenPregnancy, 11, FALSE)</f>
        <v>29.794900221729499</v>
      </c>
      <c r="L119" s="87">
        <f>VLOOKUP(J$114, TeenPregnancy,27, FALSE)</f>
        <v>27.0448852257746</v>
      </c>
      <c r="M119" s="94">
        <f>VLOOKUP(J$114, TeenPregnancy,43, FALSE)</f>
        <v>32.748702440135503</v>
      </c>
      <c r="N119" s="93">
        <f>VLOOKUP(N$114,TeenPregnancy,59, FALSE)</f>
        <v>40366</v>
      </c>
      <c r="O119" s="87">
        <f>VLOOKUP(N$114, TeenPregnancy, 11, FALSE)</f>
        <v>41.381035417762298</v>
      </c>
      <c r="P119" s="87">
        <f>VLOOKUP(N$114, TeenPregnancy,27, FALSE)</f>
        <v>40.978323138194902</v>
      </c>
      <c r="Q119" s="87">
        <f>VLOOKUP(N$114, TeenPregnancy,43, FALSE)</f>
        <v>41.786719777782402</v>
      </c>
      <c r="R119" s="2"/>
      <c r="S119" s="2"/>
      <c r="T119" s="2"/>
      <c r="U119" s="6"/>
    </row>
    <row r="120" spans="1:21" ht="20.25" customHeight="1" x14ac:dyDescent="0.25">
      <c r="B120" s="6"/>
      <c r="C120" s="2"/>
      <c r="D120" s="644">
        <v>2008</v>
      </c>
      <c r="E120" s="1042"/>
      <c r="F120" s="91">
        <f>IF(F114 = "n/a", "n/a",VLOOKUP($F$114,TeenPregnancy,60, FALSE))</f>
        <v>33</v>
      </c>
      <c r="G120" s="87">
        <f>IF(F114="n/a","n/a",VLOOKUP($F$114,TeenPregnancy,12,FALSE))</f>
        <v>28.795811518324602</v>
      </c>
      <c r="H120" s="87">
        <f>IF(F114="n/a","n/a",VLOOKUP($F$114,TeenPregnancy,28,FALSE))</f>
        <v>19.8217116690487</v>
      </c>
      <c r="I120" s="95">
        <f>IF(F114="n/a","n/a",VLOOKUP($F$114,TeenPregnancy,44,FALSE))</f>
        <v>40.440025540287301</v>
      </c>
      <c r="J120" s="91">
        <f>VLOOKUP(J$114,TeenPregnancy,60, FALSE)</f>
        <v>499</v>
      </c>
      <c r="K120" s="87">
        <f>VLOOKUP(J$114, TeenPregnancy,12, FALSE)</f>
        <v>34.966014995445299</v>
      </c>
      <c r="L120" s="87">
        <f>VLOOKUP(J$114, TeenPregnancy,28, FALSE)</f>
        <v>31.964941164553601</v>
      </c>
      <c r="M120" s="95">
        <f>VLOOKUP(J$114, TeenPregnancy,44, FALSE)</f>
        <v>38.172942625250997</v>
      </c>
      <c r="N120" s="93">
        <f>VLOOKUP(N$114,TeenPregnancy,60, FALSE)</f>
        <v>38783</v>
      </c>
      <c r="O120" s="87">
        <f>VLOOKUP(N$114, TeenPregnancy,12, FALSE)</f>
        <v>39.667749484502302</v>
      </c>
      <c r="P120" s="87">
        <f>VLOOKUP(N$114, TeenPregnancy,28, FALSE)</f>
        <v>39.273930138117699</v>
      </c>
      <c r="Q120" s="87">
        <f>VLOOKUP(N$114, TeenPregnancy,44, FALSE)</f>
        <v>40.064534248180998</v>
      </c>
      <c r="R120" s="2"/>
      <c r="S120" s="2"/>
      <c r="T120" s="2"/>
      <c r="U120" s="6"/>
    </row>
    <row r="121" spans="1:21" ht="20.25" customHeight="1" x14ac:dyDescent="0.25">
      <c r="B121" s="6"/>
      <c r="C121" s="2"/>
      <c r="D121" s="644">
        <v>2009</v>
      </c>
      <c r="E121" s="1042"/>
      <c r="F121" s="91">
        <f>IF(F114 = "n/a", "n/a", VLOOKUP($F$114,TeenPregnancy,61, FALSE))</f>
        <v>44</v>
      </c>
      <c r="G121" s="87">
        <f>IF(F114="n/a","n/a",VLOOKUP($F$114,TeenPregnancy,13,FALSE))</f>
        <v>40.036396724294796</v>
      </c>
      <c r="H121" s="87">
        <f>IF(F114="n/a","n/a",VLOOKUP($F$114,TeenPregnancy,29,FALSE))</f>
        <v>29.090507150267801</v>
      </c>
      <c r="I121" s="95">
        <f>IF(F114="n/a","n/a",VLOOKUP($F$114,TeenPregnancy,45,FALSE))</f>
        <v>53.746993885630303</v>
      </c>
      <c r="J121" s="91">
        <f>VLOOKUP(J$114,TeenPregnancy,61, FALSE)</f>
        <v>412</v>
      </c>
      <c r="K121" s="87">
        <f>VLOOKUP(J$114, TeenPregnancy,13, FALSE)</f>
        <v>29.434878902622</v>
      </c>
      <c r="L121" s="87">
        <f>VLOOKUP(J$114, TeenPregnancy,29, FALSE)</f>
        <v>26.660833773303299</v>
      </c>
      <c r="M121" s="95">
        <f>VLOOKUP(J$114, TeenPregnancy,45, FALSE)</f>
        <v>32.419115925952603</v>
      </c>
      <c r="N121" s="93">
        <f>VLOOKUP(N$114,TeenPregnancy,61, FALSE)</f>
        <v>35966</v>
      </c>
      <c r="O121" s="87">
        <f>VLOOKUP(N$114, TeenPregnancy,13, FALSE)</f>
        <v>37.113627592412598</v>
      </c>
      <c r="P121" s="87">
        <f>VLOOKUP(N$114, TeenPregnancy,29, FALSE)</f>
        <v>36.731043947885098</v>
      </c>
      <c r="Q121" s="87">
        <f>VLOOKUP(N$114, TeenPregnancy,45, FALSE)</f>
        <v>37.499203222521501</v>
      </c>
      <c r="R121" s="2"/>
      <c r="S121" s="2"/>
      <c r="T121" s="2"/>
      <c r="U121" s="6"/>
    </row>
    <row r="122" spans="1:21" ht="20.25" customHeight="1" x14ac:dyDescent="0.25">
      <c r="B122" s="6"/>
      <c r="C122" s="2"/>
      <c r="D122" s="644">
        <v>2010</v>
      </c>
      <c r="E122" s="1042"/>
      <c r="F122" s="91">
        <f>IF(F114="n/a","n/a",VLOOKUP($F$114,TeenPregnancy,62,FALSE))</f>
        <v>30</v>
      </c>
      <c r="G122" s="87">
        <f>IF(F114="n/a","n/a",VLOOKUP($F$114,TeenPregnancy,14,FALSE))</f>
        <v>27.5229357798165</v>
      </c>
      <c r="H122" s="87">
        <f>IF(F114="n/a","n/a",VLOOKUP($F$114,TeenPregnancy,30,FALSE))</f>
        <v>18.569609193964101</v>
      </c>
      <c r="I122" s="95">
        <f>IF(F114="n/a","n/a",VLOOKUP($F$114,TeenPregnancy,46,FALSE))</f>
        <v>39.290702197071298</v>
      </c>
      <c r="J122" s="91">
        <f>VLOOKUP(J$114,TeenPregnancy,62, FALSE)</f>
        <v>370</v>
      </c>
      <c r="K122" s="87">
        <f>VLOOKUP(J$114, TeenPregnancy,14, FALSE)</f>
        <v>26.809651474530799</v>
      </c>
      <c r="L122" s="87">
        <f>VLOOKUP(J$114, TeenPregnancy,30, FALSE)</f>
        <v>24.1471809105057</v>
      </c>
      <c r="M122" s="95">
        <f>VLOOKUP(J$114, TeenPregnancy,46, FALSE)</f>
        <v>29.685502403238502</v>
      </c>
      <c r="N122" s="93">
        <f>VLOOKUP(N$114,TeenPregnancy,62, FALSE)</f>
        <v>32552</v>
      </c>
      <c r="O122" s="87">
        <f>VLOOKUP(N$114, TeenPregnancy,14, FALSE)</f>
        <v>34.172206843049501</v>
      </c>
      <c r="P122" s="87">
        <f>VLOOKUP(N$114, TeenPregnancy,30, FALSE)</f>
        <v>33.801981266709397</v>
      </c>
      <c r="Q122" s="87">
        <f>VLOOKUP(N$114, TeenPregnancy,46, FALSE)</f>
        <v>34.545476478362403</v>
      </c>
      <c r="R122" s="2"/>
      <c r="S122" s="2"/>
      <c r="T122" s="2"/>
      <c r="U122" s="6"/>
    </row>
    <row r="123" spans="1:21" ht="20.25" customHeight="1" x14ac:dyDescent="0.25">
      <c r="B123" s="6"/>
      <c r="C123" s="2"/>
      <c r="D123" s="644">
        <v>2011</v>
      </c>
      <c r="E123" s="1042"/>
      <c r="F123" s="91">
        <f>IF(F114="n/a","n/a",VLOOKUP($F$114,TeenPregnancy,63,FALSE))</f>
        <v>34</v>
      </c>
      <c r="G123" s="87">
        <f>IF(F114="n/a","n/a",VLOOKUP($F$114,TeenPregnancy,15,FALSE))</f>
        <v>31.954887218045101</v>
      </c>
      <c r="H123" s="87">
        <f>IF(F114="n/a","n/a",VLOOKUP($F$114,TeenPregnancy,31,FALSE))</f>
        <v>22.1296883313649</v>
      </c>
      <c r="I123" s="95">
        <f>IF(F114="n/a","n/a",VLOOKUP($F$114,TeenPregnancy,47,FALSE))</f>
        <v>44.653751969175801</v>
      </c>
      <c r="J123" s="91">
        <f>VLOOKUP(J$114,TeenPregnancy,63, FALSE)</f>
        <v>338</v>
      </c>
      <c r="K123" s="87">
        <f>VLOOKUP(J$114, TeenPregnancy, 15, FALSE)</f>
        <v>24.5639534883721</v>
      </c>
      <c r="L123" s="87">
        <f>VLOOKUP(J$114, TeenPregnancy,31, FALSE)</f>
        <v>22.014738354504502</v>
      </c>
      <c r="M123" s="95">
        <f>VLOOKUP(J$114, TeenPregnancy,47, FALSE)</f>
        <v>27.3273533242543</v>
      </c>
      <c r="N123" s="93">
        <f>VLOOKUP(N$114,TeenPregnancy,63, FALSE)</f>
        <v>29166</v>
      </c>
      <c r="O123" s="87">
        <f>VLOOKUP(N$114, TeenPregnancy, 15, FALSE)</f>
        <v>30.703799813667501</v>
      </c>
      <c r="P123" s="87">
        <f>VLOOKUP(N$114, TeenPregnancy,31, FALSE)</f>
        <v>30.3524255518617</v>
      </c>
      <c r="Q123" s="87">
        <f>VLOOKUP(N$114, TeenPregnancy,47, FALSE)</f>
        <v>31.058227019034799</v>
      </c>
      <c r="R123" s="2"/>
      <c r="S123" s="2"/>
      <c r="T123" s="2"/>
      <c r="U123" s="6"/>
    </row>
    <row r="124" spans="1:21" ht="20.25" customHeight="1" x14ac:dyDescent="0.25">
      <c r="B124" s="6"/>
      <c r="C124" s="2"/>
      <c r="D124" s="644">
        <v>2012</v>
      </c>
      <c r="E124" s="1042"/>
      <c r="F124" s="91">
        <f>IF(F114="n/a","n/a",VLOOKUP($F$114,TeenPregnancy,64,FALSE))</f>
        <v>34</v>
      </c>
      <c r="G124" s="87">
        <f>IF(F114="n/a","n/a",VLOOKUP($F$114,TeenPregnancy,16,FALSE))</f>
        <v>32.567049808429097</v>
      </c>
      <c r="H124" s="87">
        <f>IF(F114="n/a","n/a",VLOOKUP($F$114,TeenPregnancy,32,FALSE))</f>
        <v>22.5536287208547</v>
      </c>
      <c r="I124" s="95">
        <f>IF(F114="n/a","n/a",VLOOKUP($F$114,TeenPregnancy,48,FALSE))</f>
        <v>45.509187830654298</v>
      </c>
      <c r="J124" s="91">
        <f>VLOOKUP(J$114,TeenPregnancy,64, FALSE)</f>
        <v>308</v>
      </c>
      <c r="K124" s="87">
        <f>VLOOKUP(J$114, TeenPregnancy,16, FALSE)</f>
        <v>22.549234936671802</v>
      </c>
      <c r="L124" s="87">
        <f>VLOOKUP(J$114, TeenPregnancy,32, FALSE)</f>
        <v>20.100995336870099</v>
      </c>
      <c r="M124" s="95">
        <f>VLOOKUP(J$114, TeenPregnancy,48, FALSE)</f>
        <v>25.213425493401299</v>
      </c>
      <c r="N124" s="93">
        <f>VLOOKUP(N$114,TeenPregnancy,64, FALSE)</f>
        <v>26157</v>
      </c>
      <c r="O124" s="87">
        <f>VLOOKUP(N$114, TeenPregnancy,16, FALSE)</f>
        <v>27.746396850804601</v>
      </c>
      <c r="P124" s="87">
        <f>VLOOKUP(N$114, TeenPregnancy,32, FALSE)</f>
        <v>27.411153798826501</v>
      </c>
      <c r="Q124" s="87">
        <f>VLOOKUP(N$114, TeenPregnancy,48, FALSE)</f>
        <v>28.084716496413598</v>
      </c>
      <c r="R124" s="2"/>
      <c r="S124" s="2"/>
      <c r="T124" s="2"/>
      <c r="U124" s="6"/>
    </row>
    <row r="125" spans="1:21" ht="20.25" customHeight="1" x14ac:dyDescent="0.25">
      <c r="B125" s="6"/>
      <c r="C125" s="2"/>
      <c r="D125" s="644">
        <v>2013</v>
      </c>
      <c r="E125" s="1042"/>
      <c r="F125" s="91">
        <f>IF(F114="n/a","n/a",VLOOKUP($F$114,TeenPregnancy,65,FALSE))</f>
        <v>34</v>
      </c>
      <c r="G125" s="87">
        <f>IF(F114="n/a","n/a",VLOOKUP($F$114,TeenPregnancy,17,FALSE))</f>
        <v>33.932135728542903</v>
      </c>
      <c r="H125" s="87">
        <f>IF(F114="n/a","n/a",VLOOKUP($F$114,TeenPregnancy,33,FALSE))</f>
        <v>23.498990403764701</v>
      </c>
      <c r="I125" s="95">
        <f>IF(F114="n/a","n/a",VLOOKUP($F$114,TeenPregnancy,49,FALSE))</f>
        <v>47.416758578047002</v>
      </c>
      <c r="J125" s="91">
        <f>VLOOKUP(J$114,TeenPregnancy,65, FALSE)</f>
        <v>260</v>
      </c>
      <c r="K125" s="87">
        <f>VLOOKUP(J$114, TeenPregnancy,17, FALSE)</f>
        <v>18.889857599534999</v>
      </c>
      <c r="L125" s="87">
        <f>VLOOKUP(J$114, TeenPregnancy,33, FALSE)</f>
        <v>16.6633302389641</v>
      </c>
      <c r="M125" s="95">
        <f>VLOOKUP(J$114, TeenPregnancy,49, FALSE)</f>
        <v>21.3310406053787</v>
      </c>
      <c r="N125" s="93">
        <f>VLOOKUP(N$114,TeenPregnancy,65, FALSE)</f>
        <v>22830</v>
      </c>
      <c r="O125" s="87">
        <f>VLOOKUP(N$114, TeenPregnancy,17, FALSE)</f>
        <v>24.346104996443501</v>
      </c>
      <c r="P125" s="87">
        <f>VLOOKUP(N$114, TeenPregnancy,33, FALSE)</f>
        <v>24.031307059552699</v>
      </c>
      <c r="Q125" s="87">
        <f>VLOOKUP(N$114, TeenPregnancy,49, FALSE)</f>
        <v>24.663996352247</v>
      </c>
      <c r="R125" s="2"/>
      <c r="S125" s="2"/>
      <c r="T125" s="2"/>
      <c r="U125" s="6"/>
    </row>
    <row r="126" spans="1:21" ht="15" x14ac:dyDescent="0.25">
      <c r="B126" s="6"/>
      <c r="C126" s="2"/>
      <c r="D126" s="2"/>
      <c r="E126" s="2"/>
      <c r="F126" s="2"/>
      <c r="G126" s="1"/>
      <c r="H126" s="2"/>
      <c r="I126" s="2"/>
      <c r="J126" s="2"/>
      <c r="K126" s="2"/>
      <c r="L126" s="2"/>
      <c r="M126" s="2"/>
      <c r="N126" s="2"/>
      <c r="O126" s="2"/>
      <c r="P126" s="2"/>
      <c r="Q126" s="2"/>
      <c r="R126" s="2"/>
      <c r="S126" s="2"/>
      <c r="T126" s="2"/>
      <c r="U126" s="6"/>
    </row>
    <row r="127" spans="1:21" x14ac:dyDescent="0.2">
      <c r="B127" s="6"/>
      <c r="C127" s="69"/>
      <c r="D127" s="69"/>
      <c r="F127" s="76" t="str">
        <f>F114</f>
        <v>Adur</v>
      </c>
      <c r="G127" s="76" t="str">
        <f>J114</f>
        <v>West Sussex</v>
      </c>
      <c r="H127" s="76" t="str">
        <f>N114</f>
        <v>England</v>
      </c>
      <c r="I127" s="69"/>
      <c r="J127" s="69"/>
      <c r="K127" s="69"/>
      <c r="L127" s="69"/>
      <c r="M127" s="69"/>
      <c r="N127" s="69"/>
      <c r="S127" s="69"/>
      <c r="T127" s="69"/>
      <c r="U127" s="6"/>
    </row>
    <row r="128" spans="1:21" x14ac:dyDescent="0.2">
      <c r="B128" s="6"/>
      <c r="C128" s="69"/>
      <c r="D128" s="69"/>
      <c r="F128" s="76"/>
      <c r="G128" s="76"/>
      <c r="H128" s="76"/>
      <c r="I128" s="69"/>
      <c r="J128" s="69"/>
      <c r="K128" s="69"/>
      <c r="L128" s="69"/>
      <c r="M128" s="69"/>
      <c r="N128" s="69"/>
      <c r="S128" s="69"/>
      <c r="T128" s="69"/>
      <c r="U128" s="6"/>
    </row>
    <row r="129" spans="2:21" x14ac:dyDescent="0.2">
      <c r="B129" s="6"/>
      <c r="C129" s="69"/>
      <c r="D129" s="69"/>
      <c r="F129" s="101"/>
      <c r="I129" s="69"/>
      <c r="J129" s="69"/>
      <c r="K129" s="69"/>
      <c r="L129" s="69"/>
      <c r="M129" s="69"/>
      <c r="N129" s="69"/>
      <c r="S129" s="69"/>
      <c r="T129" s="69"/>
      <c r="U129" s="6"/>
    </row>
    <row r="130" spans="2:21" x14ac:dyDescent="0.2">
      <c r="B130" s="6"/>
      <c r="C130" s="69"/>
      <c r="D130" s="69"/>
      <c r="F130" s="101"/>
      <c r="I130" s="69"/>
      <c r="J130" s="69"/>
      <c r="K130" s="69"/>
      <c r="L130" s="69"/>
      <c r="M130" s="69"/>
      <c r="N130" s="69"/>
      <c r="S130" s="69"/>
      <c r="T130" s="69"/>
      <c r="U130" s="6"/>
    </row>
    <row r="131" spans="2:21" x14ac:dyDescent="0.2">
      <c r="B131" s="6"/>
      <c r="C131" s="69"/>
      <c r="D131" s="69"/>
      <c r="F131" s="101"/>
      <c r="I131" s="69"/>
      <c r="J131" s="69"/>
      <c r="K131" s="69"/>
      <c r="L131" s="69"/>
      <c r="M131" s="69"/>
      <c r="N131" s="69"/>
      <c r="S131" s="69"/>
      <c r="T131" s="69"/>
      <c r="U131" s="6"/>
    </row>
    <row r="132" spans="2:21" x14ac:dyDescent="0.2">
      <c r="B132" s="6"/>
      <c r="C132" s="69"/>
      <c r="D132" s="69"/>
      <c r="F132" s="101"/>
      <c r="H132" s="102">
        <f>G121-H121</f>
        <v>10.945889574026996</v>
      </c>
      <c r="I132" s="102">
        <f>I121-G121</f>
        <v>13.710597161335507</v>
      </c>
      <c r="J132" s="76"/>
      <c r="K132" s="76"/>
      <c r="L132" s="102">
        <f>K121-L121</f>
        <v>2.7740451293187007</v>
      </c>
      <c r="M132" s="102">
        <f>M121-K121</f>
        <v>2.9842370233306035</v>
      </c>
      <c r="N132" s="76"/>
      <c r="O132" s="76"/>
      <c r="P132" s="102">
        <f>O121-P121</f>
        <v>0.38258364452750016</v>
      </c>
      <c r="Q132" s="102">
        <f>Q121-O121</f>
        <v>0.38557563010890306</v>
      </c>
      <c r="R132" s="76"/>
      <c r="S132" s="69"/>
      <c r="T132" s="69"/>
      <c r="U132" s="6"/>
    </row>
    <row r="133" spans="2:21" x14ac:dyDescent="0.2">
      <c r="B133" s="6"/>
      <c r="C133" s="69"/>
      <c r="D133" s="69"/>
      <c r="F133" s="101"/>
      <c r="H133" s="102">
        <f t="shared" ref="H133:H136" si="8">G122-H122</f>
        <v>8.9533265858523983</v>
      </c>
      <c r="I133" s="102">
        <f>I122-G122</f>
        <v>11.767766417254798</v>
      </c>
      <c r="J133" s="76"/>
      <c r="K133" s="76"/>
      <c r="L133" s="102">
        <f t="shared" ref="L133:L136" si="9">K122-L122</f>
        <v>2.6624705640250994</v>
      </c>
      <c r="M133" s="102">
        <f t="shared" ref="M133:M136" si="10">M122-K122</f>
        <v>2.8758509287077025</v>
      </c>
      <c r="N133" s="76"/>
      <c r="O133" s="76"/>
      <c r="P133" s="102">
        <f t="shared" ref="P133:P136" si="11">O122-P122</f>
        <v>0.37022557634010411</v>
      </c>
      <c r="Q133" s="102">
        <f t="shared" ref="Q133:Q136" si="12">Q122-O122</f>
        <v>0.37326963531290147</v>
      </c>
      <c r="R133" s="76"/>
      <c r="S133" s="69"/>
      <c r="T133" s="69"/>
      <c r="U133" s="6"/>
    </row>
    <row r="134" spans="2:21" x14ac:dyDescent="0.2">
      <c r="B134" s="6"/>
      <c r="C134" s="69"/>
      <c r="D134" s="69"/>
      <c r="H134" s="102">
        <f t="shared" si="8"/>
        <v>9.8251988866802016</v>
      </c>
      <c r="I134" s="102">
        <f>I123-G123</f>
        <v>12.698864751130699</v>
      </c>
      <c r="J134" s="76"/>
      <c r="K134" s="76"/>
      <c r="L134" s="102">
        <f t="shared" si="9"/>
        <v>2.5492151338675981</v>
      </c>
      <c r="M134" s="102">
        <f t="shared" si="10"/>
        <v>2.7633998358822005</v>
      </c>
      <c r="N134" s="76"/>
      <c r="O134" s="76"/>
      <c r="P134" s="102">
        <f t="shared" si="11"/>
        <v>0.35137426180580178</v>
      </c>
      <c r="Q134" s="102">
        <f t="shared" si="12"/>
        <v>0.35442720536729766</v>
      </c>
      <c r="R134" s="76"/>
      <c r="S134" s="69"/>
      <c r="T134" s="69"/>
      <c r="U134" s="6"/>
    </row>
    <row r="135" spans="2:21" x14ac:dyDescent="0.2">
      <c r="B135" s="6"/>
      <c r="C135" s="69"/>
      <c r="D135" s="69"/>
      <c r="H135" s="102">
        <f t="shared" si="8"/>
        <v>10.013421087574397</v>
      </c>
      <c r="I135" s="102">
        <f>I124-G124</f>
        <v>12.942138022225201</v>
      </c>
      <c r="J135" s="76"/>
      <c r="K135" s="76"/>
      <c r="L135" s="102">
        <f t="shared" si="9"/>
        <v>2.4482395998017026</v>
      </c>
      <c r="M135" s="102">
        <f t="shared" si="10"/>
        <v>2.6641905567294977</v>
      </c>
      <c r="N135" s="76"/>
      <c r="O135" s="76"/>
      <c r="P135" s="102">
        <f t="shared" si="11"/>
        <v>0.33524305197810023</v>
      </c>
      <c r="Q135" s="102">
        <f t="shared" si="12"/>
        <v>0.33831964560899763</v>
      </c>
      <c r="R135" s="76"/>
      <c r="S135" s="69"/>
      <c r="T135" s="69"/>
      <c r="U135" s="6"/>
    </row>
    <row r="136" spans="2:21" x14ac:dyDescent="0.2">
      <c r="B136" s="6"/>
      <c r="C136" s="69"/>
      <c r="D136" s="69"/>
      <c r="H136" s="102">
        <f t="shared" si="8"/>
        <v>10.433145324778202</v>
      </c>
      <c r="I136" s="102">
        <f>I125-G125</f>
        <v>13.484622849504099</v>
      </c>
      <c r="J136" s="76"/>
      <c r="K136" s="76"/>
      <c r="L136" s="102">
        <f t="shared" si="9"/>
        <v>2.2265273605708984</v>
      </c>
      <c r="M136" s="102">
        <f t="shared" si="10"/>
        <v>2.4411830058437012</v>
      </c>
      <c r="N136" s="76"/>
      <c r="O136" s="76"/>
      <c r="P136" s="102">
        <f t="shared" si="11"/>
        <v>0.31479793689080182</v>
      </c>
      <c r="Q136" s="102">
        <f t="shared" si="12"/>
        <v>0.31789135580349992</v>
      </c>
      <c r="R136" s="76"/>
      <c r="S136" s="69"/>
      <c r="T136" s="69"/>
      <c r="U136" s="6"/>
    </row>
    <row r="137" spans="2:21" x14ac:dyDescent="0.2">
      <c r="B137" s="6"/>
      <c r="C137" s="69"/>
      <c r="D137" s="69"/>
      <c r="I137" s="69"/>
      <c r="J137" s="69"/>
      <c r="K137" s="69"/>
      <c r="L137" s="69"/>
      <c r="M137" s="69"/>
      <c r="N137" s="69"/>
      <c r="S137" s="69"/>
      <c r="T137" s="69"/>
      <c r="U137" s="6"/>
    </row>
    <row r="138" spans="2:21" x14ac:dyDescent="0.2">
      <c r="B138" s="6"/>
      <c r="C138" s="69"/>
      <c r="D138" s="69"/>
      <c r="I138" s="69"/>
      <c r="J138" s="69"/>
      <c r="K138" s="69"/>
      <c r="L138" s="69"/>
      <c r="M138" s="69"/>
      <c r="N138" s="69"/>
      <c r="S138" s="69"/>
      <c r="T138" s="69"/>
      <c r="U138" s="6"/>
    </row>
    <row r="139" spans="2:21" x14ac:dyDescent="0.2">
      <c r="B139" s="6"/>
      <c r="C139" s="69"/>
      <c r="D139" s="69"/>
      <c r="F139" s="101"/>
      <c r="I139" s="69"/>
      <c r="J139" s="69"/>
      <c r="K139" s="69"/>
      <c r="L139" s="69"/>
      <c r="M139" s="69"/>
      <c r="N139" s="69"/>
      <c r="S139" s="69"/>
      <c r="T139" s="69"/>
      <c r="U139" s="6"/>
    </row>
    <row r="140" spans="2:21" x14ac:dyDescent="0.2">
      <c r="B140" s="6"/>
      <c r="C140" s="69"/>
      <c r="D140" s="69"/>
      <c r="F140" s="101"/>
      <c r="I140" s="69"/>
      <c r="J140" s="69"/>
      <c r="K140" s="69"/>
      <c r="L140" s="69"/>
      <c r="M140" s="69"/>
      <c r="N140" s="69"/>
      <c r="S140" s="69"/>
      <c r="T140" s="69"/>
      <c r="U140" s="6"/>
    </row>
    <row r="141" spans="2:21" x14ac:dyDescent="0.2">
      <c r="B141" s="6"/>
      <c r="C141" s="69"/>
      <c r="D141" s="69"/>
      <c r="F141" s="69"/>
      <c r="I141" s="69"/>
      <c r="J141" s="69"/>
      <c r="K141" s="69"/>
      <c r="L141" s="69"/>
      <c r="M141" s="69"/>
      <c r="N141" s="69"/>
      <c r="S141" s="69"/>
      <c r="T141" s="69"/>
      <c r="U141" s="6"/>
    </row>
    <row r="142" spans="2:21" x14ac:dyDescent="0.2">
      <c r="B142" s="6"/>
      <c r="C142" s="69"/>
      <c r="D142" s="69"/>
      <c r="F142" s="69"/>
      <c r="I142" s="69"/>
      <c r="J142" s="69"/>
      <c r="K142" s="69"/>
      <c r="L142" s="69"/>
      <c r="M142" s="69"/>
      <c r="N142" s="69"/>
      <c r="S142" s="69"/>
      <c r="T142" s="69"/>
      <c r="U142" s="6"/>
    </row>
    <row r="143" spans="2:21" x14ac:dyDescent="0.2">
      <c r="B143" s="6"/>
      <c r="C143" s="6"/>
      <c r="D143" s="6"/>
      <c r="E143" s="6"/>
      <c r="F143" s="6"/>
      <c r="G143" s="6"/>
      <c r="H143" s="6"/>
      <c r="I143" s="6"/>
      <c r="J143" s="6"/>
      <c r="K143" s="6"/>
      <c r="L143" s="6"/>
      <c r="M143" s="6"/>
      <c r="N143" s="6"/>
      <c r="O143" s="6"/>
      <c r="P143" s="6"/>
      <c r="Q143" s="6"/>
      <c r="R143" s="6"/>
      <c r="S143" s="6"/>
      <c r="T143" s="6"/>
      <c r="U143" s="6"/>
    </row>
    <row r="144" spans="2:21" x14ac:dyDescent="0.2">
      <c r="B144" s="6"/>
      <c r="C144" s="6"/>
      <c r="D144" s="6"/>
      <c r="E144" s="6"/>
      <c r="F144" s="6"/>
      <c r="G144" s="6"/>
      <c r="H144" s="6"/>
      <c r="I144" s="6"/>
      <c r="J144" s="6"/>
      <c r="K144" s="6"/>
      <c r="L144" s="6"/>
      <c r="M144" s="6"/>
      <c r="N144" s="6"/>
      <c r="O144" s="6"/>
      <c r="P144" s="6"/>
      <c r="Q144" s="6"/>
      <c r="R144" s="6"/>
      <c r="S144" s="6"/>
      <c r="T144" s="6"/>
      <c r="U144" s="6"/>
    </row>
    <row r="145" spans="2:21" s="69" customFormat="1" x14ac:dyDescent="0.2">
      <c r="B145" s="6"/>
      <c r="C145" s="6"/>
      <c r="D145" s="6"/>
      <c r="E145" s="6"/>
      <c r="F145" s="6"/>
      <c r="G145" s="6"/>
      <c r="H145" s="6"/>
      <c r="I145" s="6"/>
      <c r="J145" s="6"/>
      <c r="K145" s="6"/>
      <c r="L145" s="6"/>
      <c r="M145" s="6"/>
      <c r="N145" s="6"/>
      <c r="O145" s="6"/>
      <c r="P145" s="6"/>
      <c r="Q145" s="6"/>
      <c r="R145" s="6"/>
      <c r="S145" s="6"/>
      <c r="T145" s="6"/>
      <c r="U145" s="6"/>
    </row>
    <row r="146" spans="2:21" s="69" customFormat="1" x14ac:dyDescent="0.2">
      <c r="B146" s="6"/>
      <c r="U146" s="6"/>
    </row>
    <row r="147" spans="2:21" s="69" customFormat="1" ht="21" customHeight="1" x14ac:dyDescent="0.25">
      <c r="B147" s="6"/>
      <c r="C147" s="154" t="s">
        <v>496</v>
      </c>
      <c r="D147" s="155"/>
      <c r="E147" s="155"/>
      <c r="F147" s="155"/>
      <c r="G147" s="155"/>
      <c r="H147" s="155"/>
      <c r="I147" s="155"/>
      <c r="J147" s="155"/>
      <c r="K147" s="155"/>
      <c r="L147" s="155"/>
      <c r="M147" s="155"/>
      <c r="N147" s="155"/>
      <c r="O147" s="155"/>
      <c r="P147" s="155"/>
      <c r="Q147" s="155"/>
      <c r="R147" s="155"/>
      <c r="S147" s="155"/>
      <c r="T147" s="103"/>
      <c r="U147" s="6"/>
    </row>
    <row r="148" spans="2:21" s="69" customFormat="1" ht="30" customHeight="1" x14ac:dyDescent="0.25">
      <c r="B148" s="6"/>
      <c r="C148" s="711" t="s">
        <v>982</v>
      </c>
      <c r="D148" s="711"/>
      <c r="E148" s="711"/>
      <c r="F148" s="711"/>
      <c r="G148" s="711"/>
      <c r="H148" s="711"/>
      <c r="I148" s="711"/>
      <c r="J148" s="711"/>
      <c r="K148" s="711"/>
      <c r="L148" s="711"/>
      <c r="M148" s="711"/>
      <c r="N148" s="711"/>
      <c r="O148" s="711"/>
      <c r="P148" s="711"/>
      <c r="Q148" s="711"/>
      <c r="R148" s="711"/>
      <c r="S148" s="711"/>
      <c r="T148" s="103"/>
      <c r="U148" s="6"/>
    </row>
    <row r="149" spans="2:21" s="69" customFormat="1" ht="15" x14ac:dyDescent="0.25">
      <c r="B149" s="6"/>
      <c r="C149" s="103"/>
      <c r="D149" s="103"/>
      <c r="E149" s="103"/>
      <c r="F149" s="103"/>
      <c r="G149" s="103"/>
      <c r="H149" s="103"/>
      <c r="I149" s="103"/>
      <c r="J149" s="103"/>
      <c r="K149" s="103"/>
      <c r="L149" s="103"/>
      <c r="M149" s="103"/>
      <c r="N149" s="103"/>
      <c r="O149" s="103"/>
      <c r="P149" s="103"/>
      <c r="Q149" s="103"/>
      <c r="R149" s="103"/>
      <c r="S149" s="103"/>
      <c r="T149" s="103"/>
      <c r="U149" s="6"/>
    </row>
    <row r="150" spans="2:21" s="69" customFormat="1" ht="15" x14ac:dyDescent="0.25">
      <c r="B150" s="6"/>
      <c r="C150" s="103"/>
      <c r="D150" s="103"/>
      <c r="E150" s="103"/>
      <c r="F150" s="103"/>
      <c r="G150" s="103"/>
      <c r="H150" s="103"/>
      <c r="I150" s="103"/>
      <c r="J150" s="103"/>
      <c r="K150" s="103"/>
      <c r="L150" s="103"/>
      <c r="M150" s="103"/>
      <c r="N150" s="103"/>
      <c r="O150" s="103"/>
      <c r="P150" s="103"/>
      <c r="Q150" s="103"/>
      <c r="R150" s="103"/>
      <c r="S150" s="103"/>
      <c r="T150" s="103"/>
      <c r="U150" s="6"/>
    </row>
    <row r="151" spans="2:21" ht="15" customHeight="1" x14ac:dyDescent="0.25">
      <c r="B151" s="6"/>
      <c r="C151" s="103"/>
      <c r="D151" s="649" t="s">
        <v>477</v>
      </c>
      <c r="E151" s="655"/>
      <c r="F151" s="655"/>
      <c r="G151" s="655"/>
      <c r="H151" s="714"/>
      <c r="I151" s="746" t="str">
        <f>INDEX(Locations, selection)</f>
        <v>Kingston Buci</v>
      </c>
      <c r="J151" s="747"/>
      <c r="K151" s="752" t="str">
        <f>INDEX(Locations, selection2)</f>
        <v>Stepping Stones</v>
      </c>
      <c r="L151" s="753"/>
      <c r="N151" s="73"/>
      <c r="O151" s="73"/>
      <c r="P151" s="73"/>
      <c r="Q151" s="72"/>
      <c r="R151" s="103"/>
      <c r="S151" s="103"/>
      <c r="T151" s="103"/>
      <c r="U151" s="6"/>
    </row>
    <row r="152" spans="2:21" ht="15" x14ac:dyDescent="0.25">
      <c r="B152" s="6"/>
      <c r="C152" s="103"/>
      <c r="D152" s="650"/>
      <c r="E152" s="656"/>
      <c r="F152" s="656"/>
      <c r="G152" s="656"/>
      <c r="H152" s="715"/>
      <c r="I152" s="748"/>
      <c r="J152" s="749"/>
      <c r="K152" s="754"/>
      <c r="L152" s="755"/>
      <c r="N152" s="156"/>
      <c r="O152" s="156" t="str">
        <f>I151</f>
        <v>Kingston Buci</v>
      </c>
      <c r="P152" s="156" t="str">
        <f>K151</f>
        <v>Stepping Stones</v>
      </c>
      <c r="Q152" s="72"/>
      <c r="R152" s="103"/>
      <c r="S152" s="103"/>
      <c r="T152" s="103"/>
      <c r="U152" s="6"/>
    </row>
    <row r="153" spans="2:21" ht="15" x14ac:dyDescent="0.25">
      <c r="B153" s="6"/>
      <c r="C153" s="103"/>
      <c r="D153" s="651"/>
      <c r="E153" s="657"/>
      <c r="F153" s="657"/>
      <c r="G153" s="657"/>
      <c r="H153" s="716"/>
      <c r="I153" s="750"/>
      <c r="J153" s="751"/>
      <c r="K153" s="756"/>
      <c r="L153" s="757"/>
      <c r="N153" s="156"/>
      <c r="O153" s="157">
        <f>I155</f>
        <v>7.9207920792079209E-2</v>
      </c>
      <c r="P153" s="157">
        <f>K155</f>
        <v>4.3478260869565216E-2</v>
      </c>
      <c r="Q153" s="72"/>
      <c r="R153" s="103"/>
      <c r="S153" s="103"/>
      <c r="T153" s="103"/>
      <c r="U153" s="6"/>
    </row>
    <row r="154" spans="2:21" ht="15" x14ac:dyDescent="0.25">
      <c r="B154" s="6"/>
      <c r="C154" s="103"/>
      <c r="D154" s="1037" t="s">
        <v>497</v>
      </c>
      <c r="E154" s="1038"/>
      <c r="F154" s="1038"/>
      <c r="G154" s="1038"/>
      <c r="H154" s="1039"/>
      <c r="I154" s="823">
        <f>IF(HLOOKUP(D154, Birthweight, selection+1, FALSE) = "", "", HLOOKUP(D154,Birthweight, selection+1, FALSE))</f>
        <v>16</v>
      </c>
      <c r="J154" s="825"/>
      <c r="K154" s="823">
        <f>IF(HLOOKUP(D154, Birthweight, selection2+1, FALSE) = "", "", HLOOKUP(D154,Birthweight, selection2+1, FALSE))</f>
        <v>5</v>
      </c>
      <c r="L154" s="825"/>
      <c r="N154" s="156" t="s">
        <v>420</v>
      </c>
      <c r="O154" s="157">
        <f>I157-O153</f>
        <v>4.5572660232110929E-2</v>
      </c>
      <c r="P154" s="157">
        <f>K157-P153</f>
        <v>5.4279588477324017E-2</v>
      </c>
      <c r="Q154" s="72"/>
      <c r="R154" s="103"/>
      <c r="S154" s="103"/>
      <c r="T154" s="103"/>
      <c r="U154" s="6"/>
    </row>
    <row r="155" spans="2:21" ht="15" x14ac:dyDescent="0.25">
      <c r="B155" s="6"/>
      <c r="C155" s="153"/>
      <c r="D155" s="672" t="s">
        <v>498</v>
      </c>
      <c r="E155" s="673"/>
      <c r="F155" s="673"/>
      <c r="G155" s="673"/>
      <c r="H155" s="674"/>
      <c r="I155" s="1031">
        <f>IF(HLOOKUP(D155, Birthweight, selection+1, FALSE) = "", "", HLOOKUP(D155,Birthweight, selection+1, FALSE))</f>
        <v>7.9207920792079209E-2</v>
      </c>
      <c r="J155" s="1032"/>
      <c r="K155" s="1031">
        <f>IF(HLOOKUP(D155, Birthweight, selection2+1, FALSE) = "", "", HLOOKUP(D155,Birthweight, selection2+1, FALSE))</f>
        <v>4.3478260869565216E-2</v>
      </c>
      <c r="L155" s="1032"/>
      <c r="N155" s="156" t="s">
        <v>419</v>
      </c>
      <c r="O155" s="157">
        <f>I155-I156</f>
        <v>2.9866830574543653E-2</v>
      </c>
      <c r="P155" s="157">
        <f>K155-K156</f>
        <v>2.4766159762733834E-2</v>
      </c>
      <c r="Q155" s="72"/>
      <c r="R155" s="103"/>
      <c r="S155" s="103"/>
      <c r="T155" s="103"/>
      <c r="U155" s="6"/>
    </row>
    <row r="156" spans="2:21" ht="15" x14ac:dyDescent="0.25">
      <c r="B156" s="6"/>
      <c r="C156" s="153"/>
      <c r="D156" s="672" t="s">
        <v>419</v>
      </c>
      <c r="E156" s="673"/>
      <c r="F156" s="673"/>
      <c r="G156" s="673"/>
      <c r="H156" s="674"/>
      <c r="I156" s="1031">
        <f>IF(HLOOKUP(D156, Birthweight, selection+1, FALSE) = "", "", HLOOKUP(D156,Birthweight, selection+1, FALSE))</f>
        <v>4.9341090217535556E-2</v>
      </c>
      <c r="J156" s="1032"/>
      <c r="K156" s="1031">
        <f>IF(HLOOKUP(D156, Birthweight, selection2+1, FALSE) = "", "", HLOOKUP(D156,Birthweight, selection2+1, FALSE))</f>
        <v>1.8712101106831382E-2</v>
      </c>
      <c r="L156" s="1032"/>
      <c r="N156" s="73"/>
      <c r="O156" s="73"/>
      <c r="P156" s="73"/>
      <c r="Q156" s="72"/>
      <c r="R156" s="103"/>
      <c r="S156" s="103"/>
      <c r="T156" s="103"/>
      <c r="U156" s="6"/>
    </row>
    <row r="157" spans="2:21" ht="15" x14ac:dyDescent="0.25">
      <c r="B157" s="6"/>
      <c r="C157" s="153"/>
      <c r="D157" s="672" t="s">
        <v>420</v>
      </c>
      <c r="E157" s="673"/>
      <c r="F157" s="673"/>
      <c r="G157" s="673"/>
      <c r="H157" s="674"/>
      <c r="I157" s="1031">
        <f>IF(HLOOKUP(D157, Birthweight, selection+1, FALSE) = "", "", HLOOKUP(D157,Birthweight, selection+1, FALSE))</f>
        <v>0.12478058102419014</v>
      </c>
      <c r="J157" s="1032"/>
      <c r="K157" s="1031">
        <f>IF(HLOOKUP(D157, Birthweight, selection2+1, FALSE) = "", "", HLOOKUP(D157,Birthweight, selection2+1, FALSE))</f>
        <v>9.7757849346889233E-2</v>
      </c>
      <c r="L157" s="1032"/>
      <c r="N157" s="72"/>
      <c r="O157" s="72"/>
      <c r="P157" s="72"/>
      <c r="Q157" s="72"/>
      <c r="R157" s="103"/>
      <c r="S157" s="103"/>
      <c r="T157" s="103"/>
      <c r="U157" s="6"/>
    </row>
    <row r="158" spans="2:21" ht="15" x14ac:dyDescent="0.25">
      <c r="B158" s="6"/>
      <c r="C158" s="103"/>
      <c r="D158" s="103"/>
      <c r="E158" s="103"/>
      <c r="F158" s="103"/>
      <c r="G158" s="103"/>
      <c r="H158" s="103"/>
      <c r="I158" s="103"/>
      <c r="J158" s="103"/>
      <c r="K158" s="103"/>
      <c r="L158" s="103"/>
      <c r="M158" s="103"/>
      <c r="N158" s="103"/>
      <c r="O158" s="103"/>
      <c r="P158" s="103"/>
      <c r="Q158" s="103"/>
      <c r="R158" s="103"/>
      <c r="S158" s="103"/>
      <c r="T158" s="103"/>
      <c r="U158" s="6"/>
    </row>
    <row r="159" spans="2:21" ht="15" x14ac:dyDescent="0.25">
      <c r="B159" s="6"/>
      <c r="C159" s="103"/>
      <c r="D159" s="103"/>
      <c r="E159" s="103"/>
      <c r="F159" s="103"/>
      <c r="G159" s="103"/>
      <c r="H159" s="103"/>
      <c r="I159" s="103"/>
      <c r="J159" s="103"/>
      <c r="K159" s="103"/>
      <c r="L159" s="103"/>
      <c r="M159" s="103"/>
      <c r="N159" s="103"/>
      <c r="O159" s="103"/>
      <c r="P159" s="103"/>
      <c r="Q159" s="103"/>
      <c r="R159" s="103"/>
      <c r="S159" s="103"/>
      <c r="T159" s="103"/>
      <c r="U159" s="6"/>
    </row>
    <row r="160" spans="2:21" ht="15" x14ac:dyDescent="0.25">
      <c r="B160" s="6"/>
      <c r="C160" s="103"/>
      <c r="D160" s="103"/>
      <c r="E160" s="103"/>
      <c r="F160" s="103"/>
      <c r="G160" s="103"/>
      <c r="H160" s="103"/>
      <c r="I160" s="103"/>
      <c r="J160" s="103"/>
      <c r="K160" s="103"/>
      <c r="L160" s="103"/>
      <c r="M160" s="103"/>
      <c r="N160" s="103"/>
      <c r="O160" s="103"/>
      <c r="P160" s="103"/>
      <c r="Q160" s="103"/>
      <c r="R160" s="103"/>
      <c r="S160" s="103"/>
      <c r="T160" s="103"/>
      <c r="U160" s="6"/>
    </row>
    <row r="161" spans="2:21" ht="15" x14ac:dyDescent="0.25">
      <c r="B161" s="6"/>
      <c r="C161" s="103"/>
      <c r="D161" s="103"/>
      <c r="E161" s="103"/>
      <c r="F161" s="103"/>
      <c r="G161" s="103"/>
      <c r="H161" s="103"/>
      <c r="I161" s="103"/>
      <c r="J161" s="103"/>
      <c r="K161" s="103"/>
      <c r="L161" s="103"/>
      <c r="M161" s="103"/>
      <c r="N161" s="103"/>
      <c r="O161" s="103"/>
      <c r="P161" s="103"/>
      <c r="Q161" s="103"/>
      <c r="R161" s="103"/>
      <c r="S161" s="103"/>
      <c r="T161" s="103"/>
      <c r="U161" s="6"/>
    </row>
    <row r="162" spans="2:21" x14ac:dyDescent="0.2">
      <c r="B162" s="6"/>
      <c r="C162" s="6"/>
      <c r="D162" s="6"/>
      <c r="E162" s="6"/>
      <c r="F162" s="6"/>
      <c r="G162" s="6"/>
      <c r="H162" s="6"/>
      <c r="I162" s="6"/>
      <c r="J162" s="6"/>
      <c r="K162" s="6"/>
      <c r="L162" s="6"/>
      <c r="M162" s="6"/>
      <c r="N162" s="6"/>
      <c r="O162" s="6"/>
      <c r="P162" s="6"/>
      <c r="Q162" s="6"/>
      <c r="R162" s="6"/>
      <c r="S162" s="6"/>
      <c r="T162" s="6"/>
      <c r="U162" s="6"/>
    </row>
    <row r="163" spans="2:21" x14ac:dyDescent="0.2">
      <c r="B163" s="6"/>
      <c r="C163" s="6"/>
      <c r="D163" s="6"/>
      <c r="E163" s="6"/>
      <c r="F163" s="6"/>
      <c r="G163" s="6"/>
      <c r="H163" s="6"/>
      <c r="I163" s="6"/>
      <c r="J163" s="6"/>
      <c r="K163" s="6"/>
      <c r="L163" s="6"/>
      <c r="M163" s="6"/>
      <c r="N163" s="6"/>
      <c r="O163" s="6"/>
      <c r="P163" s="6"/>
      <c r="Q163" s="6"/>
      <c r="R163" s="6"/>
      <c r="S163" s="6"/>
      <c r="T163" s="6"/>
      <c r="U163" s="6"/>
    </row>
    <row r="164" spans="2:21" x14ac:dyDescent="0.2">
      <c r="B164" s="6"/>
      <c r="C164" s="6"/>
      <c r="D164" s="6"/>
      <c r="E164" s="6"/>
      <c r="F164" s="6"/>
      <c r="G164" s="6"/>
      <c r="H164" s="6"/>
      <c r="I164" s="6"/>
      <c r="J164" s="6"/>
      <c r="K164" s="6"/>
      <c r="L164" s="6"/>
      <c r="M164" s="6"/>
      <c r="N164" s="6"/>
      <c r="O164" s="6"/>
      <c r="P164" s="6"/>
      <c r="Q164" s="6"/>
      <c r="R164" s="6"/>
      <c r="S164" s="6"/>
      <c r="T164" s="6"/>
      <c r="U164" s="6"/>
    </row>
    <row r="165" spans="2:21" x14ac:dyDescent="0.2">
      <c r="B165" s="6"/>
      <c r="C165" s="69"/>
      <c r="D165" s="69"/>
      <c r="F165" s="69"/>
      <c r="I165" s="69"/>
      <c r="J165" s="69"/>
      <c r="K165" s="69"/>
      <c r="L165" s="69"/>
      <c r="M165" s="69"/>
      <c r="N165" s="69"/>
      <c r="S165" s="69"/>
      <c r="T165" s="69"/>
      <c r="U165" s="6"/>
    </row>
    <row r="166" spans="2:21" ht="51" customHeight="1" x14ac:dyDescent="0.2">
      <c r="B166" s="6"/>
      <c r="C166" s="711" t="s">
        <v>619</v>
      </c>
      <c r="D166" s="711"/>
      <c r="E166" s="711"/>
      <c r="F166" s="711"/>
      <c r="G166" s="711"/>
      <c r="H166" s="711"/>
      <c r="I166" s="711"/>
      <c r="J166" s="711"/>
      <c r="K166" s="711"/>
      <c r="L166" s="711"/>
      <c r="M166" s="711"/>
      <c r="N166" s="711"/>
      <c r="O166" s="711"/>
      <c r="P166" s="711"/>
      <c r="Q166" s="711"/>
      <c r="R166" s="711"/>
      <c r="S166" s="711"/>
      <c r="T166" s="69"/>
      <c r="U166" s="6"/>
    </row>
    <row r="167" spans="2:21" ht="15" x14ac:dyDescent="0.25">
      <c r="B167" s="6"/>
      <c r="C167" s="195" t="s">
        <v>620</v>
      </c>
      <c r="D167" s="165"/>
      <c r="E167" s="165"/>
      <c r="F167" s="165"/>
      <c r="G167" s="165"/>
      <c r="H167" s="165"/>
      <c r="I167" s="165"/>
      <c r="J167" s="165"/>
      <c r="K167" s="165"/>
      <c r="L167" s="165"/>
      <c r="M167" s="165"/>
      <c r="N167" s="165"/>
      <c r="O167" s="165"/>
      <c r="P167" s="165"/>
      <c r="Q167" s="165"/>
      <c r="R167" s="165"/>
      <c r="S167" s="165"/>
      <c r="T167" s="69"/>
      <c r="U167" s="6"/>
    </row>
    <row r="168" spans="2:21" ht="15" x14ac:dyDescent="0.25">
      <c r="B168" s="6"/>
      <c r="C168" s="195"/>
      <c r="D168" s="165"/>
      <c r="E168" s="165"/>
      <c r="F168" s="165"/>
      <c r="G168" s="165"/>
      <c r="H168" s="165"/>
      <c r="I168" s="165"/>
      <c r="J168" s="165"/>
      <c r="K168" s="165"/>
      <c r="L168" s="165"/>
      <c r="M168" s="165"/>
      <c r="N168" s="165"/>
      <c r="O168" s="165"/>
      <c r="P168" s="165"/>
      <c r="Q168" s="165"/>
      <c r="R168" s="165"/>
      <c r="S168" s="165"/>
      <c r="T168" s="69"/>
      <c r="U168" s="6"/>
    </row>
    <row r="169" spans="2:21" ht="15" x14ac:dyDescent="0.25">
      <c r="B169" s="6"/>
      <c r="C169" s="165"/>
      <c r="D169" s="165"/>
      <c r="E169" s="165"/>
      <c r="F169" s="649" t="s">
        <v>306</v>
      </c>
      <c r="G169" s="655"/>
      <c r="H169" s="655"/>
      <c r="I169" s="714"/>
      <c r="J169" s="746" t="str">
        <f>INDEX(Locations, selection)</f>
        <v>Kingston Buci</v>
      </c>
      <c r="K169" s="747"/>
      <c r="L169" s="637" t="str">
        <f>INDEX(Locations, selection2)</f>
        <v>Stepping Stones</v>
      </c>
      <c r="M169" s="637"/>
      <c r="N169" s="708" t="s">
        <v>292</v>
      </c>
      <c r="O169" s="708"/>
      <c r="P169" s="165"/>
      <c r="Q169" s="165"/>
      <c r="R169" s="165"/>
      <c r="S169" s="165"/>
      <c r="T169" s="69"/>
      <c r="U169" s="6"/>
    </row>
    <row r="170" spans="2:21" ht="15" x14ac:dyDescent="0.25">
      <c r="B170" s="6"/>
      <c r="C170" s="165"/>
      <c r="D170" s="165"/>
      <c r="E170" s="165"/>
      <c r="F170" s="650"/>
      <c r="G170" s="656"/>
      <c r="H170" s="656"/>
      <c r="I170" s="715"/>
      <c r="J170" s="748"/>
      <c r="K170" s="749"/>
      <c r="L170" s="637"/>
      <c r="M170" s="637"/>
      <c r="N170" s="708"/>
      <c r="O170" s="708"/>
      <c r="P170" s="165"/>
      <c r="Q170" s="165"/>
      <c r="R170" s="165"/>
      <c r="S170" s="165"/>
      <c r="T170" s="69"/>
      <c r="U170" s="6"/>
    </row>
    <row r="171" spans="2:21" ht="15" x14ac:dyDescent="0.25">
      <c r="B171" s="6"/>
      <c r="C171" s="165"/>
      <c r="D171" s="165"/>
      <c r="E171" s="165"/>
      <c r="F171" s="651"/>
      <c r="G171" s="657"/>
      <c r="H171" s="657"/>
      <c r="I171" s="716"/>
      <c r="J171" s="750"/>
      <c r="K171" s="751"/>
      <c r="L171" s="637"/>
      <c r="M171" s="637"/>
      <c r="N171" s="708"/>
      <c r="O171" s="708"/>
      <c r="P171" s="165"/>
      <c r="Q171" s="165"/>
      <c r="R171" s="165"/>
      <c r="S171" s="165"/>
      <c r="T171" s="69"/>
      <c r="U171" s="6"/>
    </row>
    <row r="172" spans="2:21" ht="30.75" customHeight="1" x14ac:dyDescent="0.25">
      <c r="B172" s="6"/>
      <c r="C172" s="165"/>
      <c r="D172" s="165"/>
      <c r="E172" s="165"/>
      <c r="F172" s="1033" t="s">
        <v>621</v>
      </c>
      <c r="G172" s="1034"/>
      <c r="H172" s="1034"/>
      <c r="I172" s="1035"/>
      <c r="J172" s="823">
        <f>IF(HLOOKUP($F$172, LTLI, selection+1, FALSE) = "", "", HLOOKUP($F$172,LTLI, selection+1, FALSE))</f>
        <v>22</v>
      </c>
      <c r="K172" s="825"/>
      <c r="L172" s="823">
        <f>IF(HLOOKUP($F$172, LTLI, selection2+1, FALSE) = "", "", HLOOKUP($F$172,LTLI, selection2+1, FALSE))</f>
        <v>26</v>
      </c>
      <c r="M172" s="825"/>
      <c r="N172" s="1036">
        <v>853</v>
      </c>
      <c r="O172" s="825"/>
      <c r="P172" s="165"/>
      <c r="Q172" s="165"/>
      <c r="R172" s="165"/>
      <c r="S172" s="165"/>
      <c r="T172" s="69"/>
      <c r="U172" s="6"/>
    </row>
    <row r="173" spans="2:21" ht="30.75" customHeight="1" x14ac:dyDescent="0.25">
      <c r="B173" s="6"/>
      <c r="C173" s="165"/>
      <c r="D173" s="165"/>
      <c r="E173" s="165"/>
      <c r="F173" s="1037" t="s">
        <v>622</v>
      </c>
      <c r="G173" s="1038"/>
      <c r="H173" s="1038"/>
      <c r="I173" s="1039"/>
      <c r="J173" s="1031">
        <f>IF(HLOOKUP(F173, LTLI, selection+1, FALSE) = "", "", HLOOKUP(F173,LTLI, selection+1, FALSE))</f>
        <v>2.4663677130044841E-2</v>
      </c>
      <c r="K173" s="1032"/>
      <c r="L173" s="1031">
        <f>IF(HLOOKUP(F173, LTLI, selection2+1, FALSE) = "", "", HLOOKUP(F173,LTLI, selection2+1, FALSE))</f>
        <v>3.2338308457711441E-2</v>
      </c>
      <c r="M173" s="1032"/>
      <c r="N173" s="1031">
        <v>1.7999999999999999E-2</v>
      </c>
      <c r="O173" s="1032"/>
      <c r="P173" s="165"/>
      <c r="Q173" s="165"/>
      <c r="R173" s="165"/>
      <c r="S173" s="165"/>
      <c r="T173" s="69"/>
      <c r="U173" s="6"/>
    </row>
    <row r="174" spans="2:21" ht="15" x14ac:dyDescent="0.25">
      <c r="B174" s="6"/>
      <c r="C174" s="165"/>
      <c r="D174" s="165"/>
      <c r="E174" s="165"/>
      <c r="F174" s="165"/>
      <c r="G174" s="165"/>
      <c r="H174" s="165"/>
      <c r="I174" s="165"/>
      <c r="J174" s="165"/>
      <c r="K174" s="165"/>
      <c r="L174" s="165"/>
      <c r="M174" s="165"/>
      <c r="N174" s="165"/>
      <c r="O174" s="165"/>
      <c r="P174" s="165"/>
      <c r="Q174" s="165"/>
      <c r="R174" s="165"/>
      <c r="S174" s="165"/>
      <c r="T174" s="69"/>
      <c r="U174" s="6"/>
    </row>
    <row r="175" spans="2:21" ht="15" x14ac:dyDescent="0.25">
      <c r="B175" s="6"/>
      <c r="C175" s="165"/>
      <c r="D175" s="165"/>
      <c r="E175" s="165"/>
      <c r="F175" s="165"/>
      <c r="G175" s="165"/>
      <c r="H175" s="165"/>
      <c r="I175" s="165"/>
      <c r="J175" s="165"/>
      <c r="K175" s="165"/>
      <c r="L175" s="165"/>
      <c r="M175" s="165"/>
      <c r="N175" s="165"/>
      <c r="O175" s="165"/>
      <c r="P175" s="165"/>
      <c r="Q175" s="165"/>
      <c r="R175" s="165"/>
      <c r="S175" s="165"/>
      <c r="T175" s="69"/>
      <c r="U175" s="6"/>
    </row>
    <row r="176" spans="2:21" x14ac:dyDescent="0.2">
      <c r="B176" s="6"/>
      <c r="C176" s="6"/>
      <c r="D176" s="6"/>
      <c r="E176" s="6"/>
      <c r="F176" s="6"/>
      <c r="G176" s="6"/>
      <c r="H176" s="6"/>
      <c r="I176" s="6"/>
      <c r="J176" s="6"/>
      <c r="K176" s="6"/>
      <c r="L176" s="6"/>
      <c r="M176" s="6"/>
      <c r="N176" s="6"/>
      <c r="O176" s="6"/>
      <c r="P176" s="6"/>
      <c r="Q176" s="6"/>
      <c r="R176" s="6"/>
      <c r="S176" s="6"/>
      <c r="T176" s="6"/>
      <c r="U176" s="6"/>
    </row>
    <row r="177" spans="2:21" x14ac:dyDescent="0.2">
      <c r="B177" s="6"/>
      <c r="C177" s="6"/>
      <c r="D177" s="6"/>
      <c r="E177" s="6"/>
      <c r="F177" s="6"/>
      <c r="G177" s="6"/>
      <c r="H177" s="6"/>
      <c r="I177" s="6"/>
      <c r="J177" s="6"/>
      <c r="K177" s="6"/>
      <c r="L177" s="6"/>
      <c r="M177" s="6"/>
      <c r="N177" s="6"/>
      <c r="O177" s="6"/>
      <c r="P177" s="6"/>
      <c r="Q177" s="6"/>
      <c r="R177" s="6"/>
      <c r="S177" s="6"/>
      <c r="T177" s="6"/>
      <c r="U177" s="6"/>
    </row>
  </sheetData>
  <sheetProtection sheet="1" objects="1" scenarios="1"/>
  <mergeCells count="125">
    <mergeCell ref="M28:N28"/>
    <mergeCell ref="M29:N29"/>
    <mergeCell ref="M30:N30"/>
    <mergeCell ref="K25:L25"/>
    <mergeCell ref="K26:L26"/>
    <mergeCell ref="K27:L27"/>
    <mergeCell ref="K28:L28"/>
    <mergeCell ref="K29:L29"/>
    <mergeCell ref="D112:E112"/>
    <mergeCell ref="K48:L48"/>
    <mergeCell ref="M48:N48"/>
    <mergeCell ref="E49:H49"/>
    <mergeCell ref="I49:J49"/>
    <mergeCell ref="K49:L49"/>
    <mergeCell ref="M49:N49"/>
    <mergeCell ref="M46:N46"/>
    <mergeCell ref="E47:H47"/>
    <mergeCell ref="I47:J47"/>
    <mergeCell ref="K47:L47"/>
    <mergeCell ref="M47:N47"/>
    <mergeCell ref="K50:L50"/>
    <mergeCell ref="C110:S110"/>
    <mergeCell ref="O77:P79"/>
    <mergeCell ref="G80:J80"/>
    <mergeCell ref="C12:T12"/>
    <mergeCell ref="C14:T14"/>
    <mergeCell ref="C17:S17"/>
    <mergeCell ref="C18:S18"/>
    <mergeCell ref="C19:S19"/>
    <mergeCell ref="K22:L24"/>
    <mergeCell ref="M22:N24"/>
    <mergeCell ref="D111:E111"/>
    <mergeCell ref="F111:I111"/>
    <mergeCell ref="K45:L45"/>
    <mergeCell ref="M45:N45"/>
    <mergeCell ref="E46:H46"/>
    <mergeCell ref="I46:J46"/>
    <mergeCell ref="K46:L46"/>
    <mergeCell ref="E30:H30"/>
    <mergeCell ref="I25:J25"/>
    <mergeCell ref="I26:J26"/>
    <mergeCell ref="I27:J27"/>
    <mergeCell ref="K30:L30"/>
    <mergeCell ref="M25:N25"/>
    <mergeCell ref="M26:N26"/>
    <mergeCell ref="M27:N27"/>
    <mergeCell ref="E48:H48"/>
    <mergeCell ref="I48:J48"/>
    <mergeCell ref="A2:N2"/>
    <mergeCell ref="F108:J108"/>
    <mergeCell ref="C109:T109"/>
    <mergeCell ref="I22:J24"/>
    <mergeCell ref="E22:H24"/>
    <mergeCell ref="C38:S38"/>
    <mergeCell ref="E41:H43"/>
    <mergeCell ref="I41:J43"/>
    <mergeCell ref="K41:L43"/>
    <mergeCell ref="M41:N43"/>
    <mergeCell ref="E44:H44"/>
    <mergeCell ref="I44:J44"/>
    <mergeCell ref="K44:L44"/>
    <mergeCell ref="M44:N44"/>
    <mergeCell ref="E45:H45"/>
    <mergeCell ref="I45:J45"/>
    <mergeCell ref="I28:J28"/>
    <mergeCell ref="I29:J29"/>
    <mergeCell ref="I30:J30"/>
    <mergeCell ref="E25:H25"/>
    <mergeCell ref="E26:H26"/>
    <mergeCell ref="E27:H27"/>
    <mergeCell ref="E28:H28"/>
    <mergeCell ref="E29:H29"/>
    <mergeCell ref="C114:C115"/>
    <mergeCell ref="F114:I114"/>
    <mergeCell ref="J114:M114"/>
    <mergeCell ref="N114:Q114"/>
    <mergeCell ref="D120:E120"/>
    <mergeCell ref="D121:E121"/>
    <mergeCell ref="D122:E122"/>
    <mergeCell ref="D123:E123"/>
    <mergeCell ref="D124:E124"/>
    <mergeCell ref="D114:E115"/>
    <mergeCell ref="K80:L80"/>
    <mergeCell ref="M80:N80"/>
    <mergeCell ref="O80:P80"/>
    <mergeCell ref="I53:J53"/>
    <mergeCell ref="G53:H53"/>
    <mergeCell ref="G77:J79"/>
    <mergeCell ref="K77:L79"/>
    <mergeCell ref="M77:N79"/>
    <mergeCell ref="C75:S75"/>
    <mergeCell ref="I151:J153"/>
    <mergeCell ref="K151:L153"/>
    <mergeCell ref="D151:H153"/>
    <mergeCell ref="D154:H154"/>
    <mergeCell ref="D155:H155"/>
    <mergeCell ref="K154:L154"/>
    <mergeCell ref="K155:L155"/>
    <mergeCell ref="K156:L156"/>
    <mergeCell ref="D116:E116"/>
    <mergeCell ref="D117:E117"/>
    <mergeCell ref="D118:E118"/>
    <mergeCell ref="D119:E119"/>
    <mergeCell ref="C148:S148"/>
    <mergeCell ref="D125:E125"/>
    <mergeCell ref="K157:L157"/>
    <mergeCell ref="I156:J156"/>
    <mergeCell ref="I157:J157"/>
    <mergeCell ref="D156:H156"/>
    <mergeCell ref="D157:H157"/>
    <mergeCell ref="I154:J154"/>
    <mergeCell ref="I155:J155"/>
    <mergeCell ref="F173:I173"/>
    <mergeCell ref="J173:K173"/>
    <mergeCell ref="L173:M173"/>
    <mergeCell ref="N173:O173"/>
    <mergeCell ref="C166:S166"/>
    <mergeCell ref="F169:I171"/>
    <mergeCell ref="J169:K171"/>
    <mergeCell ref="L169:M171"/>
    <mergeCell ref="N169:O171"/>
    <mergeCell ref="F172:I172"/>
    <mergeCell ref="J172:K172"/>
    <mergeCell ref="L172:M172"/>
    <mergeCell ref="N172:O172"/>
  </mergeCells>
  <pageMargins left="0.25" right="0.25" top="0.75" bottom="0.75" header="0.3" footer="0.3"/>
  <pageSetup paperSize="9" scale="65" fitToHeight="5" orientation="portrait" r:id="rId1"/>
  <rowBreaks count="4" manualBreakCount="4">
    <brk id="34" max="21" man="1"/>
    <brk id="66" max="21" man="1"/>
    <brk id="106" max="21" man="1"/>
    <brk id="142" max="21" man="1"/>
  </rowBreaks>
  <ignoredErrors>
    <ignoredError sqref="H55:H59 I55:I59" formula="1"/>
    <ignoredError sqref="O154:P156" evalError="1"/>
  </ignoredErrors>
  <drawing r:id="rId2"/>
  <legacyDrawing r:id="rId3"/>
  <mc:AlternateContent xmlns:mc="http://schemas.openxmlformats.org/markup-compatibility/2006">
    <mc:Choice Requires="x14">
      <controls>
        <mc:AlternateContent xmlns:mc="http://schemas.openxmlformats.org/markup-compatibility/2006">
          <mc:Choice Requires="x14">
            <control shapeId="6148" r:id="rId4" name="Drop Down 4">
              <controlPr defaultSize="0" autoLine="0" autoPict="0">
                <anchor>
                  <from>
                    <xdr:col>6</xdr:col>
                    <xdr:colOff>200025</xdr:colOff>
                    <xdr:row>5</xdr:row>
                    <xdr:rowOff>0</xdr:rowOff>
                  </from>
                  <to>
                    <xdr:col>11</xdr:col>
                    <xdr:colOff>152400</xdr:colOff>
                    <xdr:row>6</xdr:row>
                    <xdr:rowOff>76200</xdr:rowOff>
                  </to>
                </anchor>
              </controlPr>
            </control>
          </mc:Choice>
        </mc:AlternateContent>
        <mc:AlternateContent xmlns:mc="http://schemas.openxmlformats.org/markup-compatibility/2006">
          <mc:Choice Requires="x14">
            <control shapeId="6149" r:id="rId5" name="Drop Down 5">
              <controlPr defaultSize="0" autoLine="0" autoPict="0">
                <anchor>
                  <from>
                    <xdr:col>6</xdr:col>
                    <xdr:colOff>200025</xdr:colOff>
                    <xdr:row>6</xdr:row>
                    <xdr:rowOff>161925</xdr:rowOff>
                  </from>
                  <to>
                    <xdr:col>11</xdr:col>
                    <xdr:colOff>152400</xdr:colOff>
                    <xdr:row>8</xdr:row>
                    <xdr:rowOff>47625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7" tint="0.39997558519241921"/>
  </sheetPr>
  <dimension ref="A1:T122"/>
  <sheetViews>
    <sheetView topLeftCell="A2" zoomScaleNormal="100" zoomScaleSheetLayoutView="80" zoomScalePageLayoutView="60" workbookViewId="0">
      <selection activeCell="H48" sqref="H48:I48"/>
    </sheetView>
  </sheetViews>
  <sheetFormatPr defaultRowHeight="15" x14ac:dyDescent="0.25"/>
  <cols>
    <col min="1" max="1" width="1" style="165" customWidth="1"/>
    <col min="2" max="2" width="1.19921875" style="165" customWidth="1"/>
    <col min="3" max="17" width="6.8984375" style="165" customWidth="1"/>
    <col min="18" max="18" width="7.59765625" style="165" customWidth="1"/>
    <col min="19" max="19" width="1.19921875" style="165" customWidth="1"/>
    <col min="20" max="20" width="1" style="234" customWidth="1"/>
    <col min="21" max="16384" width="8.796875" style="165"/>
  </cols>
  <sheetData>
    <row r="1" spans="1:19" x14ac:dyDescent="0.25">
      <c r="R1" s="23">
        <f ca="1">NOW()</f>
        <v>42356.527743287035</v>
      </c>
    </row>
    <row r="2" spans="1:19" ht="17.25" customHeight="1" x14ac:dyDescent="0.25">
      <c r="A2" s="590"/>
      <c r="B2" s="591"/>
      <c r="C2" s="591"/>
      <c r="D2" s="591"/>
      <c r="E2" s="591"/>
      <c r="F2" s="591"/>
      <c r="G2" s="591"/>
      <c r="H2" s="591"/>
      <c r="I2" s="591"/>
      <c r="J2" s="591"/>
      <c r="K2" s="591"/>
      <c r="L2" s="591"/>
    </row>
    <row r="5" spans="1:19" s="334" customFormat="1" x14ac:dyDescent="0.25">
      <c r="B5" s="5"/>
      <c r="C5" s="5"/>
      <c r="D5" s="5"/>
      <c r="E5" s="5"/>
      <c r="F5" s="5"/>
      <c r="G5" s="5"/>
      <c r="H5" s="5"/>
      <c r="I5" s="5"/>
      <c r="J5" s="5"/>
      <c r="K5" s="5"/>
      <c r="L5" s="5"/>
      <c r="M5" s="5"/>
      <c r="N5" s="5"/>
      <c r="O5" s="5"/>
      <c r="P5" s="5"/>
      <c r="Q5" s="5"/>
      <c r="R5" s="5"/>
      <c r="S5" s="5"/>
    </row>
    <row r="6" spans="1:19" s="334" customFormat="1" x14ac:dyDescent="0.25">
      <c r="B6" s="5"/>
      <c r="C6" s="5"/>
      <c r="D6" s="5"/>
      <c r="E6" s="5"/>
      <c r="F6" s="5"/>
      <c r="G6" s="5"/>
      <c r="H6" s="5"/>
      <c r="I6" s="5"/>
      <c r="J6" s="5"/>
      <c r="K6" s="5"/>
      <c r="L6" s="5"/>
      <c r="M6" s="5"/>
      <c r="N6" s="5"/>
      <c r="O6" s="5"/>
      <c r="P6" s="5"/>
      <c r="Q6" s="5"/>
      <c r="R6" s="5"/>
      <c r="S6" s="5"/>
    </row>
    <row r="7" spans="1:19" s="334" customFormat="1" x14ac:dyDescent="0.25">
      <c r="B7" s="5"/>
      <c r="C7" s="5"/>
      <c r="D7" s="5"/>
      <c r="E7" s="5"/>
      <c r="F7" s="5"/>
      <c r="G7" s="5"/>
      <c r="H7" s="5"/>
      <c r="I7" s="5"/>
      <c r="J7" s="5"/>
      <c r="K7" s="5"/>
      <c r="L7" s="5"/>
      <c r="M7" s="5"/>
      <c r="N7" s="5"/>
      <c r="O7" s="5"/>
      <c r="P7" s="5"/>
      <c r="Q7" s="5"/>
      <c r="R7" s="5"/>
      <c r="S7" s="5"/>
    </row>
    <row r="8" spans="1:19" s="334" customFormat="1" x14ac:dyDescent="0.25">
      <c r="B8" s="5"/>
      <c r="C8" s="5"/>
      <c r="D8" s="5"/>
      <c r="E8" s="5"/>
      <c r="F8" s="5"/>
      <c r="G8" s="5"/>
      <c r="H8" s="5"/>
      <c r="I8" s="5"/>
      <c r="J8" s="5"/>
      <c r="K8" s="5"/>
      <c r="L8" s="5"/>
      <c r="M8" s="5"/>
      <c r="N8" s="5"/>
      <c r="O8" s="5"/>
      <c r="P8" s="5"/>
      <c r="Q8" s="5"/>
      <c r="R8" s="5"/>
      <c r="S8" s="5"/>
    </row>
    <row r="9" spans="1:19" x14ac:dyDescent="0.25">
      <c r="B9" s="5"/>
      <c r="C9" s="5"/>
      <c r="D9" s="5"/>
      <c r="E9" s="5"/>
      <c r="F9" s="5"/>
      <c r="G9" s="5"/>
      <c r="H9" s="5"/>
      <c r="I9" s="5"/>
      <c r="J9" s="5"/>
      <c r="K9" s="5"/>
      <c r="L9" s="5"/>
      <c r="M9" s="5"/>
      <c r="N9" s="5"/>
      <c r="O9" s="5"/>
      <c r="P9" s="5"/>
      <c r="Q9" s="5"/>
      <c r="R9" s="5"/>
      <c r="S9" s="5"/>
    </row>
    <row r="10" spans="1:19" x14ac:dyDescent="0.25">
      <c r="B10" s="5"/>
      <c r="C10" s="5"/>
      <c r="D10" s="5"/>
      <c r="E10" s="5"/>
      <c r="F10" s="5"/>
      <c r="G10" s="5"/>
      <c r="H10" s="5"/>
      <c r="I10" s="5"/>
      <c r="J10" s="5"/>
      <c r="K10" s="5"/>
      <c r="L10" s="5"/>
      <c r="M10" s="5"/>
      <c r="N10" s="5"/>
      <c r="O10" s="5"/>
      <c r="P10" s="5"/>
      <c r="Q10" s="5"/>
      <c r="R10" s="5"/>
      <c r="S10" s="5"/>
    </row>
    <row r="11" spans="1:19" x14ac:dyDescent="0.25">
      <c r="B11" s="5"/>
      <c r="C11" s="5"/>
      <c r="D11" s="5"/>
      <c r="E11" s="5"/>
      <c r="F11" s="5"/>
      <c r="G11" s="5"/>
      <c r="H11" s="5"/>
      <c r="I11" s="5"/>
      <c r="J11" s="5"/>
      <c r="K11" s="5"/>
      <c r="L11" s="5"/>
      <c r="M11" s="5"/>
      <c r="N11" s="5"/>
      <c r="O11" s="5"/>
      <c r="P11" s="5"/>
      <c r="Q11" s="5"/>
      <c r="R11" s="5"/>
      <c r="S11" s="5"/>
    </row>
    <row r="12" spans="1:19" x14ac:dyDescent="0.25">
      <c r="B12" s="5"/>
      <c r="C12" s="5"/>
      <c r="D12" s="5"/>
      <c r="E12" s="5"/>
      <c r="F12" s="5"/>
      <c r="G12" s="5"/>
      <c r="H12" s="5"/>
      <c r="I12" s="5"/>
      <c r="J12" s="5"/>
      <c r="K12" s="5"/>
      <c r="L12" s="5"/>
      <c r="M12" s="5"/>
      <c r="N12" s="5"/>
      <c r="O12" s="5"/>
      <c r="P12" s="5"/>
      <c r="Q12" s="5"/>
      <c r="R12" s="5"/>
      <c r="S12" s="5"/>
    </row>
    <row r="13" spans="1:19" x14ac:dyDescent="0.25">
      <c r="B13" s="5"/>
      <c r="C13" s="5"/>
      <c r="D13" s="5"/>
      <c r="E13" s="5"/>
      <c r="F13" s="5"/>
      <c r="G13" s="5"/>
      <c r="H13" s="5"/>
      <c r="I13" s="5"/>
      <c r="J13" s="5"/>
      <c r="K13" s="5"/>
      <c r="L13" s="5"/>
      <c r="M13" s="5"/>
      <c r="N13" s="5"/>
      <c r="O13" s="5"/>
      <c r="P13" s="5"/>
      <c r="Q13" s="5"/>
      <c r="R13" s="5"/>
      <c r="S13" s="5"/>
    </row>
    <row r="14" spans="1:19" s="414" customFormat="1" x14ac:dyDescent="0.25">
      <c r="B14" s="5"/>
      <c r="C14" s="5"/>
      <c r="D14" s="5"/>
      <c r="E14" s="5"/>
      <c r="F14" s="5"/>
      <c r="G14" s="5"/>
      <c r="H14" s="5"/>
      <c r="I14" s="5"/>
      <c r="J14" s="5"/>
      <c r="K14" s="5"/>
      <c r="L14" s="5"/>
      <c r="M14" s="5"/>
      <c r="N14" s="5"/>
      <c r="O14" s="5"/>
      <c r="P14" s="5"/>
      <c r="Q14" s="5"/>
      <c r="R14" s="5"/>
      <c r="S14" s="5"/>
    </row>
    <row r="15" spans="1:19" x14ac:dyDescent="0.25">
      <c r="B15" s="5"/>
      <c r="C15" s="234"/>
      <c r="D15" s="234"/>
      <c r="E15" s="234"/>
      <c r="F15" s="234"/>
      <c r="G15" s="234"/>
      <c r="H15" s="234"/>
      <c r="I15" s="234"/>
      <c r="J15" s="234"/>
      <c r="K15" s="234"/>
      <c r="L15" s="234"/>
      <c r="M15" s="234"/>
      <c r="N15" s="234"/>
      <c r="O15" s="234"/>
      <c r="P15" s="234"/>
      <c r="Q15" s="234"/>
      <c r="R15" s="234"/>
      <c r="S15" s="5"/>
    </row>
    <row r="16" spans="1:19" s="414" customFormat="1" x14ac:dyDescent="0.25">
      <c r="B16" s="5"/>
      <c r="S16" s="5"/>
    </row>
    <row r="17" spans="2:19" s="414" customFormat="1" x14ac:dyDescent="0.25">
      <c r="B17" s="5"/>
      <c r="S17" s="5"/>
    </row>
    <row r="18" spans="2:19" x14ac:dyDescent="0.25">
      <c r="B18" s="5"/>
      <c r="C18" s="234"/>
      <c r="D18" s="234"/>
      <c r="E18" s="234"/>
      <c r="F18" s="234"/>
      <c r="G18" s="737" t="s">
        <v>863</v>
      </c>
      <c r="H18" s="739"/>
      <c r="I18" s="635" t="str">
        <f>INDEX(Locations, selection)</f>
        <v>Kingston Buci</v>
      </c>
      <c r="J18" s="635"/>
      <c r="K18" s="637" t="str">
        <f>INDEX(Locations,selection2)</f>
        <v>Stepping Stones</v>
      </c>
      <c r="L18" s="637"/>
      <c r="Q18" s="234"/>
      <c r="R18" s="234"/>
      <c r="S18" s="5"/>
    </row>
    <row r="19" spans="2:19" x14ac:dyDescent="0.25">
      <c r="B19" s="5"/>
      <c r="C19" s="234"/>
      <c r="D19" s="234"/>
      <c r="E19" s="234"/>
      <c r="F19" s="234"/>
      <c r="G19" s="740"/>
      <c r="H19" s="742"/>
      <c r="I19" s="635"/>
      <c r="J19" s="635"/>
      <c r="K19" s="637"/>
      <c r="L19" s="637"/>
      <c r="Q19" s="234"/>
      <c r="R19" s="234"/>
      <c r="S19" s="5"/>
    </row>
    <row r="20" spans="2:19" x14ac:dyDescent="0.25">
      <c r="B20" s="5"/>
      <c r="C20" s="234"/>
      <c r="D20" s="234"/>
      <c r="E20" s="234"/>
      <c r="F20" s="234"/>
      <c r="G20" s="743"/>
      <c r="H20" s="745"/>
      <c r="I20" s="635"/>
      <c r="J20" s="635"/>
      <c r="K20" s="637"/>
      <c r="L20" s="637"/>
      <c r="Q20" s="234"/>
      <c r="R20" s="234"/>
      <c r="S20" s="5"/>
    </row>
    <row r="21" spans="2:19" x14ac:dyDescent="0.25">
      <c r="B21" s="5"/>
      <c r="C21" s="234"/>
      <c r="D21" s="234"/>
      <c r="E21" s="234"/>
      <c r="F21" s="234"/>
      <c r="G21" s="702" t="s">
        <v>864</v>
      </c>
      <c r="H21" s="704"/>
      <c r="I21" s="1069">
        <f>IF(HLOOKUP(G21,IMD,selection+1, FALSE) = "", "n/a", HLOOKUP(G21,IMD,selection+1, FALSE))</f>
        <v>3</v>
      </c>
      <c r="J21" s="1069"/>
      <c r="K21" s="1069">
        <f>IF(HLOOKUP($G21,IMD,selection2+1,FALSE) = "", "n/a", HLOOKUP($G21,IMD,selection2+1,FALSE))</f>
        <v>2</v>
      </c>
      <c r="L21" s="1069"/>
      <c r="M21" s="234"/>
      <c r="N21" s="234"/>
      <c r="O21" s="234"/>
      <c r="P21" s="234"/>
      <c r="Q21" s="234"/>
      <c r="R21" s="234"/>
      <c r="S21" s="5"/>
    </row>
    <row r="22" spans="2:19" s="234" customFormat="1" x14ac:dyDescent="0.25">
      <c r="B22" s="5"/>
      <c r="G22" s="1071"/>
      <c r="H22" s="1072"/>
      <c r="I22" s="1069"/>
      <c r="J22" s="1069"/>
      <c r="K22" s="1069"/>
      <c r="L22" s="1069"/>
      <c r="S22" s="5"/>
    </row>
    <row r="23" spans="2:19" s="234" customFormat="1" x14ac:dyDescent="0.25">
      <c r="B23" s="5"/>
      <c r="G23" s="1071"/>
      <c r="H23" s="1072"/>
      <c r="I23" s="1070"/>
      <c r="J23" s="1070"/>
      <c r="K23" s="1070"/>
      <c r="L23" s="1070"/>
      <c r="S23" s="5"/>
    </row>
    <row r="24" spans="2:19" s="234" customFormat="1" x14ac:dyDescent="0.25">
      <c r="B24" s="5"/>
      <c r="G24" s="702" t="s">
        <v>867</v>
      </c>
      <c r="H24" s="704"/>
      <c r="I24" s="1069">
        <f>IF(HLOOKUP(G24,IMD,selection+1, FALSE) = "", "n/a", HLOOKUP(G24,IMD,selection+1, FALSE))</f>
        <v>3</v>
      </c>
      <c r="J24" s="1069"/>
      <c r="K24" s="1069">
        <f>IF(HLOOKUP($G24,IMD,selection2+1,FALSE) = "", "n/a", HLOOKUP($G24,IMD,selection2+1,FALSE))</f>
        <v>2</v>
      </c>
      <c r="L24" s="1069"/>
      <c r="S24" s="5"/>
    </row>
    <row r="25" spans="2:19" s="414" customFormat="1" x14ac:dyDescent="0.25">
      <c r="B25" s="5"/>
      <c r="G25" s="1071"/>
      <c r="H25" s="1072"/>
      <c r="I25" s="1069"/>
      <c r="J25" s="1069"/>
      <c r="K25" s="1069"/>
      <c r="L25" s="1069"/>
      <c r="S25" s="5"/>
    </row>
    <row r="26" spans="2:19" s="414" customFormat="1" x14ac:dyDescent="0.25">
      <c r="B26" s="5"/>
      <c r="G26" s="705"/>
      <c r="H26" s="707"/>
      <c r="I26" s="1069"/>
      <c r="J26" s="1069"/>
      <c r="K26" s="1069"/>
      <c r="L26" s="1069"/>
      <c r="S26" s="5"/>
    </row>
    <row r="27" spans="2:19" s="414" customFormat="1" x14ac:dyDescent="0.25">
      <c r="B27" s="5"/>
      <c r="G27" s="415"/>
      <c r="H27" s="415"/>
      <c r="I27" s="415"/>
      <c r="J27" s="415"/>
      <c r="K27" s="415"/>
      <c r="L27" s="415"/>
      <c r="S27" s="5"/>
    </row>
    <row r="28" spans="2:19" s="414" customFormat="1" x14ac:dyDescent="0.25">
      <c r="B28" s="5"/>
      <c r="S28" s="5"/>
    </row>
    <row r="29" spans="2:19" s="234" customFormat="1" x14ac:dyDescent="0.25">
      <c r="B29" s="5"/>
      <c r="C29" s="5"/>
      <c r="D29" s="5"/>
      <c r="E29" s="5"/>
      <c r="F29" s="5"/>
      <c r="G29" s="5"/>
      <c r="H29" s="5"/>
      <c r="I29" s="5"/>
      <c r="J29" s="5"/>
      <c r="K29" s="5"/>
      <c r="L29" s="5"/>
      <c r="M29" s="5"/>
      <c r="N29" s="5"/>
      <c r="O29" s="5"/>
      <c r="P29" s="5"/>
      <c r="Q29" s="5"/>
      <c r="R29" s="5"/>
      <c r="S29" s="5"/>
    </row>
    <row r="30" spans="2:19" s="234" customFormat="1" x14ac:dyDescent="0.25">
      <c r="B30" s="5"/>
      <c r="C30" s="5"/>
      <c r="D30" s="5"/>
      <c r="E30" s="5"/>
      <c r="F30" s="5"/>
      <c r="G30" s="5"/>
      <c r="H30" s="5"/>
      <c r="I30" s="5"/>
      <c r="J30" s="5"/>
      <c r="K30" s="5"/>
      <c r="L30" s="5"/>
      <c r="M30" s="5"/>
      <c r="N30" s="5"/>
      <c r="O30" s="5"/>
      <c r="P30" s="5"/>
      <c r="Q30" s="5"/>
      <c r="R30" s="5"/>
      <c r="S30" s="5"/>
    </row>
    <row r="31" spans="2:19" x14ac:dyDescent="0.25">
      <c r="B31" s="5"/>
      <c r="C31" s="5"/>
      <c r="D31" s="5"/>
      <c r="E31" s="5"/>
      <c r="F31" s="5"/>
      <c r="G31" s="5"/>
      <c r="H31" s="5"/>
      <c r="I31" s="5"/>
      <c r="J31" s="5"/>
      <c r="K31" s="5"/>
      <c r="L31" s="5"/>
      <c r="M31" s="5"/>
      <c r="N31" s="5"/>
      <c r="O31" s="5"/>
      <c r="P31" s="5"/>
      <c r="Q31" s="5"/>
      <c r="R31" s="5"/>
      <c r="S31" s="5"/>
    </row>
    <row r="32" spans="2:19" x14ac:dyDescent="0.25">
      <c r="B32" s="5"/>
      <c r="C32" s="5"/>
      <c r="D32" s="5"/>
      <c r="E32" s="5"/>
      <c r="F32" s="5"/>
      <c r="G32" s="5"/>
      <c r="H32" s="5"/>
      <c r="I32" s="5"/>
      <c r="J32" s="5"/>
      <c r="K32" s="5"/>
      <c r="L32" s="5"/>
      <c r="M32" s="5"/>
      <c r="N32" s="5"/>
      <c r="O32" s="5"/>
      <c r="P32" s="5"/>
      <c r="Q32" s="5"/>
      <c r="R32" s="5"/>
      <c r="S32" s="5"/>
    </row>
    <row r="33" spans="2:19" x14ac:dyDescent="0.25">
      <c r="B33" s="5"/>
      <c r="C33" s="5"/>
      <c r="D33" s="5"/>
      <c r="E33" s="5"/>
      <c r="F33" s="5"/>
      <c r="G33" s="5"/>
      <c r="H33" s="5"/>
      <c r="I33" s="5"/>
      <c r="J33" s="5"/>
      <c r="K33" s="5"/>
      <c r="L33" s="5"/>
      <c r="M33" s="5"/>
      <c r="N33" s="5"/>
      <c r="O33" s="5"/>
      <c r="P33" s="5"/>
      <c r="Q33" s="5"/>
      <c r="R33" s="5"/>
      <c r="S33" s="5"/>
    </row>
    <row r="34" spans="2:19" x14ac:dyDescent="0.25">
      <c r="B34" s="5"/>
      <c r="C34" s="5"/>
      <c r="D34" s="5"/>
      <c r="E34" s="5"/>
      <c r="F34" s="5"/>
      <c r="G34" s="5"/>
      <c r="H34" s="5"/>
      <c r="I34" s="5"/>
      <c r="J34" s="5"/>
      <c r="K34" s="5"/>
      <c r="L34" s="5"/>
      <c r="M34" s="5"/>
      <c r="N34" s="5"/>
      <c r="O34" s="5"/>
      <c r="P34" s="5"/>
      <c r="Q34" s="5"/>
      <c r="R34" s="5"/>
      <c r="S34" s="5"/>
    </row>
    <row r="35" spans="2:19" x14ac:dyDescent="0.25">
      <c r="B35" s="5"/>
      <c r="C35" s="5"/>
      <c r="D35" s="5"/>
      <c r="E35" s="5"/>
      <c r="F35" s="5"/>
      <c r="G35" s="5"/>
      <c r="H35" s="5"/>
      <c r="I35" s="5"/>
      <c r="J35" s="5"/>
      <c r="K35" s="5"/>
      <c r="L35" s="5"/>
      <c r="M35" s="5"/>
      <c r="N35" s="5"/>
      <c r="O35" s="5"/>
      <c r="P35" s="5"/>
      <c r="Q35" s="5"/>
      <c r="R35" s="5"/>
      <c r="S35" s="5"/>
    </row>
    <row r="36" spans="2:19" x14ac:dyDescent="0.25">
      <c r="B36" s="5"/>
      <c r="O36" s="5"/>
      <c r="P36" s="5"/>
      <c r="Q36" s="5"/>
      <c r="R36" s="5"/>
      <c r="S36" s="5"/>
    </row>
    <row r="37" spans="2:19" x14ac:dyDescent="0.25">
      <c r="B37" s="5"/>
      <c r="O37" s="5"/>
      <c r="P37" s="5"/>
      <c r="Q37" s="5"/>
      <c r="R37" s="5"/>
      <c r="S37" s="5"/>
    </row>
    <row r="38" spans="2:19" x14ac:dyDescent="0.25">
      <c r="B38" s="5"/>
      <c r="O38" s="5"/>
      <c r="P38" s="5"/>
      <c r="Q38" s="5"/>
      <c r="R38" s="5"/>
      <c r="S38" s="5"/>
    </row>
    <row r="39" spans="2:19" x14ac:dyDescent="0.25">
      <c r="B39" s="5"/>
      <c r="N39" s="234"/>
      <c r="O39" s="234"/>
      <c r="P39" s="234"/>
      <c r="Q39" s="234"/>
      <c r="R39" s="234"/>
      <c r="S39" s="5"/>
    </row>
    <row r="40" spans="2:19" x14ac:dyDescent="0.25">
      <c r="B40" s="5"/>
      <c r="N40" s="234"/>
      <c r="O40" s="234"/>
      <c r="P40" s="234"/>
      <c r="Q40" s="234"/>
      <c r="R40" s="234"/>
      <c r="S40" s="5"/>
    </row>
    <row r="41" spans="2:19" x14ac:dyDescent="0.25">
      <c r="B41" s="5"/>
      <c r="N41" s="234"/>
      <c r="O41" s="234"/>
      <c r="P41" s="234"/>
      <c r="Q41" s="234"/>
      <c r="R41" s="234"/>
      <c r="S41" s="5"/>
    </row>
    <row r="42" spans="2:19" x14ac:dyDescent="0.25">
      <c r="B42" s="5"/>
      <c r="C42" s="195" t="s">
        <v>645</v>
      </c>
      <c r="N42" s="234"/>
      <c r="O42" s="234"/>
      <c r="P42" s="234"/>
      <c r="Q42" s="234"/>
      <c r="R42" s="234"/>
      <c r="S42" s="5"/>
    </row>
    <row r="43" spans="2:19" x14ac:dyDescent="0.25">
      <c r="B43" s="5"/>
      <c r="C43" s="153" t="s">
        <v>658</v>
      </c>
      <c r="N43" s="234"/>
      <c r="O43" s="234"/>
      <c r="P43" s="234"/>
      <c r="Q43" s="234"/>
      <c r="R43" s="234"/>
      <c r="S43" s="5"/>
    </row>
    <row r="44" spans="2:19" x14ac:dyDescent="0.25">
      <c r="B44" s="5"/>
      <c r="N44" s="234"/>
      <c r="O44" s="234"/>
      <c r="P44" s="234"/>
      <c r="Q44" s="234"/>
      <c r="R44" s="234"/>
      <c r="S44" s="5"/>
    </row>
    <row r="45" spans="2:19" s="234" customFormat="1" x14ac:dyDescent="0.25">
      <c r="B45" s="5"/>
      <c r="C45" s="233" t="s">
        <v>659</v>
      </c>
      <c r="S45" s="5"/>
    </row>
    <row r="46" spans="2:19" ht="15" customHeight="1" x14ac:dyDescent="0.25">
      <c r="B46" s="5"/>
      <c r="N46" s="234"/>
      <c r="O46" s="234"/>
      <c r="P46" s="234"/>
      <c r="Q46" s="234"/>
      <c r="R46" s="234"/>
      <c r="S46" s="5"/>
    </row>
    <row r="47" spans="2:19" ht="45" customHeight="1" x14ac:dyDescent="0.25">
      <c r="B47" s="5"/>
      <c r="E47" s="1081" t="s">
        <v>306</v>
      </c>
      <c r="F47" s="1081"/>
      <c r="G47" s="1081"/>
      <c r="H47" s="1077" t="str">
        <f>INDEX(Locations, selection)</f>
        <v>Kingston Buci</v>
      </c>
      <c r="I47" s="1078"/>
      <c r="J47" s="1075" t="str">
        <f>INDEX(Locations, selection2)</f>
        <v>Stepping Stones</v>
      </c>
      <c r="K47" s="1076"/>
      <c r="L47" s="1073" t="s">
        <v>292</v>
      </c>
      <c r="M47" s="1074"/>
      <c r="N47" s="1085" t="s">
        <v>293</v>
      </c>
      <c r="O47" s="1086"/>
      <c r="P47" s="1085" t="s">
        <v>294</v>
      </c>
      <c r="Q47" s="1086"/>
      <c r="R47" s="234"/>
      <c r="S47" s="5"/>
    </row>
    <row r="48" spans="2:19" ht="31.5" customHeight="1" x14ac:dyDescent="0.25">
      <c r="B48" s="5"/>
      <c r="E48" s="1082" t="s">
        <v>655</v>
      </c>
      <c r="F48" s="1082"/>
      <c r="G48" s="1082"/>
      <c r="H48" s="1083">
        <f>HLOOKUP($E48,deprivation,selection+1,FALSE)</f>
        <v>345</v>
      </c>
      <c r="I48" s="1084"/>
      <c r="J48" s="1083">
        <f>HLOOKUP($E48,deprivation,selection2+1,FALSE)</f>
        <v>300</v>
      </c>
      <c r="K48" s="1084"/>
      <c r="L48" s="1079">
        <v>12972</v>
      </c>
      <c r="M48" s="1080"/>
      <c r="N48" s="1079">
        <v>143982</v>
      </c>
      <c r="O48" s="1080"/>
      <c r="P48" s="1079">
        <v>1249557</v>
      </c>
      <c r="Q48" s="1080"/>
      <c r="R48" s="234"/>
      <c r="S48" s="5"/>
    </row>
    <row r="49" spans="2:19" ht="31.5" customHeight="1" x14ac:dyDescent="0.25">
      <c r="B49" s="5"/>
      <c r="E49" s="1082" t="s">
        <v>657</v>
      </c>
      <c r="F49" s="1082"/>
      <c r="G49" s="1082"/>
      <c r="H49" s="1031">
        <f>HLOOKUP($E49,deprivation,selection+1,FALSE)</f>
        <v>5.3889409559512651E-2</v>
      </c>
      <c r="I49" s="1032"/>
      <c r="J49" s="1031">
        <f>HLOOKUP($E49,deprivation,selection2+1,FALSE)</f>
        <v>5.3229240596167494E-2</v>
      </c>
      <c r="K49" s="1032"/>
      <c r="L49" s="1031">
        <v>3.7533201780020488E-2</v>
      </c>
      <c r="M49" s="1032"/>
      <c r="N49" s="1031">
        <v>4.0495991661282933E-2</v>
      </c>
      <c r="O49" s="1032"/>
      <c r="P49" s="1031">
        <v>5.6634916301083318E-2</v>
      </c>
      <c r="Q49" s="1032"/>
      <c r="R49" s="234"/>
      <c r="S49" s="5"/>
    </row>
    <row r="50" spans="2:19" x14ac:dyDescent="0.25">
      <c r="B50" s="5"/>
      <c r="N50" s="234"/>
      <c r="O50" s="234"/>
      <c r="P50" s="234"/>
      <c r="Q50" s="234"/>
      <c r="R50" s="234"/>
      <c r="S50" s="5"/>
    </row>
    <row r="51" spans="2:19" x14ac:dyDescent="0.25">
      <c r="B51" s="5"/>
      <c r="J51" s="20"/>
      <c r="K51" s="20"/>
      <c r="L51" s="20"/>
      <c r="N51" s="234"/>
      <c r="O51" s="234"/>
      <c r="P51" s="234"/>
      <c r="Q51" s="234"/>
      <c r="R51" s="234"/>
      <c r="S51" s="5"/>
    </row>
    <row r="52" spans="2:19" x14ac:dyDescent="0.25">
      <c r="B52" s="5"/>
      <c r="C52" s="5"/>
      <c r="D52" s="5"/>
      <c r="E52" s="5"/>
      <c r="F52" s="5"/>
      <c r="G52" s="5"/>
      <c r="H52" s="5"/>
      <c r="I52" s="5"/>
      <c r="J52" s="5"/>
      <c r="K52" s="5"/>
      <c r="L52" s="242"/>
      <c r="M52" s="242"/>
      <c r="N52" s="242"/>
      <c r="O52" s="5"/>
      <c r="P52" s="5"/>
      <c r="Q52" s="5"/>
      <c r="R52" s="5"/>
      <c r="S52" s="5"/>
    </row>
    <row r="53" spans="2:19" x14ac:dyDescent="0.25">
      <c r="B53" s="5"/>
      <c r="C53" s="5"/>
      <c r="D53" s="5"/>
      <c r="E53" s="5"/>
      <c r="F53" s="5"/>
      <c r="G53" s="5"/>
      <c r="H53" s="5"/>
      <c r="I53" s="5"/>
      <c r="J53" s="5"/>
      <c r="K53" s="5"/>
      <c r="L53" s="5"/>
      <c r="M53" s="5"/>
      <c r="N53" s="5"/>
      <c r="O53" s="5"/>
      <c r="P53" s="5"/>
      <c r="Q53" s="5"/>
      <c r="R53" s="5"/>
      <c r="S53" s="5"/>
    </row>
    <row r="54" spans="2:19" x14ac:dyDescent="0.25">
      <c r="B54" s="5"/>
      <c r="N54" s="234"/>
      <c r="O54" s="234"/>
      <c r="P54" s="234"/>
      <c r="Q54" s="234"/>
      <c r="R54" s="234"/>
      <c r="S54" s="5"/>
    </row>
    <row r="55" spans="2:19" x14ac:dyDescent="0.25">
      <c r="B55" s="5"/>
      <c r="N55" s="234"/>
      <c r="O55" s="234"/>
      <c r="P55" s="234"/>
      <c r="Q55" s="234"/>
      <c r="R55" s="234"/>
      <c r="S55" s="5"/>
    </row>
    <row r="56" spans="2:19" x14ac:dyDescent="0.25">
      <c r="B56" s="5"/>
      <c r="N56" s="234"/>
      <c r="O56" s="234"/>
      <c r="P56" s="234"/>
      <c r="Q56" s="234"/>
      <c r="R56" s="234"/>
      <c r="S56" s="5"/>
    </row>
    <row r="57" spans="2:19" x14ac:dyDescent="0.25">
      <c r="B57" s="5"/>
      <c r="N57" s="234"/>
      <c r="O57" s="234"/>
      <c r="P57" s="234"/>
      <c r="Q57" s="234"/>
      <c r="R57" s="234"/>
      <c r="S57" s="5"/>
    </row>
    <row r="58" spans="2:19" x14ac:dyDescent="0.25">
      <c r="B58" s="5"/>
      <c r="N58" s="234"/>
      <c r="O58" s="234"/>
      <c r="P58" s="234"/>
      <c r="Q58" s="234"/>
      <c r="R58" s="234"/>
      <c r="S58" s="5"/>
    </row>
    <row r="59" spans="2:19" x14ac:dyDescent="0.25">
      <c r="B59" s="5"/>
      <c r="N59" s="234"/>
      <c r="O59" s="234"/>
      <c r="P59" s="234"/>
      <c r="Q59" s="234"/>
      <c r="R59" s="234"/>
      <c r="S59" s="5"/>
    </row>
    <row r="60" spans="2:19" x14ac:dyDescent="0.25">
      <c r="B60" s="5"/>
      <c r="N60" s="234"/>
      <c r="O60" s="234"/>
      <c r="P60" s="234"/>
      <c r="Q60" s="234"/>
      <c r="R60" s="234"/>
      <c r="S60" s="5"/>
    </row>
    <row r="61" spans="2:19" s="409" customFormat="1" x14ac:dyDescent="0.25">
      <c r="B61" s="5"/>
      <c r="S61" s="5"/>
    </row>
    <row r="62" spans="2:19" s="414" customFormat="1" x14ac:dyDescent="0.25">
      <c r="B62" s="5"/>
      <c r="S62" s="5"/>
    </row>
    <row r="63" spans="2:19" s="409" customFormat="1" x14ac:dyDescent="0.25">
      <c r="B63" s="5"/>
      <c r="S63" s="5"/>
    </row>
    <row r="64" spans="2:19" x14ac:dyDescent="0.25">
      <c r="B64" s="5"/>
      <c r="C64" s="195" t="s">
        <v>660</v>
      </c>
      <c r="N64" s="234"/>
      <c r="O64" s="234"/>
      <c r="P64" s="234"/>
      <c r="Q64" s="234"/>
      <c r="R64" s="234"/>
      <c r="S64" s="5"/>
    </row>
    <row r="65" spans="2:19" x14ac:dyDescent="0.25">
      <c r="B65" s="5"/>
      <c r="N65" s="234"/>
      <c r="O65" s="234"/>
      <c r="P65" s="234"/>
      <c r="Q65" s="234"/>
      <c r="R65" s="234"/>
      <c r="S65" s="5"/>
    </row>
    <row r="66" spans="2:19" x14ac:dyDescent="0.25">
      <c r="B66" s="5"/>
      <c r="N66" s="234"/>
      <c r="O66" s="234"/>
      <c r="P66" s="234"/>
      <c r="Q66" s="234"/>
      <c r="R66" s="234"/>
      <c r="S66" s="5"/>
    </row>
    <row r="67" spans="2:19" ht="15" customHeight="1" x14ac:dyDescent="0.25">
      <c r="B67" s="5"/>
      <c r="C67" s="234"/>
      <c r="D67" s="694" t="s">
        <v>661</v>
      </c>
      <c r="E67" s="694"/>
      <c r="F67" s="694"/>
      <c r="G67" s="694"/>
      <c r="H67" s="635" t="str">
        <f>INDEX(Locations, selection)</f>
        <v>Kingston Buci</v>
      </c>
      <c r="I67" s="635"/>
      <c r="J67" s="637" t="str">
        <f>INDEX(Locations, selection2)</f>
        <v>Stepping Stones</v>
      </c>
      <c r="K67" s="637"/>
      <c r="L67" s="234"/>
      <c r="M67" s="234"/>
      <c r="N67" s="234"/>
      <c r="O67" s="234"/>
      <c r="P67" s="234"/>
      <c r="Q67" s="234"/>
      <c r="R67" s="234"/>
      <c r="S67" s="5"/>
    </row>
    <row r="68" spans="2:19" ht="15" customHeight="1" x14ac:dyDescent="0.25">
      <c r="B68" s="5"/>
      <c r="C68" s="234"/>
      <c r="D68" s="694"/>
      <c r="E68" s="694"/>
      <c r="F68" s="694"/>
      <c r="G68" s="694"/>
      <c r="H68" s="635"/>
      <c r="I68" s="635"/>
      <c r="J68" s="637"/>
      <c r="K68" s="637"/>
      <c r="L68" s="234"/>
      <c r="M68" s="234"/>
      <c r="N68" s="234"/>
      <c r="O68" s="234"/>
      <c r="P68" s="234"/>
      <c r="Q68" s="234"/>
      <c r="R68" s="234"/>
      <c r="S68" s="5"/>
    </row>
    <row r="69" spans="2:19" ht="15" customHeight="1" x14ac:dyDescent="0.25">
      <c r="B69" s="5"/>
      <c r="C69" s="234"/>
      <c r="D69" s="694"/>
      <c r="E69" s="694"/>
      <c r="F69" s="694"/>
      <c r="G69" s="694"/>
      <c r="H69" s="635"/>
      <c r="I69" s="635"/>
      <c r="J69" s="637"/>
      <c r="K69" s="637"/>
      <c r="L69" s="73"/>
      <c r="M69" s="73" t="str">
        <f>H67</f>
        <v>Kingston Buci</v>
      </c>
      <c r="N69" s="73" t="str">
        <f>J67</f>
        <v>Stepping Stones</v>
      </c>
      <c r="O69" s="234"/>
      <c r="P69" s="234"/>
      <c r="Q69" s="234"/>
      <c r="R69" s="234"/>
      <c r="S69" s="5"/>
    </row>
    <row r="70" spans="2:19" ht="28.5" customHeight="1" x14ac:dyDescent="0.25">
      <c r="B70" s="5"/>
      <c r="C70" s="234"/>
      <c r="D70" s="1068" t="s">
        <v>662</v>
      </c>
      <c r="E70" s="1068"/>
      <c r="F70" s="1068"/>
      <c r="G70" s="1068"/>
      <c r="H70" s="936">
        <f>HLOOKUP(D70,OutofWork, selection+1,FALSE)</f>
        <v>165</v>
      </c>
      <c r="I70" s="938"/>
      <c r="J70" s="1067">
        <f>HLOOKUP(D70,OutofWork, selection2+1, FALSE)</f>
        <v>215</v>
      </c>
      <c r="K70" s="1067"/>
      <c r="L70" s="73">
        <v>2010</v>
      </c>
      <c r="M70" s="73">
        <f>H70</f>
        <v>165</v>
      </c>
      <c r="N70" s="73">
        <f>J70</f>
        <v>215</v>
      </c>
      <c r="O70" s="234"/>
      <c r="P70" s="234"/>
      <c r="Q70" s="234"/>
      <c r="R70" s="234"/>
      <c r="S70" s="5"/>
    </row>
    <row r="71" spans="2:19" ht="28.5" customHeight="1" x14ac:dyDescent="0.25">
      <c r="B71" s="5"/>
      <c r="C71" s="234"/>
      <c r="D71" s="1068" t="s">
        <v>663</v>
      </c>
      <c r="E71" s="1068"/>
      <c r="F71" s="1068"/>
      <c r="G71" s="1068"/>
      <c r="H71" s="936">
        <f>HLOOKUP(D71,OutofWork, selection+1,FALSE)</f>
        <v>165</v>
      </c>
      <c r="I71" s="938"/>
      <c r="J71" s="1067">
        <f>HLOOKUP(D71,OutofWork, selection2+1, FALSE)</f>
        <v>210</v>
      </c>
      <c r="K71" s="1067"/>
      <c r="L71" s="73">
        <v>2011</v>
      </c>
      <c r="M71" s="73">
        <f>H71</f>
        <v>165</v>
      </c>
      <c r="N71" s="73">
        <f>J71</f>
        <v>210</v>
      </c>
      <c r="O71" s="234"/>
      <c r="P71" s="234"/>
      <c r="Q71" s="234"/>
      <c r="R71" s="234"/>
      <c r="S71" s="5"/>
    </row>
    <row r="72" spans="2:19" ht="28.5" customHeight="1" x14ac:dyDescent="0.25">
      <c r="B72" s="5"/>
      <c r="C72" s="234"/>
      <c r="D72" s="1068" t="s">
        <v>664</v>
      </c>
      <c r="E72" s="1068"/>
      <c r="F72" s="1068"/>
      <c r="G72" s="1068"/>
      <c r="H72" s="936">
        <f>HLOOKUP(D72,OutofWork, selection+1,FALSE)</f>
        <v>155</v>
      </c>
      <c r="I72" s="938"/>
      <c r="J72" s="1067">
        <f>HLOOKUP(D72,OutofWork, selection2+1, FALSE)</f>
        <v>215</v>
      </c>
      <c r="K72" s="1067"/>
      <c r="L72" s="73">
        <v>2012</v>
      </c>
      <c r="M72" s="73">
        <f>H72</f>
        <v>155</v>
      </c>
      <c r="N72" s="73">
        <f>J72</f>
        <v>215</v>
      </c>
      <c r="O72" s="234"/>
      <c r="P72" s="234"/>
      <c r="Q72" s="234"/>
      <c r="R72" s="234"/>
      <c r="S72" s="5"/>
    </row>
    <row r="73" spans="2:19" ht="28.5" customHeight="1" x14ac:dyDescent="0.25">
      <c r="B73" s="5"/>
      <c r="C73" s="234"/>
      <c r="D73" s="1068" t="s">
        <v>665</v>
      </c>
      <c r="E73" s="1068"/>
      <c r="F73" s="1068"/>
      <c r="G73" s="1068"/>
      <c r="H73" s="936">
        <f>HLOOKUP(D73,OutofWork, selection+1,FALSE)</f>
        <v>155</v>
      </c>
      <c r="I73" s="938"/>
      <c r="J73" s="1067">
        <f>HLOOKUP(D73,OutofWork, selection2+1, FALSE)</f>
        <v>185</v>
      </c>
      <c r="K73" s="1067"/>
      <c r="L73" s="73">
        <v>2013</v>
      </c>
      <c r="M73" s="73">
        <f>H73</f>
        <v>155</v>
      </c>
      <c r="N73" s="73">
        <f>J73</f>
        <v>185</v>
      </c>
      <c r="O73" s="234"/>
      <c r="P73" s="234"/>
      <c r="Q73" s="234"/>
      <c r="R73" s="234"/>
      <c r="S73" s="5"/>
    </row>
    <row r="74" spans="2:19" ht="28.5" customHeight="1" x14ac:dyDescent="0.25">
      <c r="B74" s="5"/>
      <c r="C74" s="234"/>
      <c r="D74" s="1068" t="s">
        <v>666</v>
      </c>
      <c r="E74" s="1068"/>
      <c r="F74" s="1068"/>
      <c r="G74" s="1068"/>
      <c r="H74" s="936">
        <f>HLOOKUP(D74,OutofWork, selection+1,FALSE)</f>
        <v>115</v>
      </c>
      <c r="I74" s="938"/>
      <c r="J74" s="1067">
        <f>HLOOKUP(D74,OutofWork, selection2+1, FALSE)</f>
        <v>180</v>
      </c>
      <c r="K74" s="1067"/>
      <c r="L74" s="73">
        <v>2014</v>
      </c>
      <c r="M74" s="73">
        <f>H74</f>
        <v>115</v>
      </c>
      <c r="N74" s="73">
        <f>J74</f>
        <v>180</v>
      </c>
      <c r="O74" s="234"/>
      <c r="P74" s="234"/>
      <c r="Q74" s="234"/>
      <c r="R74" s="234"/>
      <c r="S74" s="5"/>
    </row>
    <row r="75" spans="2:19" x14ac:dyDescent="0.25">
      <c r="B75" s="5"/>
      <c r="C75" s="234"/>
      <c r="D75" s="234"/>
      <c r="E75" s="234"/>
      <c r="F75" s="234"/>
      <c r="G75" s="234"/>
      <c r="H75" s="234"/>
      <c r="I75" s="234"/>
      <c r="J75" s="234"/>
      <c r="K75" s="234"/>
      <c r="L75" s="234"/>
      <c r="M75" s="234"/>
      <c r="N75" s="234"/>
      <c r="O75" s="234"/>
      <c r="P75" s="234"/>
      <c r="Q75" s="234"/>
      <c r="R75" s="234"/>
      <c r="S75" s="5"/>
    </row>
    <row r="76" spans="2:19" x14ac:dyDescent="0.25">
      <c r="B76" s="5"/>
      <c r="C76" s="234"/>
      <c r="D76" s="234"/>
      <c r="E76" s="234"/>
      <c r="F76" s="234"/>
      <c r="G76" s="234"/>
      <c r="H76" s="234"/>
      <c r="I76" s="234"/>
      <c r="J76" s="234"/>
      <c r="K76" s="234"/>
      <c r="L76" s="234"/>
      <c r="M76" s="234"/>
      <c r="N76" s="234"/>
      <c r="O76" s="234"/>
      <c r="P76" s="234"/>
      <c r="Q76" s="234"/>
      <c r="R76" s="234"/>
      <c r="S76" s="5"/>
    </row>
    <row r="77" spans="2:19" x14ac:dyDescent="0.25">
      <c r="B77" s="5"/>
      <c r="C77" s="234"/>
      <c r="D77" s="234"/>
      <c r="E77" s="234"/>
      <c r="F77" s="234"/>
      <c r="G77" s="234"/>
      <c r="H77" s="234"/>
      <c r="I77" s="234"/>
      <c r="J77" s="234"/>
      <c r="K77" s="234"/>
      <c r="L77" s="234"/>
      <c r="M77" s="234"/>
      <c r="N77" s="234"/>
      <c r="O77" s="234"/>
      <c r="P77" s="234"/>
      <c r="Q77" s="234"/>
      <c r="R77" s="234"/>
      <c r="S77" s="5"/>
    </row>
    <row r="78" spans="2:19" x14ac:dyDescent="0.25">
      <c r="B78" s="5"/>
      <c r="C78" s="5"/>
      <c r="D78" s="5"/>
      <c r="E78" s="5"/>
      <c r="F78" s="5"/>
      <c r="G78" s="5"/>
      <c r="H78" s="5"/>
      <c r="I78" s="5"/>
      <c r="J78" s="5"/>
      <c r="K78" s="5"/>
      <c r="L78" s="5"/>
      <c r="M78" s="5"/>
      <c r="N78" s="5"/>
      <c r="O78" s="5"/>
      <c r="P78" s="5"/>
      <c r="Q78" s="5"/>
      <c r="R78" s="5"/>
      <c r="S78" s="5"/>
    </row>
    <row r="79" spans="2:19" x14ac:dyDescent="0.25">
      <c r="B79" s="5"/>
      <c r="C79" s="5"/>
      <c r="D79" s="5"/>
      <c r="E79" s="5"/>
      <c r="F79" s="5"/>
      <c r="G79" s="5"/>
      <c r="H79" s="5"/>
      <c r="I79" s="5"/>
      <c r="J79" s="5"/>
      <c r="K79" s="5"/>
      <c r="L79" s="5"/>
      <c r="M79" s="5"/>
      <c r="N79" s="5"/>
      <c r="O79" s="5"/>
      <c r="P79" s="5"/>
      <c r="Q79" s="5"/>
      <c r="R79" s="5"/>
      <c r="S79" s="5"/>
    </row>
    <row r="80" spans="2:19" x14ac:dyDescent="0.25">
      <c r="B80" s="5"/>
      <c r="C80" s="5"/>
      <c r="D80" s="5"/>
      <c r="E80" s="5"/>
      <c r="F80" s="5"/>
      <c r="G80" s="5"/>
      <c r="H80" s="5"/>
      <c r="I80" s="5"/>
      <c r="J80" s="5"/>
      <c r="K80" s="5"/>
      <c r="L80" s="5"/>
      <c r="M80" s="5"/>
      <c r="N80" s="5"/>
      <c r="O80" s="5"/>
      <c r="P80" s="5"/>
      <c r="Q80" s="5"/>
      <c r="R80" s="5"/>
      <c r="S80" s="5"/>
    </row>
    <row r="81" spans="2:19" x14ac:dyDescent="0.25">
      <c r="B81" s="5"/>
      <c r="C81" s="5"/>
      <c r="D81" s="5"/>
      <c r="E81" s="5"/>
      <c r="F81" s="5"/>
      <c r="G81" s="5"/>
      <c r="H81" s="5"/>
      <c r="I81" s="5"/>
      <c r="J81" s="5"/>
      <c r="K81" s="5"/>
      <c r="L81" s="5"/>
      <c r="M81" s="5"/>
      <c r="N81" s="5"/>
      <c r="O81" s="5"/>
      <c r="P81" s="5"/>
      <c r="Q81" s="5"/>
      <c r="R81" s="5"/>
      <c r="S81" s="5"/>
    </row>
    <row r="82" spans="2:19" x14ac:dyDescent="0.25">
      <c r="B82" s="5"/>
      <c r="C82" s="234"/>
      <c r="D82" s="234"/>
      <c r="E82" s="234"/>
      <c r="F82" s="234"/>
      <c r="G82" s="234"/>
      <c r="H82" s="234"/>
      <c r="I82" s="234"/>
      <c r="J82" s="234"/>
      <c r="K82" s="234"/>
      <c r="L82" s="234"/>
      <c r="M82" s="234"/>
      <c r="N82" s="234"/>
      <c r="O82" s="234"/>
      <c r="P82" s="234"/>
      <c r="Q82" s="234"/>
      <c r="R82" s="234"/>
      <c r="S82" s="5"/>
    </row>
    <row r="83" spans="2:19" x14ac:dyDescent="0.25">
      <c r="B83" s="5"/>
      <c r="C83" s="234"/>
      <c r="D83" s="234"/>
      <c r="E83" s="234"/>
      <c r="F83" s="234"/>
      <c r="G83" s="234"/>
      <c r="H83" s="234"/>
      <c r="I83" s="234"/>
      <c r="J83" s="234"/>
      <c r="K83" s="234"/>
      <c r="L83" s="234"/>
      <c r="M83" s="234"/>
      <c r="N83" s="234"/>
      <c r="O83" s="234"/>
      <c r="P83" s="234"/>
      <c r="Q83" s="234"/>
      <c r="R83" s="234"/>
      <c r="S83" s="5"/>
    </row>
    <row r="84" spans="2:19" x14ac:dyDescent="0.25">
      <c r="B84" s="5"/>
      <c r="C84" s="234"/>
      <c r="D84" s="234"/>
      <c r="E84" s="234"/>
      <c r="F84" s="234"/>
      <c r="G84" s="234"/>
      <c r="H84" s="234"/>
      <c r="I84" s="234"/>
      <c r="J84" s="234"/>
      <c r="K84" s="234"/>
      <c r="L84" s="234"/>
      <c r="M84" s="234"/>
      <c r="N84" s="234"/>
      <c r="O84" s="234"/>
      <c r="P84" s="234"/>
      <c r="Q84" s="234"/>
      <c r="R84" s="234"/>
      <c r="S84" s="5"/>
    </row>
    <row r="85" spans="2:19" x14ac:dyDescent="0.25">
      <c r="B85" s="5"/>
      <c r="C85" s="234"/>
      <c r="D85" s="234"/>
      <c r="E85" s="234"/>
      <c r="F85" s="234"/>
      <c r="G85" s="234"/>
      <c r="H85" s="234"/>
      <c r="I85" s="234"/>
      <c r="J85" s="234"/>
      <c r="K85" s="234"/>
      <c r="L85" s="234"/>
      <c r="M85" s="234"/>
      <c r="N85" s="234"/>
      <c r="O85" s="234"/>
      <c r="P85" s="234"/>
      <c r="Q85" s="234"/>
      <c r="R85" s="234"/>
      <c r="S85" s="5"/>
    </row>
    <row r="86" spans="2:19" x14ac:dyDescent="0.25">
      <c r="B86" s="5"/>
      <c r="C86" s="234"/>
      <c r="D86" s="234"/>
      <c r="E86" s="234"/>
      <c r="F86" s="234"/>
      <c r="G86" s="234"/>
      <c r="H86" s="234"/>
      <c r="I86" s="234"/>
      <c r="J86" s="234"/>
      <c r="K86" s="234"/>
      <c r="L86" s="234"/>
      <c r="M86" s="234"/>
      <c r="N86" s="234"/>
      <c r="O86" s="234"/>
      <c r="P86" s="234"/>
      <c r="Q86" s="234"/>
      <c r="R86" s="234"/>
      <c r="S86" s="5"/>
    </row>
    <row r="87" spans="2:19" x14ac:dyDescent="0.25">
      <c r="B87" s="5"/>
      <c r="C87" s="234"/>
      <c r="D87" s="234"/>
      <c r="E87" s="234"/>
      <c r="F87" s="234"/>
      <c r="G87" s="234"/>
      <c r="H87" s="234"/>
      <c r="I87" s="234"/>
      <c r="J87" s="234"/>
      <c r="K87" s="234"/>
      <c r="L87" s="234"/>
      <c r="M87" s="234"/>
      <c r="N87" s="234"/>
      <c r="O87" s="234"/>
      <c r="P87" s="234"/>
      <c r="Q87" s="234"/>
      <c r="R87" s="234"/>
      <c r="S87" s="5"/>
    </row>
    <row r="88" spans="2:19" x14ac:dyDescent="0.25">
      <c r="B88" s="5"/>
      <c r="C88" s="234"/>
      <c r="D88" s="234"/>
      <c r="E88" s="234"/>
      <c r="F88" s="234"/>
      <c r="G88" s="234"/>
      <c r="H88" s="234"/>
      <c r="I88" s="234"/>
      <c r="J88" s="234"/>
      <c r="K88" s="234"/>
      <c r="L88" s="234"/>
      <c r="M88" s="234"/>
      <c r="N88" s="234"/>
      <c r="O88" s="234"/>
      <c r="P88" s="234"/>
      <c r="Q88" s="234"/>
      <c r="R88" s="234"/>
      <c r="S88" s="5"/>
    </row>
    <row r="89" spans="2:19" s="409" customFormat="1" x14ac:dyDescent="0.25">
      <c r="B89" s="5"/>
      <c r="S89" s="5"/>
    </row>
    <row r="90" spans="2:19" x14ac:dyDescent="0.25">
      <c r="B90" s="5"/>
      <c r="C90" s="234"/>
      <c r="D90" s="234"/>
      <c r="E90" s="234"/>
      <c r="F90" s="234"/>
      <c r="G90" s="234"/>
      <c r="H90" s="234"/>
      <c r="I90" s="234"/>
      <c r="J90" s="234"/>
      <c r="K90" s="234"/>
      <c r="L90" s="234"/>
      <c r="M90" s="234"/>
      <c r="N90" s="234"/>
      <c r="O90" s="234"/>
      <c r="P90" s="234"/>
      <c r="Q90" s="234"/>
      <c r="R90" s="234"/>
      <c r="S90" s="5"/>
    </row>
    <row r="91" spans="2:19" x14ac:dyDescent="0.25">
      <c r="B91" s="5"/>
      <c r="C91" s="272" t="s">
        <v>735</v>
      </c>
      <c r="D91" s="234"/>
      <c r="E91" s="234"/>
      <c r="F91" s="234"/>
      <c r="G91" s="234"/>
      <c r="H91" s="234"/>
      <c r="I91" s="234"/>
      <c r="J91" s="234"/>
      <c r="K91" s="234"/>
      <c r="L91" s="234"/>
      <c r="M91" s="234"/>
      <c r="N91" s="234"/>
      <c r="O91" s="234"/>
      <c r="P91" s="234"/>
      <c r="Q91" s="234"/>
      <c r="R91" s="234"/>
      <c r="S91" s="5"/>
    </row>
    <row r="92" spans="2:19" ht="50.25" customHeight="1" x14ac:dyDescent="0.25">
      <c r="B92" s="5"/>
      <c r="C92" s="901" t="s">
        <v>787</v>
      </c>
      <c r="D92" s="901"/>
      <c r="E92" s="901"/>
      <c r="F92" s="901"/>
      <c r="G92" s="901"/>
      <c r="H92" s="901"/>
      <c r="I92" s="901"/>
      <c r="J92" s="901"/>
      <c r="K92" s="901"/>
      <c r="L92" s="901"/>
      <c r="M92" s="901"/>
      <c r="N92" s="901"/>
      <c r="O92" s="901"/>
      <c r="P92" s="901"/>
      <c r="Q92" s="901"/>
      <c r="R92" s="901"/>
      <c r="S92" s="5"/>
    </row>
    <row r="93" spans="2:19" x14ac:dyDescent="0.25">
      <c r="B93" s="5"/>
      <c r="C93" s="234"/>
      <c r="D93" s="234"/>
      <c r="E93" s="234"/>
      <c r="F93" s="234"/>
      <c r="G93" s="234"/>
      <c r="H93" s="234"/>
      <c r="I93" s="234"/>
      <c r="J93" s="234"/>
      <c r="K93" s="234"/>
      <c r="L93" s="234"/>
      <c r="M93" s="234"/>
      <c r="N93" s="234"/>
      <c r="O93" s="234"/>
      <c r="P93" s="234"/>
      <c r="Q93" s="234"/>
      <c r="R93" s="234"/>
      <c r="S93" s="5"/>
    </row>
    <row r="94" spans="2:19" x14ac:dyDescent="0.25">
      <c r="B94" s="5"/>
      <c r="C94" s="234"/>
      <c r="D94" s="234"/>
      <c r="R94" s="234"/>
      <c r="S94" s="5"/>
    </row>
    <row r="95" spans="2:19" ht="15" customHeight="1" x14ac:dyDescent="0.25">
      <c r="B95" s="5"/>
      <c r="C95" s="234"/>
      <c r="D95" s="640" t="s">
        <v>734</v>
      </c>
      <c r="E95" s="817"/>
      <c r="F95" s="817"/>
      <c r="G95" s="641"/>
      <c r="H95" s="635" t="str">
        <f>INDEX(Locations, selection)</f>
        <v>Kingston Buci</v>
      </c>
      <c r="I95" s="635"/>
      <c r="J95" s="637" t="str">
        <f>INDEX(Locations, selection2)</f>
        <v>Stepping Stones</v>
      </c>
      <c r="K95" s="637"/>
      <c r="L95" s="631" t="s">
        <v>292</v>
      </c>
      <c r="M95" s="631"/>
      <c r="N95" s="632" t="s">
        <v>293</v>
      </c>
      <c r="O95" s="632"/>
      <c r="P95" s="632" t="s">
        <v>294</v>
      </c>
      <c r="Q95" s="632"/>
      <c r="R95" s="234"/>
      <c r="S95" s="5"/>
    </row>
    <row r="96" spans="2:19" ht="15" customHeight="1" x14ac:dyDescent="0.25">
      <c r="B96" s="5"/>
      <c r="C96" s="234"/>
      <c r="D96" s="818"/>
      <c r="E96" s="819"/>
      <c r="F96" s="819"/>
      <c r="G96" s="820"/>
      <c r="H96" s="635"/>
      <c r="I96" s="635"/>
      <c r="J96" s="637"/>
      <c r="K96" s="637"/>
      <c r="L96" s="631"/>
      <c r="M96" s="631"/>
      <c r="N96" s="632"/>
      <c r="O96" s="632"/>
      <c r="P96" s="632"/>
      <c r="Q96" s="632"/>
      <c r="R96" s="234"/>
      <c r="S96" s="5"/>
    </row>
    <row r="97" spans="2:19" s="273" customFormat="1" ht="15" customHeight="1" x14ac:dyDescent="0.25">
      <c r="B97" s="5"/>
      <c r="D97" s="818"/>
      <c r="E97" s="819"/>
      <c r="F97" s="819"/>
      <c r="G97" s="820"/>
      <c r="H97" s="279" t="s">
        <v>741</v>
      </c>
      <c r="I97" s="279" t="s">
        <v>742</v>
      </c>
      <c r="J97" s="280" t="s">
        <v>741</v>
      </c>
      <c r="K97" s="280" t="s">
        <v>742</v>
      </c>
      <c r="L97" s="281" t="s">
        <v>741</v>
      </c>
      <c r="M97" s="281" t="s">
        <v>742</v>
      </c>
      <c r="N97" s="282" t="s">
        <v>741</v>
      </c>
      <c r="O97" s="282" t="s">
        <v>742</v>
      </c>
      <c r="P97" s="282" t="s">
        <v>741</v>
      </c>
      <c r="Q97" s="282" t="s">
        <v>742</v>
      </c>
      <c r="S97" s="5"/>
    </row>
    <row r="98" spans="2:19" ht="21.75" customHeight="1" x14ac:dyDescent="0.25">
      <c r="B98" s="5"/>
      <c r="C98" s="234"/>
      <c r="D98" s="625" t="s">
        <v>736</v>
      </c>
      <c r="E98" s="626"/>
      <c r="F98" s="626"/>
      <c r="G98" s="284" t="s">
        <v>672</v>
      </c>
      <c r="H98" s="288">
        <f t="shared" ref="H98:H103" si="0">HLOOKUP($D98,Childpoverty,selection+1, FALSE)</f>
        <v>0.17901234567901234</v>
      </c>
      <c r="I98" s="289">
        <f t="shared" ref="I98:I103" si="1">HLOOKUP($G98,Childpoverty,selection+1,FALSE)</f>
        <v>145</v>
      </c>
      <c r="J98" s="288">
        <f t="shared" ref="J98:J103" si="2">HLOOKUP($D98, Childpoverty, selection2+1, FALSE)</f>
        <v>0.2348993288590604</v>
      </c>
      <c r="K98" s="289">
        <f t="shared" ref="K98:K103" si="3">HLOOKUP($G98,Childpoverty,selection2+1,FALSE)</f>
        <v>175</v>
      </c>
      <c r="L98" s="288">
        <f>Data!DS76</f>
        <v>0.14502729646332779</v>
      </c>
      <c r="M98" s="290">
        <f>Data!DR76</f>
        <v>6110</v>
      </c>
      <c r="N98" s="288">
        <f>Data!DS77</f>
        <v>0.16714880332986473</v>
      </c>
      <c r="O98" s="287">
        <f>Data!DR77</f>
        <v>80315</v>
      </c>
      <c r="P98" s="288">
        <f>Data!DS78</f>
        <v>0.23214288650065187</v>
      </c>
      <c r="Q98" s="287">
        <f>Data!DR78</f>
        <v>706015</v>
      </c>
      <c r="R98" s="234"/>
      <c r="S98" s="5"/>
    </row>
    <row r="99" spans="2:19" ht="21.75" customHeight="1" x14ac:dyDescent="0.25">
      <c r="B99" s="5"/>
      <c r="C99" s="234"/>
      <c r="D99" s="1063" t="s">
        <v>737</v>
      </c>
      <c r="E99" s="1064"/>
      <c r="F99" s="1064"/>
      <c r="G99" s="286" t="s">
        <v>673</v>
      </c>
      <c r="H99" s="288">
        <f t="shared" si="0"/>
        <v>0.18124999999999999</v>
      </c>
      <c r="I99" s="289">
        <f t="shared" si="1"/>
        <v>145</v>
      </c>
      <c r="J99" s="288">
        <f t="shared" si="2"/>
        <v>0.26797385620915032</v>
      </c>
      <c r="K99" s="289">
        <f t="shared" si="3"/>
        <v>205</v>
      </c>
      <c r="L99" s="288">
        <f>Data!DW76</f>
        <v>0.16019473745218499</v>
      </c>
      <c r="M99" s="290">
        <f>Data!DV76</f>
        <v>6940</v>
      </c>
      <c r="N99" s="288">
        <f>Data!DW77</f>
        <v>0.18006356017974981</v>
      </c>
      <c r="O99" s="287">
        <f>Data!DV77</f>
        <v>88955</v>
      </c>
      <c r="P99" s="288">
        <f>Data!DW78</f>
        <v>0.23928108580877047</v>
      </c>
      <c r="Q99" s="287">
        <f>Data!DV78</f>
        <v>749615</v>
      </c>
      <c r="R99" s="234"/>
      <c r="S99" s="5"/>
    </row>
    <row r="100" spans="2:19" ht="21.75" customHeight="1" x14ac:dyDescent="0.25">
      <c r="B100" s="5"/>
      <c r="C100" s="234"/>
      <c r="D100" s="1065" t="s">
        <v>738</v>
      </c>
      <c r="E100" s="1066"/>
      <c r="F100" s="1066"/>
      <c r="G100" s="285" t="s">
        <v>674</v>
      </c>
      <c r="H100" s="288">
        <f t="shared" si="0"/>
        <v>0.2</v>
      </c>
      <c r="I100" s="289">
        <f t="shared" si="1"/>
        <v>165</v>
      </c>
      <c r="J100" s="288">
        <f t="shared" si="2"/>
        <v>0.23717948717948717</v>
      </c>
      <c r="K100" s="289">
        <f t="shared" si="3"/>
        <v>185</v>
      </c>
      <c r="L100" s="288">
        <f>Data!EA76</f>
        <v>0.15725121702705763</v>
      </c>
      <c r="M100" s="290">
        <f>Data!DZ76</f>
        <v>6955</v>
      </c>
      <c r="N100" s="288">
        <f>Data!EA77</f>
        <v>0.17398834205864597</v>
      </c>
      <c r="O100" s="287">
        <f>Data!DZ77</f>
        <v>87905</v>
      </c>
      <c r="P100" s="288">
        <f>Data!EA78</f>
        <v>0.22961623757049512</v>
      </c>
      <c r="Q100" s="287">
        <f>Data!DZ78</f>
        <v>734090</v>
      </c>
      <c r="R100" s="234"/>
      <c r="S100" s="5"/>
    </row>
    <row r="101" spans="2:19" ht="21.75" customHeight="1" x14ac:dyDescent="0.25">
      <c r="B101" s="5"/>
      <c r="C101" s="234"/>
      <c r="D101" s="974" t="s">
        <v>739</v>
      </c>
      <c r="E101" s="975"/>
      <c r="F101" s="975"/>
      <c r="G101" s="283" t="s">
        <v>675</v>
      </c>
      <c r="H101" s="288">
        <f t="shared" si="0"/>
        <v>0.17543859649122806</v>
      </c>
      <c r="I101" s="289">
        <f t="shared" si="1"/>
        <v>150</v>
      </c>
      <c r="J101" s="288">
        <f t="shared" si="2"/>
        <v>0.2389937106918239</v>
      </c>
      <c r="K101" s="289">
        <f t="shared" si="3"/>
        <v>190</v>
      </c>
      <c r="L101" s="288">
        <f>Data!EE76</f>
        <v>0.15680604982206406</v>
      </c>
      <c r="M101" s="290">
        <f>Data!ED76</f>
        <v>7065</v>
      </c>
      <c r="N101" s="288">
        <f>Data!EE77</f>
        <v>0.17238127643027268</v>
      </c>
      <c r="O101" s="287">
        <f>Data!ED77</f>
        <v>88660</v>
      </c>
      <c r="P101" s="288">
        <f>Data!EE78</f>
        <v>0.2265069406586773</v>
      </c>
      <c r="Q101" s="287">
        <f>Data!ED78</f>
        <v>735425</v>
      </c>
      <c r="R101" s="234"/>
      <c r="S101" s="5"/>
    </row>
    <row r="102" spans="2:19" ht="21.75" customHeight="1" x14ac:dyDescent="0.25">
      <c r="B102" s="5"/>
      <c r="C102" s="234"/>
      <c r="D102" s="974" t="s">
        <v>740</v>
      </c>
      <c r="E102" s="975"/>
      <c r="F102" s="975"/>
      <c r="G102" s="283" t="s">
        <v>676</v>
      </c>
      <c r="H102" s="288">
        <f t="shared" si="0"/>
        <v>0.16292134831460675</v>
      </c>
      <c r="I102" s="289">
        <f t="shared" si="1"/>
        <v>145</v>
      </c>
      <c r="J102" s="288">
        <f t="shared" si="2"/>
        <v>0.23952095808383234</v>
      </c>
      <c r="K102" s="289">
        <f t="shared" si="3"/>
        <v>200</v>
      </c>
      <c r="L102" s="288">
        <f>Data!EI76</f>
        <v>0.14665936473165389</v>
      </c>
      <c r="M102" s="290">
        <f>Data!EH76</f>
        <v>6685</v>
      </c>
      <c r="N102" s="288">
        <f>Data!EI77</f>
        <v>0.16435249690109446</v>
      </c>
      <c r="O102" s="287">
        <f>Data!EH77</f>
        <v>85520</v>
      </c>
      <c r="P102" s="288">
        <f>Data!EI78</f>
        <v>0.21546519008053139</v>
      </c>
      <c r="Q102" s="287">
        <f>Data!EH78</f>
        <v>707815</v>
      </c>
      <c r="R102" s="234"/>
      <c r="S102" s="5"/>
    </row>
    <row r="103" spans="2:19" ht="22.5" customHeight="1" x14ac:dyDescent="0.25">
      <c r="B103" s="5"/>
      <c r="C103" s="234"/>
      <c r="D103" s="974" t="s">
        <v>874</v>
      </c>
      <c r="E103" s="975"/>
      <c r="F103" s="975"/>
      <c r="G103" s="283" t="s">
        <v>875</v>
      </c>
      <c r="H103" s="288">
        <f t="shared" si="0"/>
        <v>0.16022099447513813</v>
      </c>
      <c r="I103" s="289">
        <f t="shared" si="1"/>
        <v>145</v>
      </c>
      <c r="J103" s="288">
        <f t="shared" si="2"/>
        <v>0.19879518072289157</v>
      </c>
      <c r="K103" s="289">
        <f t="shared" si="3"/>
        <v>165</v>
      </c>
      <c r="L103" s="288">
        <f>Data!EM76</f>
        <v>0.15426411528466807</v>
      </c>
      <c r="M103" s="290">
        <f>Data!EL76</f>
        <v>6530</v>
      </c>
      <c r="N103" s="288">
        <f>Data!EM77</f>
        <v>0.17539109823544904</v>
      </c>
      <c r="O103" s="287">
        <f>Data!EL77</f>
        <v>83245</v>
      </c>
      <c r="P103" s="288">
        <f>Data!EM78</f>
        <v>0.22145456531025867</v>
      </c>
      <c r="Q103" s="287">
        <f>Data!EL78</f>
        <v>689470</v>
      </c>
      <c r="R103" s="234"/>
      <c r="S103" s="5"/>
    </row>
    <row r="104" spans="2:19" x14ac:dyDescent="0.25">
      <c r="B104" s="5"/>
      <c r="C104" s="273"/>
      <c r="R104" s="273"/>
      <c r="S104" s="5"/>
    </row>
    <row r="105" spans="2:19" x14ac:dyDescent="0.25">
      <c r="B105" s="5"/>
      <c r="C105" s="273"/>
      <c r="D105" s="73" t="s">
        <v>876</v>
      </c>
      <c r="E105" s="73"/>
      <c r="F105" s="73"/>
      <c r="G105" s="73"/>
      <c r="H105" s="447">
        <f t="shared" ref="H105:H116" si="4">HLOOKUP($D105,Childpoverty,selection+1, FALSE)</f>
        <v>0.15414559991681143</v>
      </c>
      <c r="I105" s="448">
        <f>$H$98-H105</f>
        <v>2.4866745762200909E-2</v>
      </c>
      <c r="J105" s="447">
        <f t="shared" ref="J105:J116" si="5">HLOOKUP($D105, Childpoverty, selection2+1, FALSE)</f>
        <v>0.20586521665752222</v>
      </c>
      <c r="K105" s="448">
        <f>J98-J105</f>
        <v>2.9034112201538176E-2</v>
      </c>
      <c r="L105" s="449">
        <f>Data!DT76</f>
        <v>0.14169722698358567</v>
      </c>
      <c r="M105" s="448">
        <f>L98-L105</f>
        <v>3.330069479742126E-3</v>
      </c>
      <c r="N105" s="449">
        <f>Data!DT77</f>
        <v>0.16609650340974497</v>
      </c>
      <c r="O105" s="450">
        <f>N98-N105</f>
        <v>1.0522999201197647E-3</v>
      </c>
      <c r="P105" s="449">
        <f>Data!DT78</f>
        <v>0.2316687244671867</v>
      </c>
      <c r="Q105" s="446">
        <f>P98-P105</f>
        <v>4.7416203346517527E-4</v>
      </c>
      <c r="R105" s="273"/>
      <c r="S105" s="5"/>
    </row>
    <row r="106" spans="2:19" x14ac:dyDescent="0.25">
      <c r="B106" s="5"/>
      <c r="C106" s="273"/>
      <c r="D106" s="73" t="s">
        <v>877</v>
      </c>
      <c r="E106" s="73"/>
      <c r="F106" s="73"/>
      <c r="G106" s="73"/>
      <c r="H106" s="447">
        <f t="shared" si="4"/>
        <v>0.20690931518482067</v>
      </c>
      <c r="I106" s="448">
        <f>H106-H98</f>
        <v>2.7896969505808333E-2</v>
      </c>
      <c r="J106" s="447">
        <f t="shared" si="5"/>
        <v>0.2666533046566395</v>
      </c>
      <c r="K106" s="448">
        <f>J106-J98</f>
        <v>3.1753975797579104E-2</v>
      </c>
      <c r="L106" s="449">
        <f>Data!DU76</f>
        <v>0.14842209362874459</v>
      </c>
      <c r="M106" s="448">
        <f>L106-L98</f>
        <v>3.3947971654167963E-3</v>
      </c>
      <c r="N106" s="449">
        <f>Data!DU77</f>
        <v>0.16820642530593949</v>
      </c>
      <c r="O106" s="450">
        <f>N106-N98</f>
        <v>1.0576219760747574E-3</v>
      </c>
      <c r="P106" s="449">
        <f>Data!DU78</f>
        <v>0.23261772519374502</v>
      </c>
      <c r="Q106" s="446">
        <f>P106-P98</f>
        <v>4.7483869309314364E-4</v>
      </c>
      <c r="R106" s="273"/>
      <c r="S106" s="5"/>
    </row>
    <row r="107" spans="2:19" x14ac:dyDescent="0.25">
      <c r="B107" s="5"/>
      <c r="C107" s="273"/>
      <c r="D107" s="73" t="s">
        <v>878</v>
      </c>
      <c r="E107" s="73"/>
      <c r="F107" s="73"/>
      <c r="G107" s="73"/>
      <c r="H107" s="447">
        <f t="shared" si="4"/>
        <v>0.15609934500085099</v>
      </c>
      <c r="I107" s="448">
        <f>H99-H107</f>
        <v>2.5150654999149008E-2</v>
      </c>
      <c r="J107" s="447">
        <f t="shared" si="5"/>
        <v>0.23780486242152346</v>
      </c>
      <c r="K107" s="448">
        <f>J99-J107</f>
        <v>3.0168993787626858E-2</v>
      </c>
      <c r="L107" s="449">
        <f>Data!DX76</f>
        <v>0.15676365982333609</v>
      </c>
      <c r="M107" s="448">
        <f>L99-L107</f>
        <v>3.4310776288488942E-3</v>
      </c>
      <c r="N107" s="449">
        <f>Data!DX77</f>
        <v>0.17899458214908345</v>
      </c>
      <c r="O107" s="450">
        <f>N99-N107</f>
        <v>1.0689780306663565E-3</v>
      </c>
      <c r="P107" s="449">
        <f>Data!DX78</f>
        <v>0.23880896266935656</v>
      </c>
      <c r="Q107" s="446">
        <f>P99-P107</f>
        <v>4.7212313941391582E-4</v>
      </c>
      <c r="R107" s="273"/>
      <c r="S107" s="5"/>
    </row>
    <row r="108" spans="2:19" x14ac:dyDescent="0.25">
      <c r="B108" s="5"/>
      <c r="C108" s="273"/>
      <c r="D108" s="73" t="s">
        <v>879</v>
      </c>
      <c r="E108" s="73"/>
      <c r="F108" s="73"/>
      <c r="G108" s="73"/>
      <c r="H108" s="447">
        <f t="shared" si="4"/>
        <v>0.20944718858026748</v>
      </c>
      <c r="I108" s="448">
        <f>H108-H99</f>
        <v>2.8197188580267485E-2</v>
      </c>
      <c r="J108" s="447">
        <f t="shared" si="5"/>
        <v>0.30046145252912287</v>
      </c>
      <c r="K108" s="448">
        <f>J108-J99</f>
        <v>3.2487596319972556E-2</v>
      </c>
      <c r="L108" s="449">
        <f>Data!DY76</f>
        <v>0.16368633353164547</v>
      </c>
      <c r="M108" s="448">
        <f>L108-L99</f>
        <v>3.4915960794604795E-3</v>
      </c>
      <c r="N108" s="449">
        <f>Data!DY77</f>
        <v>0.18113751377052345</v>
      </c>
      <c r="O108" s="450">
        <f>N108-N99</f>
        <v>1.0739535907736408E-3</v>
      </c>
      <c r="P108" s="449">
        <f>Data!DY78</f>
        <v>0.23975384834178659</v>
      </c>
      <c r="Q108" s="446">
        <f>P108-P99</f>
        <v>4.7276253301611892E-4</v>
      </c>
      <c r="R108" s="273"/>
      <c r="S108" s="5"/>
    </row>
    <row r="109" spans="2:19" x14ac:dyDescent="0.25">
      <c r="B109" s="5"/>
      <c r="C109" s="273"/>
      <c r="D109" s="73" t="s">
        <v>880</v>
      </c>
      <c r="E109" s="73"/>
      <c r="F109" s="73"/>
      <c r="G109" s="73"/>
      <c r="H109" s="447">
        <f t="shared" si="4"/>
        <v>0.17412339695141124</v>
      </c>
      <c r="I109" s="448">
        <f>H100-H109</f>
        <v>2.587660304858877E-2</v>
      </c>
      <c r="J109" s="447">
        <f t="shared" si="5"/>
        <v>0.20866248588366965</v>
      </c>
      <c r="K109" s="448">
        <f>J100-J109</f>
        <v>2.8517001295817523E-2</v>
      </c>
      <c r="L109" s="449">
        <f>Data!EB76</f>
        <v>0.15388592402837381</v>
      </c>
      <c r="M109" s="448">
        <f>L100-L109</f>
        <v>3.365292998683822E-3</v>
      </c>
      <c r="N109" s="449">
        <f>Data!EB77</f>
        <v>0.17294548913366911</v>
      </c>
      <c r="O109" s="450">
        <f>N100-N109</f>
        <v>1.0428529249768559E-3</v>
      </c>
      <c r="P109" s="449">
        <f>Data!EB78</f>
        <v>0.22915553218576157</v>
      </c>
      <c r="Q109" s="446">
        <f>P100-P109</f>
        <v>4.6070538473355627E-4</v>
      </c>
      <c r="R109" s="273"/>
      <c r="S109" s="5"/>
    </row>
    <row r="110" spans="2:19" x14ac:dyDescent="0.25">
      <c r="B110" s="5"/>
      <c r="C110" s="273"/>
      <c r="D110" s="73" t="s">
        <v>881</v>
      </c>
      <c r="E110" s="73"/>
      <c r="F110" s="73"/>
      <c r="G110" s="73"/>
      <c r="H110" s="447">
        <f t="shared" si="4"/>
        <v>0.22865744281943703</v>
      </c>
      <c r="I110" s="448">
        <f>H110-H100</f>
        <v>2.8657442819437023E-2</v>
      </c>
      <c r="J110" s="447">
        <f t="shared" si="5"/>
        <v>0.26827255578042708</v>
      </c>
      <c r="K110" s="448">
        <f>J110-J100</f>
        <v>3.109306860093991E-2</v>
      </c>
      <c r="L110" s="449">
        <f>Data!EC76</f>
        <v>0.16067612921846403</v>
      </c>
      <c r="M110" s="448">
        <f>L110-L100</f>
        <v>3.4249121914063929E-3</v>
      </c>
      <c r="N110" s="449">
        <f>Data!EC77</f>
        <v>0.17503615248196333</v>
      </c>
      <c r="O110" s="450">
        <f>N110-N100</f>
        <v>1.0478104233173635E-3</v>
      </c>
      <c r="P110" s="449">
        <f>Data!EC78</f>
        <v>0.230077592725072</v>
      </c>
      <c r="Q110" s="446">
        <f>P110-P100</f>
        <v>4.613551545768757E-4</v>
      </c>
      <c r="R110" s="273"/>
      <c r="S110" s="5"/>
    </row>
    <row r="111" spans="2:19" x14ac:dyDescent="0.25">
      <c r="B111" s="5"/>
      <c r="C111" s="273"/>
      <c r="D111" s="73" t="s">
        <v>882</v>
      </c>
      <c r="E111" s="73"/>
      <c r="F111" s="73"/>
      <c r="G111" s="73"/>
      <c r="H111" s="447">
        <f t="shared" si="4"/>
        <v>0.15141192884865326</v>
      </c>
      <c r="I111" s="448">
        <f>H101-H111</f>
        <v>2.40266676425748E-2</v>
      </c>
      <c r="J111" s="447">
        <f t="shared" si="5"/>
        <v>0.21064854714886772</v>
      </c>
      <c r="K111" s="448">
        <f>J101-J111</f>
        <v>2.8345163542956187E-2</v>
      </c>
      <c r="L111" s="449">
        <f>Data!EF76</f>
        <v>0.15347429649501526</v>
      </c>
      <c r="M111" s="448">
        <f>L101-L111</f>
        <v>3.3317533270487976E-3</v>
      </c>
      <c r="N111" s="449">
        <f>Data!EF77</f>
        <v>0.17135146343848351</v>
      </c>
      <c r="O111" s="450">
        <f>N101-N111</f>
        <v>1.0298129917891696E-3</v>
      </c>
      <c r="P111" s="449">
        <f>Data!EF78</f>
        <v>0.2260519738612651</v>
      </c>
      <c r="Q111" s="446">
        <f>P101-P111</f>
        <v>4.5496679741219292E-4</v>
      </c>
      <c r="R111" s="273"/>
      <c r="S111" s="5"/>
    </row>
    <row r="112" spans="2:19" x14ac:dyDescent="0.25">
      <c r="B112" s="5"/>
      <c r="C112" s="273"/>
      <c r="D112" s="73" t="s">
        <v>883</v>
      </c>
      <c r="E112" s="73"/>
      <c r="F112" s="73"/>
      <c r="G112" s="73"/>
      <c r="H112" s="447">
        <f t="shared" si="4"/>
        <v>0.20236868537310274</v>
      </c>
      <c r="I112" s="448">
        <f>H112-H101</f>
        <v>2.6930088881874675E-2</v>
      </c>
      <c r="J112" s="447">
        <f t="shared" si="5"/>
        <v>0.26984912179704285</v>
      </c>
      <c r="K112" s="448">
        <f>J112-J101</f>
        <v>3.0855411105218944E-2</v>
      </c>
      <c r="L112" s="449">
        <f>Data!EG76</f>
        <v>0.16019644428760754</v>
      </c>
      <c r="M112" s="448">
        <f>L112-L101</f>
        <v>3.3903944655434837E-3</v>
      </c>
      <c r="N112" s="449">
        <f>Data!EG77</f>
        <v>0.17341598330991739</v>
      </c>
      <c r="O112" s="450">
        <f>N112-N101</f>
        <v>1.0347068796447145E-3</v>
      </c>
      <c r="P112" s="449">
        <f>Data!EG78</f>
        <v>0.22696255462120365</v>
      </c>
      <c r="Q112" s="446">
        <f>P112-P101</f>
        <v>4.5561396252635777E-4</v>
      </c>
      <c r="R112" s="273"/>
      <c r="S112" s="5"/>
    </row>
    <row r="113" spans="2:19" x14ac:dyDescent="0.25">
      <c r="B113" s="5"/>
      <c r="C113" s="273"/>
      <c r="D113" s="73" t="s">
        <v>884</v>
      </c>
      <c r="E113" s="73"/>
      <c r="F113" s="73"/>
      <c r="G113" s="73"/>
      <c r="H113" s="447">
        <f t="shared" si="4"/>
        <v>0.14011697451170044</v>
      </c>
      <c r="I113" s="448">
        <f>H102-H113</f>
        <v>2.2804373802906314E-2</v>
      </c>
      <c r="J113" s="447">
        <f t="shared" si="5"/>
        <v>0.21180744220700884</v>
      </c>
      <c r="K113" s="448">
        <f>J102-J113</f>
        <v>2.7713515876823497E-2</v>
      </c>
      <c r="L113" s="449">
        <f>Data!EJ76</f>
        <v>0.14344387874183293</v>
      </c>
      <c r="M113" s="448">
        <f>L102-L113</f>
        <v>3.2154859898209653E-3</v>
      </c>
      <c r="N113" s="449">
        <f>Data!EJ77</f>
        <v>0.16334803891218105</v>
      </c>
      <c r="O113" s="450">
        <f>N102-N113</f>
        <v>1.0044579889134098E-3</v>
      </c>
      <c r="P113" s="449">
        <f>Data!EJ78</f>
        <v>0.21502092091881381</v>
      </c>
      <c r="Q113" s="446">
        <f>P102-P113</f>
        <v>4.4426916171758091E-4</v>
      </c>
      <c r="R113" s="273"/>
      <c r="S113" s="5"/>
    </row>
    <row r="114" spans="2:19" x14ac:dyDescent="0.25">
      <c r="B114" s="5"/>
      <c r="C114" s="273"/>
      <c r="D114" s="73" t="s">
        <v>885</v>
      </c>
      <c r="E114" s="73"/>
      <c r="F114" s="73"/>
      <c r="G114" s="73"/>
      <c r="H114" s="447">
        <f t="shared" si="4"/>
        <v>0.18862304523226978</v>
      </c>
      <c r="I114" s="448">
        <f>H114-H102</f>
        <v>2.5701696917663025E-2</v>
      </c>
      <c r="J114" s="447">
        <f t="shared" si="5"/>
        <v>0.26962019179244151</v>
      </c>
      <c r="K114" s="448">
        <f>J114-J102</f>
        <v>3.0099233708609174E-2</v>
      </c>
      <c r="L114" s="449">
        <f>Data!EK76</f>
        <v>0.14993431312186389</v>
      </c>
      <c r="M114" s="448">
        <f>L114-L102</f>
        <v>3.2749483902100029E-3</v>
      </c>
      <c r="N114" s="449">
        <f>Data!EK77</f>
        <v>0.16536191070410292</v>
      </c>
      <c r="O114" s="450">
        <f>N114-N102</f>
        <v>1.0094138030084521E-3</v>
      </c>
      <c r="P114" s="449">
        <f>Data!EK78</f>
        <v>0.21591012469684692</v>
      </c>
      <c r="Q114" s="446">
        <f>P114-P102</f>
        <v>4.4493461631553433E-4</v>
      </c>
      <c r="R114" s="273"/>
      <c r="S114" s="5"/>
    </row>
    <row r="115" spans="2:19" x14ac:dyDescent="0.25">
      <c r="B115" s="5"/>
      <c r="C115" s="273"/>
      <c r="D115" s="73" t="s">
        <v>886</v>
      </c>
      <c r="E115" s="73"/>
      <c r="F115" s="73"/>
      <c r="G115" s="73"/>
      <c r="H115" s="447">
        <f t="shared" si="4"/>
        <v>0.13776626878938375</v>
      </c>
      <c r="I115" s="448">
        <f>H103-H115</f>
        <v>2.2454725685754379E-2</v>
      </c>
      <c r="J115" s="447">
        <f t="shared" si="5"/>
        <v>0.17305903891802601</v>
      </c>
      <c r="K115" s="448">
        <f>J103-J115</f>
        <v>2.5736141804865553E-2</v>
      </c>
      <c r="L115" s="449">
        <f>Data!EN76</f>
        <v>0.1508545873636733</v>
      </c>
      <c r="M115" s="448">
        <f>L103-L115</f>
        <v>3.409527920994776E-3</v>
      </c>
      <c r="N115" s="449">
        <f>Data!EN77</f>
        <v>0.17431179317805806</v>
      </c>
      <c r="O115" s="450">
        <f>N103-N115</f>
        <v>1.0793050573909835E-3</v>
      </c>
      <c r="P115" s="449">
        <f>Data!EN78</f>
        <v>0.2209936797092171</v>
      </c>
      <c r="Q115" s="446">
        <f>P103-P115</f>
        <v>4.6088560104157184E-4</v>
      </c>
      <c r="R115" s="273"/>
      <c r="S115" s="5"/>
    </row>
    <row r="116" spans="2:19" x14ac:dyDescent="0.25">
      <c r="B116" s="5"/>
      <c r="C116" s="273"/>
      <c r="D116" s="73" t="s">
        <v>887</v>
      </c>
      <c r="E116" s="73"/>
      <c r="F116" s="73"/>
      <c r="G116" s="73"/>
      <c r="H116" s="447">
        <f t="shared" si="4"/>
        <v>0.18554805184249037</v>
      </c>
      <c r="I116" s="448">
        <f>H116-H103</f>
        <v>2.5327057367352246E-2</v>
      </c>
      <c r="J116" s="447">
        <f t="shared" si="5"/>
        <v>0.22730658849134708</v>
      </c>
      <c r="K116" s="448">
        <f>J116-J103</f>
        <v>2.851140776845551E-2</v>
      </c>
      <c r="L116" s="449">
        <f>Data!EO76</f>
        <v>0.15773638875948945</v>
      </c>
      <c r="M116" s="448">
        <f>L116-L103</f>
        <v>3.4722734748213746E-3</v>
      </c>
      <c r="N116" s="449">
        <f>Data!EO77</f>
        <v>0.17647565780592492</v>
      </c>
      <c r="O116" s="450">
        <f>N116-N103</f>
        <v>1.0845595704758737E-3</v>
      </c>
      <c r="P116" s="449">
        <f>Data!EO78</f>
        <v>0.2219161382818966</v>
      </c>
      <c r="Q116" s="446">
        <f>P116-P103</f>
        <v>4.6157297163793021E-4</v>
      </c>
      <c r="R116" s="273"/>
      <c r="S116" s="5"/>
    </row>
    <row r="117" spans="2:19" x14ac:dyDescent="0.25">
      <c r="B117" s="5"/>
      <c r="C117" s="273"/>
      <c r="D117" s="273"/>
      <c r="E117" s="273"/>
      <c r="F117" s="273"/>
      <c r="G117" s="273"/>
      <c r="H117" s="273"/>
      <c r="I117" s="273"/>
      <c r="J117" s="273"/>
      <c r="K117" s="273"/>
      <c r="L117" s="273"/>
      <c r="M117" s="273"/>
      <c r="N117" s="273"/>
      <c r="O117" s="273"/>
      <c r="P117" s="273"/>
      <c r="Q117" s="273"/>
      <c r="R117" s="273"/>
      <c r="S117" s="5"/>
    </row>
    <row r="118" spans="2:19" x14ac:dyDescent="0.25">
      <c r="B118" s="5"/>
      <c r="C118" s="273"/>
      <c r="D118" s="273"/>
      <c r="E118" s="273"/>
      <c r="F118" s="273"/>
      <c r="G118" s="273"/>
      <c r="H118" s="273"/>
      <c r="I118" s="273"/>
      <c r="J118" s="273"/>
      <c r="K118" s="273"/>
      <c r="L118" s="273"/>
      <c r="M118" s="273"/>
      <c r="N118" s="273"/>
      <c r="O118" s="273"/>
      <c r="P118" s="273"/>
      <c r="Q118" s="273"/>
      <c r="R118" s="273"/>
      <c r="S118" s="5"/>
    </row>
    <row r="119" spans="2:19" x14ac:dyDescent="0.25">
      <c r="B119" s="5"/>
      <c r="C119" s="273"/>
      <c r="D119" s="273"/>
      <c r="E119" s="273"/>
      <c r="F119" s="273"/>
      <c r="G119" s="273"/>
      <c r="H119" s="273"/>
      <c r="I119" s="273"/>
      <c r="J119" s="273"/>
      <c r="K119" s="273"/>
      <c r="L119" s="273"/>
      <c r="M119" s="273"/>
      <c r="N119" s="273"/>
      <c r="O119" s="273"/>
      <c r="P119" s="273"/>
      <c r="Q119" s="273"/>
      <c r="R119" s="273"/>
      <c r="S119" s="5"/>
    </row>
    <row r="120" spans="2:19" x14ac:dyDescent="0.25">
      <c r="B120" s="5"/>
      <c r="C120" s="5"/>
      <c r="D120" s="5"/>
      <c r="E120" s="5"/>
      <c r="F120" s="5"/>
      <c r="G120" s="5"/>
      <c r="H120" s="5"/>
      <c r="I120" s="5"/>
      <c r="J120" s="5"/>
      <c r="K120" s="5"/>
      <c r="L120" s="5"/>
      <c r="M120" s="5"/>
      <c r="N120" s="5"/>
      <c r="O120" s="5"/>
      <c r="P120" s="5"/>
      <c r="Q120" s="5"/>
      <c r="R120" s="5"/>
      <c r="S120" s="5"/>
    </row>
    <row r="121" spans="2:19" x14ac:dyDescent="0.25">
      <c r="B121" s="5"/>
      <c r="C121" s="5"/>
      <c r="D121" s="5"/>
      <c r="E121" s="5"/>
      <c r="F121" s="5"/>
      <c r="G121" s="5"/>
      <c r="H121" s="5"/>
      <c r="I121" s="5"/>
      <c r="J121" s="5"/>
      <c r="K121" s="5"/>
      <c r="L121" s="5"/>
      <c r="M121" s="5"/>
      <c r="N121" s="5"/>
      <c r="O121" s="5"/>
      <c r="P121" s="5"/>
      <c r="Q121" s="5"/>
      <c r="R121" s="5"/>
      <c r="S121" s="5"/>
    </row>
    <row r="122" spans="2:19" x14ac:dyDescent="0.25">
      <c r="B122" s="5"/>
      <c r="C122" s="5"/>
      <c r="D122" s="5"/>
      <c r="E122" s="5"/>
      <c r="F122" s="5"/>
      <c r="G122" s="5"/>
      <c r="H122" s="5"/>
      <c r="I122" s="5"/>
      <c r="J122" s="5"/>
      <c r="K122" s="5"/>
      <c r="L122" s="5"/>
      <c r="M122" s="5"/>
      <c r="N122" s="5"/>
      <c r="O122" s="5"/>
      <c r="P122" s="5"/>
      <c r="Q122" s="5"/>
      <c r="R122" s="5"/>
      <c r="S122" s="5"/>
    </row>
  </sheetData>
  <sheetProtection sheet="1" objects="1" scenarios="1"/>
  <mergeCells count="59">
    <mergeCell ref="A2:L2"/>
    <mergeCell ref="H49:I49"/>
    <mergeCell ref="J49:K49"/>
    <mergeCell ref="L49:M49"/>
    <mergeCell ref="P48:Q48"/>
    <mergeCell ref="P49:Q49"/>
    <mergeCell ref="E47:G47"/>
    <mergeCell ref="E48:G48"/>
    <mergeCell ref="E49:G49"/>
    <mergeCell ref="H48:I48"/>
    <mergeCell ref="J48:K48"/>
    <mergeCell ref="L48:M48"/>
    <mergeCell ref="N48:O48"/>
    <mergeCell ref="N49:O49"/>
    <mergeCell ref="P47:Q47"/>
    <mergeCell ref="N47:O47"/>
    <mergeCell ref="D74:G74"/>
    <mergeCell ref="D67:G69"/>
    <mergeCell ref="I18:J20"/>
    <mergeCell ref="K18:L20"/>
    <mergeCell ref="I21:J23"/>
    <mergeCell ref="K21:L23"/>
    <mergeCell ref="G21:H23"/>
    <mergeCell ref="G18:H20"/>
    <mergeCell ref="L47:M47"/>
    <mergeCell ref="J47:K47"/>
    <mergeCell ref="H47:I47"/>
    <mergeCell ref="H67:I69"/>
    <mergeCell ref="J67:K69"/>
    <mergeCell ref="G24:H26"/>
    <mergeCell ref="I24:J26"/>
    <mergeCell ref="K24:L26"/>
    <mergeCell ref="P95:Q96"/>
    <mergeCell ref="C92:R92"/>
    <mergeCell ref="J70:K70"/>
    <mergeCell ref="J71:K71"/>
    <mergeCell ref="J72:K72"/>
    <mergeCell ref="J73:K73"/>
    <mergeCell ref="J74:K74"/>
    <mergeCell ref="H70:I70"/>
    <mergeCell ref="H71:I71"/>
    <mergeCell ref="H72:I72"/>
    <mergeCell ref="H73:I73"/>
    <mergeCell ref="H74:I74"/>
    <mergeCell ref="D70:G70"/>
    <mergeCell ref="D71:G71"/>
    <mergeCell ref="D72:G72"/>
    <mergeCell ref="D73:G73"/>
    <mergeCell ref="N95:O96"/>
    <mergeCell ref="D95:G97"/>
    <mergeCell ref="D98:F98"/>
    <mergeCell ref="D99:F99"/>
    <mergeCell ref="D100:F100"/>
    <mergeCell ref="D103:F103"/>
    <mergeCell ref="D102:F102"/>
    <mergeCell ref="H95:I96"/>
    <mergeCell ref="J95:K96"/>
    <mergeCell ref="L95:M96"/>
    <mergeCell ref="D101:F101"/>
  </mergeCells>
  <pageMargins left="0.25" right="0.25" top="0.75" bottom="0.75" header="0.3" footer="0.3"/>
  <pageSetup paperSize="9" scale="65" fitToHeight="3" orientation="portrait" r:id="rId1"/>
  <rowBreaks count="2" manualBreakCount="2">
    <brk id="51" max="19" man="1"/>
    <brk id="79" max="19" man="1"/>
  </rowBreaks>
  <ignoredErrors>
    <ignoredError sqref="J105:P115 J116:P11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72" r:id="rId4" name="Drop Down 4">
              <controlPr defaultSize="0" autoLine="0" autoPict="0">
                <anchor moveWithCells="1">
                  <from>
                    <xdr:col>5</xdr:col>
                    <xdr:colOff>561975</xdr:colOff>
                    <xdr:row>4</xdr:row>
                    <xdr:rowOff>180975</xdr:rowOff>
                  </from>
                  <to>
                    <xdr:col>10</xdr:col>
                    <xdr:colOff>447675</xdr:colOff>
                    <xdr:row>6</xdr:row>
                    <xdr:rowOff>66675</xdr:rowOff>
                  </to>
                </anchor>
              </controlPr>
            </control>
          </mc:Choice>
        </mc:AlternateContent>
        <mc:AlternateContent xmlns:mc="http://schemas.openxmlformats.org/markup-compatibility/2006">
          <mc:Choice Requires="x14">
            <control shapeId="20" r:id="rId5" name="Drop Down 5">
              <controlPr defaultSize="0" autoLine="0" autoPict="0">
                <anchor moveWithCells="1">
                  <from>
                    <xdr:col>5</xdr:col>
                    <xdr:colOff>561975</xdr:colOff>
                    <xdr:row>6</xdr:row>
                    <xdr:rowOff>161925</xdr:rowOff>
                  </from>
                  <to>
                    <xdr:col>10</xdr:col>
                    <xdr:colOff>447675</xdr:colOff>
                    <xdr:row>8</xdr:row>
                    <xdr:rowOff>47625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39997558519241921"/>
  </sheetPr>
  <dimension ref="A1:AD102"/>
  <sheetViews>
    <sheetView zoomScaleNormal="100" zoomScaleSheetLayoutView="80" zoomScalePageLayoutView="30" workbookViewId="0">
      <selection activeCell="D8" sqref="D8"/>
    </sheetView>
  </sheetViews>
  <sheetFormatPr defaultRowHeight="14.25" x14ac:dyDescent="0.2"/>
  <cols>
    <col min="1" max="1" width="1" style="1" customWidth="1"/>
    <col min="2" max="2" width="1.19921875" style="1" customWidth="1"/>
    <col min="3" max="18" width="6.69921875" style="1" customWidth="1"/>
    <col min="19" max="19" width="3.8984375" style="1" customWidth="1"/>
    <col min="20" max="20" width="1.19921875" style="1" customWidth="1"/>
    <col min="21" max="21" width="1.09765625" style="1" customWidth="1"/>
    <col min="22" max="16384" width="8.796875" style="1"/>
  </cols>
  <sheetData>
    <row r="1" spans="1:20" ht="15" x14ac:dyDescent="0.25">
      <c r="R1" s="23">
        <f ca="1">NOW()</f>
        <v>42356.527743287035</v>
      </c>
    </row>
    <row r="2" spans="1:20" ht="17.25" customHeight="1" x14ac:dyDescent="0.2">
      <c r="A2" s="590"/>
      <c r="B2" s="591"/>
      <c r="C2" s="591"/>
      <c r="D2" s="591"/>
      <c r="E2" s="591"/>
      <c r="F2" s="591"/>
      <c r="G2" s="591"/>
      <c r="H2" s="591"/>
      <c r="I2" s="591"/>
      <c r="J2" s="591"/>
      <c r="K2" s="591"/>
      <c r="L2" s="591"/>
    </row>
    <row r="3" spans="1:20" ht="15" x14ac:dyDescent="0.25">
      <c r="A3" s="2"/>
      <c r="B3" s="2"/>
      <c r="C3" s="2"/>
      <c r="D3" s="2"/>
      <c r="E3" s="2"/>
      <c r="F3" s="2"/>
      <c r="G3" s="2"/>
      <c r="H3" s="2"/>
      <c r="I3" s="2"/>
      <c r="J3" s="2"/>
      <c r="K3" s="2"/>
      <c r="L3" s="2"/>
    </row>
    <row r="4" spans="1:20" ht="15" x14ac:dyDescent="0.25">
      <c r="A4" s="2"/>
      <c r="B4" s="2"/>
      <c r="C4" s="2"/>
      <c r="D4" s="2"/>
      <c r="E4" s="2"/>
      <c r="F4" s="2"/>
      <c r="G4" s="2"/>
      <c r="H4" s="2"/>
      <c r="I4" s="2"/>
      <c r="J4" s="2"/>
      <c r="K4" s="2"/>
      <c r="L4" s="2"/>
    </row>
    <row r="5" spans="1:20" s="69" customFormat="1" ht="15" x14ac:dyDescent="0.25">
      <c r="A5" s="334"/>
      <c r="B5" s="5"/>
      <c r="C5" s="5"/>
      <c r="D5" s="5"/>
      <c r="E5" s="5"/>
      <c r="F5" s="5"/>
      <c r="G5" s="5"/>
      <c r="H5" s="5"/>
      <c r="I5" s="5"/>
      <c r="J5" s="5"/>
      <c r="K5" s="5"/>
      <c r="L5" s="5"/>
      <c r="M5" s="6"/>
      <c r="N5" s="6"/>
      <c r="O5" s="6"/>
      <c r="P5" s="6"/>
      <c r="Q5" s="6"/>
      <c r="R5" s="6"/>
      <c r="S5" s="6"/>
      <c r="T5" s="6"/>
    </row>
    <row r="6" spans="1:20" s="69" customFormat="1" ht="15" x14ac:dyDescent="0.25">
      <c r="A6" s="334"/>
      <c r="B6" s="5"/>
      <c r="C6" s="5"/>
      <c r="D6" s="5"/>
      <c r="E6" s="5"/>
      <c r="F6" s="5"/>
      <c r="G6" s="5"/>
      <c r="H6" s="5"/>
      <c r="I6" s="5"/>
      <c r="J6" s="5"/>
      <c r="K6" s="5"/>
      <c r="L6" s="5"/>
      <c r="M6" s="6"/>
      <c r="N6" s="6"/>
      <c r="O6" s="6"/>
      <c r="P6" s="6"/>
      <c r="Q6" s="6"/>
      <c r="R6" s="6"/>
      <c r="S6" s="6"/>
      <c r="T6" s="6"/>
    </row>
    <row r="7" spans="1:20" s="69" customFormat="1" ht="15" x14ac:dyDescent="0.25">
      <c r="A7" s="334"/>
      <c r="B7" s="5"/>
      <c r="C7" s="5"/>
      <c r="D7" s="5"/>
      <c r="E7" s="5"/>
      <c r="F7" s="5"/>
      <c r="G7" s="5"/>
      <c r="H7" s="5"/>
      <c r="I7" s="5"/>
      <c r="J7" s="5"/>
      <c r="K7" s="5"/>
      <c r="L7" s="5"/>
      <c r="M7" s="6"/>
      <c r="N7" s="6"/>
      <c r="O7" s="6"/>
      <c r="P7" s="6"/>
      <c r="Q7" s="6"/>
      <c r="R7" s="6"/>
      <c r="S7" s="6"/>
      <c r="T7" s="6"/>
    </row>
    <row r="8" spans="1:20" s="69" customFormat="1" ht="15" x14ac:dyDescent="0.25">
      <c r="A8" s="334"/>
      <c r="B8" s="5"/>
      <c r="C8" s="5"/>
      <c r="D8" s="5"/>
      <c r="E8" s="5"/>
      <c r="F8" s="5"/>
      <c r="G8" s="5"/>
      <c r="H8" s="5"/>
      <c r="I8" s="5"/>
      <c r="J8" s="5"/>
      <c r="K8" s="5"/>
      <c r="L8" s="5"/>
      <c r="M8" s="6"/>
      <c r="N8" s="6"/>
      <c r="O8" s="6"/>
      <c r="P8" s="6"/>
      <c r="Q8" s="6"/>
      <c r="R8" s="6"/>
      <c r="S8" s="6"/>
      <c r="T8" s="6"/>
    </row>
    <row r="9" spans="1:20" ht="15" x14ac:dyDescent="0.25">
      <c r="A9" s="2"/>
      <c r="B9" s="5"/>
      <c r="C9" s="5"/>
      <c r="D9" s="5"/>
      <c r="E9" s="5"/>
      <c r="F9" s="5"/>
      <c r="G9" s="5"/>
      <c r="H9" s="5"/>
      <c r="I9" s="5"/>
      <c r="J9" s="5"/>
      <c r="K9" s="5"/>
      <c r="L9" s="5"/>
      <c r="M9" s="6"/>
      <c r="N9" s="6"/>
      <c r="O9" s="6"/>
      <c r="P9" s="6"/>
      <c r="Q9" s="6"/>
      <c r="R9" s="6"/>
      <c r="S9" s="6"/>
      <c r="T9" s="6"/>
    </row>
    <row r="10" spans="1:20" ht="15" x14ac:dyDescent="0.25">
      <c r="A10" s="2"/>
      <c r="B10" s="5"/>
      <c r="C10" s="5"/>
      <c r="D10" s="5"/>
      <c r="E10" s="5"/>
      <c r="F10" s="5"/>
      <c r="G10" s="5"/>
      <c r="H10" s="5"/>
      <c r="I10" s="5"/>
      <c r="J10" s="5"/>
      <c r="K10" s="5"/>
      <c r="L10" s="5"/>
      <c r="M10" s="6"/>
      <c r="N10" s="6"/>
      <c r="O10" s="6"/>
      <c r="P10" s="6"/>
      <c r="Q10" s="6"/>
      <c r="R10" s="6"/>
      <c r="S10" s="6"/>
      <c r="T10" s="6"/>
    </row>
    <row r="11" spans="1:20" ht="15" x14ac:dyDescent="0.25">
      <c r="A11" s="2"/>
      <c r="B11" s="5"/>
      <c r="C11" s="5"/>
      <c r="D11" s="5"/>
      <c r="E11" s="5"/>
      <c r="F11" s="5"/>
      <c r="G11" s="5"/>
      <c r="H11" s="5"/>
      <c r="I11" s="5"/>
      <c r="J11" s="5"/>
      <c r="K11" s="5"/>
      <c r="L11" s="5"/>
      <c r="M11" s="6"/>
      <c r="N11" s="6"/>
      <c r="O11" s="6"/>
      <c r="P11" s="6"/>
      <c r="Q11" s="6"/>
      <c r="R11" s="6"/>
      <c r="S11" s="6"/>
      <c r="T11" s="6"/>
    </row>
    <row r="12" spans="1:20" ht="15" x14ac:dyDescent="0.25">
      <c r="A12" s="2"/>
      <c r="B12" s="5"/>
      <c r="C12" s="5"/>
      <c r="D12" s="5"/>
      <c r="E12" s="5"/>
      <c r="F12" s="5"/>
      <c r="G12" s="5"/>
      <c r="H12" s="5"/>
      <c r="I12" s="5"/>
      <c r="J12" s="5"/>
      <c r="K12" s="5"/>
      <c r="L12" s="5"/>
      <c r="M12" s="6"/>
      <c r="N12" s="6"/>
      <c r="O12" s="6"/>
      <c r="P12" s="6"/>
      <c r="Q12" s="6"/>
      <c r="R12" s="6"/>
      <c r="S12" s="6"/>
      <c r="T12" s="6"/>
    </row>
    <row r="13" spans="1:20" ht="15" x14ac:dyDescent="0.25">
      <c r="A13" s="2"/>
      <c r="B13" s="5"/>
      <c r="C13" s="5"/>
      <c r="D13" s="5"/>
      <c r="E13" s="5"/>
      <c r="F13" s="5"/>
      <c r="G13" s="5"/>
      <c r="H13" s="5"/>
      <c r="I13" s="5"/>
      <c r="J13" s="5"/>
      <c r="K13" s="5"/>
      <c r="L13" s="5"/>
      <c r="M13" s="6"/>
      <c r="N13" s="6"/>
      <c r="O13" s="6"/>
      <c r="P13" s="6"/>
      <c r="Q13" s="6"/>
      <c r="R13" s="6"/>
      <c r="S13" s="6"/>
      <c r="T13" s="6"/>
    </row>
    <row r="14" spans="1:20" ht="15" x14ac:dyDescent="0.25">
      <c r="A14" s="2"/>
      <c r="B14" s="5"/>
      <c r="C14" s="5"/>
      <c r="D14" s="5"/>
      <c r="E14" s="5"/>
      <c r="F14" s="5"/>
      <c r="G14" s="5"/>
      <c r="H14" s="5"/>
      <c r="I14" s="5"/>
      <c r="J14" s="5"/>
      <c r="K14" s="5"/>
      <c r="L14" s="5"/>
      <c r="M14" s="6"/>
      <c r="N14" s="6"/>
      <c r="O14" s="6"/>
      <c r="P14" s="6"/>
      <c r="Q14" s="6"/>
      <c r="R14" s="6"/>
      <c r="S14" s="6"/>
      <c r="T14" s="6"/>
    </row>
    <row r="15" spans="1:20" ht="15" x14ac:dyDescent="0.25">
      <c r="A15" s="2"/>
      <c r="B15" s="5"/>
      <c r="C15" s="165"/>
      <c r="D15" s="165"/>
      <c r="E15" s="165"/>
      <c r="F15" s="165"/>
      <c r="G15" s="165"/>
      <c r="H15" s="165"/>
      <c r="I15" s="165"/>
      <c r="J15" s="165"/>
      <c r="K15" s="165"/>
      <c r="L15" s="165"/>
      <c r="M15" s="69"/>
      <c r="N15" s="69"/>
      <c r="O15" s="69"/>
      <c r="P15" s="69"/>
      <c r="Q15" s="69"/>
      <c r="R15" s="69"/>
      <c r="S15" s="69"/>
      <c r="T15" s="6"/>
    </row>
    <row r="16" spans="1:20" ht="15" x14ac:dyDescent="0.25">
      <c r="A16" s="2"/>
      <c r="B16" s="5"/>
      <c r="C16" s="165"/>
      <c r="D16" s="165"/>
      <c r="E16" s="165"/>
      <c r="F16" s="165"/>
      <c r="G16" s="165"/>
      <c r="H16" s="165"/>
      <c r="I16" s="165"/>
      <c r="J16" s="165"/>
      <c r="K16" s="165"/>
      <c r="L16" s="165"/>
      <c r="M16" s="69"/>
      <c r="N16" s="69"/>
      <c r="O16" s="69"/>
      <c r="P16" s="69"/>
      <c r="Q16" s="69"/>
      <c r="R16" s="69"/>
      <c r="S16" s="69"/>
      <c r="T16" s="6"/>
    </row>
    <row r="17" spans="1:20" ht="15" x14ac:dyDescent="0.25">
      <c r="A17" s="2"/>
      <c r="B17" s="5"/>
      <c r="C17" s="165"/>
      <c r="D17" s="165"/>
      <c r="E17" s="165"/>
      <c r="F17" s="165"/>
      <c r="G17" s="165"/>
      <c r="H17" s="165"/>
      <c r="I17" s="165"/>
      <c r="J17" s="165"/>
      <c r="K17" s="165"/>
      <c r="L17" s="165"/>
      <c r="M17" s="69"/>
      <c r="N17" s="69"/>
      <c r="O17" s="69"/>
      <c r="P17" s="69"/>
      <c r="Q17" s="69"/>
      <c r="R17" s="69"/>
      <c r="S17" s="69"/>
      <c r="T17" s="6"/>
    </row>
    <row r="18" spans="1:20" ht="15" x14ac:dyDescent="0.25">
      <c r="A18" s="2"/>
      <c r="B18" s="5"/>
      <c r="C18" s="165"/>
      <c r="D18" s="165"/>
      <c r="E18" s="165"/>
      <c r="F18" s="165"/>
      <c r="G18" s="165"/>
      <c r="H18" s="165"/>
      <c r="I18" s="165"/>
      <c r="J18" s="165"/>
      <c r="K18" s="165"/>
      <c r="L18" s="165"/>
      <c r="M18" s="69"/>
      <c r="N18" s="69"/>
      <c r="O18" s="69"/>
      <c r="P18" s="69"/>
      <c r="Q18" s="69"/>
      <c r="R18" s="69"/>
      <c r="S18" s="69"/>
      <c r="T18" s="6"/>
    </row>
    <row r="19" spans="1:20" ht="15" x14ac:dyDescent="0.25">
      <c r="A19" s="2"/>
      <c r="B19" s="5"/>
      <c r="C19" s="165"/>
      <c r="D19" s="165"/>
      <c r="E19" s="165"/>
      <c r="F19" s="165"/>
      <c r="G19" s="165"/>
      <c r="H19" s="165"/>
      <c r="I19" s="165"/>
      <c r="J19" s="165"/>
      <c r="K19" s="165"/>
      <c r="L19" s="165"/>
      <c r="M19" s="69"/>
      <c r="N19" s="69"/>
      <c r="O19" s="69"/>
      <c r="P19" s="69"/>
      <c r="Q19" s="69"/>
      <c r="R19" s="69"/>
      <c r="S19" s="69"/>
      <c r="T19" s="6"/>
    </row>
    <row r="20" spans="1:20" ht="15" x14ac:dyDescent="0.25">
      <c r="A20" s="2"/>
      <c r="B20" s="5"/>
      <c r="C20" s="165"/>
      <c r="D20" s="165"/>
      <c r="E20" s="165"/>
      <c r="F20" s="165"/>
      <c r="G20" s="165"/>
      <c r="H20" s="165"/>
      <c r="I20" s="165"/>
      <c r="J20" s="165"/>
      <c r="K20" s="165"/>
      <c r="L20" s="165"/>
      <c r="M20" s="69"/>
      <c r="N20" s="69"/>
      <c r="O20" s="69"/>
      <c r="P20" s="69"/>
      <c r="Q20" s="69"/>
      <c r="R20" s="69"/>
      <c r="S20" s="69"/>
      <c r="T20" s="6"/>
    </row>
    <row r="21" spans="1:20" ht="15" x14ac:dyDescent="0.25">
      <c r="A21" s="2"/>
      <c r="B21" s="5"/>
      <c r="C21" s="165"/>
      <c r="D21" s="165"/>
      <c r="E21" s="165"/>
      <c r="F21" s="165"/>
      <c r="G21" s="165"/>
      <c r="H21" s="165"/>
      <c r="I21" s="165"/>
      <c r="J21" s="165"/>
      <c r="K21" s="165"/>
      <c r="L21" s="165"/>
      <c r="M21" s="69"/>
      <c r="N21" s="69"/>
      <c r="O21" s="69"/>
      <c r="P21" s="69"/>
      <c r="Q21" s="69"/>
      <c r="R21" s="69"/>
      <c r="S21" s="69"/>
      <c r="T21" s="6"/>
    </row>
    <row r="22" spans="1:20" ht="15" x14ac:dyDescent="0.25">
      <c r="A22" s="2"/>
      <c r="B22" s="5"/>
      <c r="C22" s="165"/>
      <c r="D22" s="165"/>
      <c r="E22" s="165"/>
      <c r="F22" s="165"/>
      <c r="G22" s="165"/>
      <c r="H22" s="165"/>
      <c r="I22" s="165"/>
      <c r="J22" s="165"/>
      <c r="K22" s="165"/>
      <c r="L22" s="165"/>
      <c r="M22" s="69"/>
      <c r="N22" s="69"/>
      <c r="O22" s="69"/>
      <c r="P22" s="69"/>
      <c r="Q22" s="69"/>
      <c r="R22" s="69"/>
      <c r="S22" s="69"/>
      <c r="T22" s="6"/>
    </row>
    <row r="23" spans="1:20" ht="15" x14ac:dyDescent="0.25">
      <c r="A23" s="2"/>
      <c r="B23" s="5"/>
      <c r="C23" s="165"/>
      <c r="D23" s="165"/>
      <c r="E23" s="165"/>
      <c r="F23" s="165"/>
      <c r="G23" s="165"/>
      <c r="H23" s="165"/>
      <c r="I23" s="165"/>
      <c r="J23" s="165"/>
      <c r="K23" s="165"/>
      <c r="L23" s="165"/>
      <c r="M23" s="69"/>
      <c r="N23" s="69"/>
      <c r="O23" s="69"/>
      <c r="P23" s="69"/>
      <c r="Q23" s="69"/>
      <c r="R23" s="69"/>
      <c r="S23" s="69"/>
      <c r="T23" s="6"/>
    </row>
    <row r="24" spans="1:20" ht="15" x14ac:dyDescent="0.25">
      <c r="A24" s="2"/>
      <c r="B24" s="5"/>
      <c r="C24" s="165"/>
      <c r="D24" s="165"/>
      <c r="E24" s="165"/>
      <c r="F24" s="165"/>
      <c r="G24" s="165"/>
      <c r="H24" s="165"/>
      <c r="I24" s="165"/>
      <c r="J24" s="165"/>
      <c r="K24" s="165"/>
      <c r="L24" s="165"/>
      <c r="M24" s="69"/>
      <c r="N24" s="69"/>
      <c r="O24" s="69"/>
      <c r="P24" s="69"/>
      <c r="Q24" s="69"/>
      <c r="R24" s="69"/>
      <c r="S24" s="69"/>
      <c r="T24" s="6"/>
    </row>
    <row r="25" spans="1:20" ht="15" x14ac:dyDescent="0.25">
      <c r="A25" s="2"/>
      <c r="B25" s="5"/>
      <c r="C25" s="165"/>
      <c r="D25" s="165"/>
      <c r="E25" s="165"/>
      <c r="F25" s="165"/>
      <c r="G25" s="165"/>
      <c r="H25" s="165"/>
      <c r="I25" s="165"/>
      <c r="J25" s="165"/>
      <c r="K25" s="165"/>
      <c r="L25" s="165"/>
      <c r="M25" s="69"/>
      <c r="N25" s="69"/>
      <c r="O25" s="69"/>
      <c r="P25" s="69"/>
      <c r="Q25" s="69"/>
      <c r="R25" s="69"/>
      <c r="S25" s="69"/>
      <c r="T25" s="6"/>
    </row>
    <row r="26" spans="1:20" s="69" customFormat="1" ht="15" x14ac:dyDescent="0.25">
      <c r="A26" s="404"/>
      <c r="B26" s="5"/>
      <c r="C26" s="404"/>
      <c r="D26" s="404"/>
      <c r="E26" s="404"/>
      <c r="F26" s="404"/>
      <c r="G26" s="404"/>
      <c r="H26" s="404"/>
      <c r="I26" s="404"/>
      <c r="J26" s="404"/>
      <c r="K26" s="404"/>
      <c r="L26" s="404"/>
      <c r="T26" s="6"/>
    </row>
    <row r="27" spans="1:20" s="69" customFormat="1" ht="15" x14ac:dyDescent="0.25">
      <c r="A27" s="404"/>
      <c r="B27" s="5"/>
      <c r="C27" s="404"/>
      <c r="D27" s="404"/>
      <c r="E27" s="404"/>
      <c r="F27" s="404"/>
      <c r="G27" s="404"/>
      <c r="H27" s="404"/>
      <c r="I27" s="404"/>
      <c r="J27" s="404"/>
      <c r="K27" s="404"/>
      <c r="L27" s="404"/>
      <c r="T27" s="6"/>
    </row>
    <row r="28" spans="1:20" s="69" customFormat="1" ht="15" x14ac:dyDescent="0.25">
      <c r="A28" s="414"/>
      <c r="B28" s="5"/>
      <c r="C28" s="414"/>
      <c r="D28" s="414"/>
      <c r="E28" s="414"/>
      <c r="F28" s="414"/>
      <c r="G28" s="414"/>
      <c r="H28" s="414"/>
      <c r="I28" s="414"/>
      <c r="J28" s="414"/>
      <c r="K28" s="414"/>
      <c r="L28" s="414"/>
      <c r="T28" s="6"/>
    </row>
    <row r="29" spans="1:20" s="69" customFormat="1" ht="15" x14ac:dyDescent="0.25">
      <c r="A29" s="414"/>
      <c r="B29" s="5"/>
      <c r="C29" s="414"/>
      <c r="D29" s="414"/>
      <c r="E29" s="414"/>
      <c r="F29" s="414"/>
      <c r="G29" s="414"/>
      <c r="H29" s="414"/>
      <c r="I29" s="414"/>
      <c r="J29" s="414"/>
      <c r="K29" s="414"/>
      <c r="L29" s="414"/>
      <c r="T29" s="6"/>
    </row>
    <row r="30" spans="1:20" s="69" customFormat="1" ht="15" x14ac:dyDescent="0.25">
      <c r="A30" s="414"/>
      <c r="B30" s="5"/>
      <c r="C30" s="414"/>
      <c r="D30" s="414"/>
      <c r="E30" s="414"/>
      <c r="F30" s="414"/>
      <c r="G30" s="414"/>
      <c r="H30" s="414"/>
      <c r="I30" s="414"/>
      <c r="J30" s="414"/>
      <c r="K30" s="414"/>
      <c r="L30" s="414"/>
      <c r="T30" s="6"/>
    </row>
    <row r="31" spans="1:20" ht="15" x14ac:dyDescent="0.25">
      <c r="A31" s="2"/>
      <c r="B31" s="5"/>
      <c r="C31" s="165"/>
      <c r="D31" s="165"/>
      <c r="E31" s="165"/>
      <c r="F31" s="165"/>
      <c r="G31" s="165"/>
      <c r="H31" s="165"/>
      <c r="I31" s="165"/>
      <c r="J31" s="165"/>
      <c r="K31" s="165"/>
      <c r="L31" s="165"/>
      <c r="M31" s="69"/>
      <c r="N31" s="69"/>
      <c r="O31" s="69"/>
      <c r="P31" s="69"/>
      <c r="Q31" s="69"/>
      <c r="R31" s="69"/>
      <c r="S31" s="69"/>
      <c r="T31" s="6"/>
    </row>
    <row r="32" spans="1:20" ht="19.5" customHeight="1" x14ac:dyDescent="0.25">
      <c r="A32" s="2"/>
      <c r="B32" s="5"/>
      <c r="C32" s="165"/>
      <c r="D32" s="1143" t="s">
        <v>765</v>
      </c>
      <c r="E32" s="1143"/>
      <c r="F32" s="1143"/>
      <c r="G32" s="1143"/>
      <c r="H32" s="1143"/>
      <c r="I32" s="1134" t="str">
        <f>INDEX(Locations, selection)</f>
        <v>Kingston Buci</v>
      </c>
      <c r="J32" s="1135"/>
      <c r="K32" s="1130" t="str">
        <f>INDEX(Locations, selection2)</f>
        <v>Stepping Stones</v>
      </c>
      <c r="L32" s="1131"/>
      <c r="M32" s="1138" t="s">
        <v>292</v>
      </c>
      <c r="N32" s="1138"/>
      <c r="O32" s="1142" t="s">
        <v>294</v>
      </c>
      <c r="P32" s="1142"/>
      <c r="Q32" s="69"/>
      <c r="R32" s="69"/>
      <c r="S32" s="69"/>
      <c r="T32" s="6"/>
    </row>
    <row r="33" spans="1:20" ht="19.5" customHeight="1" x14ac:dyDescent="0.25">
      <c r="A33" s="2"/>
      <c r="B33" s="5"/>
      <c r="C33" s="165"/>
      <c r="D33" s="1143"/>
      <c r="E33" s="1143"/>
      <c r="F33" s="1143"/>
      <c r="G33" s="1143"/>
      <c r="H33" s="1143"/>
      <c r="I33" s="1136"/>
      <c r="J33" s="1137"/>
      <c r="K33" s="1132"/>
      <c r="L33" s="1133"/>
      <c r="M33" s="1138"/>
      <c r="N33" s="1138"/>
      <c r="O33" s="1142"/>
      <c r="P33" s="1142"/>
      <c r="Q33" s="69"/>
      <c r="R33" s="69"/>
      <c r="S33" s="69"/>
      <c r="T33" s="6"/>
    </row>
    <row r="34" spans="1:20" ht="15" customHeight="1" x14ac:dyDescent="0.25">
      <c r="A34" s="2"/>
      <c r="B34" s="5"/>
      <c r="C34" s="165"/>
      <c r="D34" s="1128" t="s">
        <v>766</v>
      </c>
      <c r="E34" s="1129"/>
      <c r="F34" s="1129"/>
      <c r="G34" s="1129"/>
      <c r="H34" s="1129"/>
      <c r="I34" s="1125"/>
      <c r="J34" s="1126"/>
      <c r="K34" s="310"/>
      <c r="L34" s="311"/>
      <c r="M34" s="312"/>
      <c r="N34" s="313"/>
      <c r="O34" s="312"/>
      <c r="P34" s="313"/>
      <c r="Q34" s="69"/>
      <c r="R34" s="69"/>
      <c r="S34" s="69"/>
      <c r="T34" s="6"/>
    </row>
    <row r="35" spans="1:20" s="305" customFormat="1" ht="28.5" customHeight="1" x14ac:dyDescent="0.25">
      <c r="A35" s="276"/>
      <c r="B35" s="304"/>
      <c r="C35" s="276"/>
      <c r="D35" s="1106" t="s">
        <v>769</v>
      </c>
      <c r="E35" s="1106"/>
      <c r="F35" s="1106"/>
      <c r="G35" s="1106"/>
      <c r="H35" s="1106"/>
      <c r="I35" s="1127">
        <f>HLOOKUP($D35,EYFS2013,selection+1, FALSE)</f>
        <v>179</v>
      </c>
      <c r="J35" s="1116"/>
      <c r="K35" s="1115">
        <f>HLOOKUP($D35,EYFS2013, selection2+1, FALSE)</f>
        <v>135</v>
      </c>
      <c r="L35" s="1116"/>
      <c r="M35" s="1121"/>
      <c r="N35" s="1122"/>
      <c r="O35" s="1121"/>
      <c r="P35" s="1122"/>
      <c r="T35" s="306"/>
    </row>
    <row r="36" spans="1:20" s="305" customFormat="1" ht="28.5" customHeight="1" x14ac:dyDescent="0.25">
      <c r="A36" s="276"/>
      <c r="B36" s="304"/>
      <c r="C36" s="276"/>
      <c r="D36" s="1106" t="s">
        <v>770</v>
      </c>
      <c r="E36" s="1106"/>
      <c r="F36" s="1106"/>
      <c r="G36" s="1106"/>
      <c r="H36" s="1106"/>
      <c r="I36" s="1127">
        <f>HLOOKUP($D36,EYFS2013,selection+1, FALSE)</f>
        <v>88</v>
      </c>
      <c r="J36" s="1116"/>
      <c r="K36" s="1115">
        <f>HLOOKUP($D36,EYFS2013, selection2+1, FALSE)</f>
        <v>68</v>
      </c>
      <c r="L36" s="1116"/>
      <c r="M36" s="1117"/>
      <c r="N36" s="1118"/>
      <c r="O36" s="1117"/>
      <c r="P36" s="1118"/>
      <c r="T36" s="306"/>
    </row>
    <row r="37" spans="1:20" s="305" customFormat="1" ht="28.5" customHeight="1" x14ac:dyDescent="0.25">
      <c r="A37" s="276"/>
      <c r="B37" s="304"/>
      <c r="C37" s="276"/>
      <c r="D37" s="1106" t="s">
        <v>768</v>
      </c>
      <c r="E37" s="1106"/>
      <c r="F37" s="1106"/>
      <c r="G37" s="1106"/>
      <c r="H37" s="1106"/>
      <c r="I37" s="1146">
        <f>HLOOKUP($D37,EYFS2013,selection+1, FALSE)</f>
        <v>0.49162011173184356</v>
      </c>
      <c r="J37" s="1112"/>
      <c r="K37" s="1111">
        <f>HLOOKUP($D37,EYFS2013, selection2+1, FALSE)</f>
        <v>0.50370370370370365</v>
      </c>
      <c r="L37" s="1112"/>
      <c r="M37" s="1111">
        <f>Data!JG76</f>
        <v>0.52</v>
      </c>
      <c r="N37" s="1112"/>
      <c r="O37" s="1111">
        <f>Data!JG78</f>
        <v>0.52</v>
      </c>
      <c r="P37" s="1112"/>
      <c r="T37" s="306"/>
    </row>
    <row r="38" spans="1:20" s="69" customFormat="1" ht="15" customHeight="1" x14ac:dyDescent="0.25">
      <c r="A38" s="277"/>
      <c r="B38" s="5"/>
      <c r="C38" s="277"/>
      <c r="D38" s="1114" t="s">
        <v>767</v>
      </c>
      <c r="E38" s="1114"/>
      <c r="F38" s="1114"/>
      <c r="G38" s="1114"/>
      <c r="H38" s="1114"/>
      <c r="I38" s="1147"/>
      <c r="J38" s="1148"/>
      <c r="K38" s="314"/>
      <c r="L38" s="315"/>
      <c r="M38" s="314"/>
      <c r="N38" s="315"/>
      <c r="O38" s="314"/>
      <c r="P38" s="315"/>
      <c r="T38" s="6"/>
    </row>
    <row r="39" spans="1:20" s="308" customFormat="1" ht="30" customHeight="1" x14ac:dyDescent="0.2">
      <c r="A39" s="275"/>
      <c r="B39" s="307"/>
      <c r="C39" s="275"/>
      <c r="D39" s="1106" t="s">
        <v>769</v>
      </c>
      <c r="E39" s="1106"/>
      <c r="F39" s="1106"/>
      <c r="G39" s="1106"/>
      <c r="H39" s="1106"/>
      <c r="I39" s="1127">
        <f>HLOOKUP($D39, EYFS2014, selection+1, FALSE)</f>
        <v>172</v>
      </c>
      <c r="J39" s="1116"/>
      <c r="K39" s="1115">
        <f>HLOOKUP($D39, EYFS2014, selection2+1, FALSE)</f>
        <v>122</v>
      </c>
      <c r="L39" s="1116"/>
      <c r="M39" s="1121"/>
      <c r="N39" s="1122"/>
      <c r="O39" s="1121"/>
      <c r="P39" s="1122"/>
      <c r="T39" s="309"/>
    </row>
    <row r="40" spans="1:20" s="308" customFormat="1" ht="30" customHeight="1" x14ac:dyDescent="0.2">
      <c r="A40" s="275"/>
      <c r="B40" s="307"/>
      <c r="C40" s="275"/>
      <c r="D40" s="1106" t="s">
        <v>770</v>
      </c>
      <c r="E40" s="1106"/>
      <c r="F40" s="1106"/>
      <c r="G40" s="1106"/>
      <c r="H40" s="1106"/>
      <c r="I40" s="1127">
        <f>HLOOKUP($D40, EYFS2014, selection+1, FALSE)</f>
        <v>106</v>
      </c>
      <c r="J40" s="1116"/>
      <c r="K40" s="1115">
        <f>HLOOKUP($D40, EYFS2014, selection2+1, FALSE)</f>
        <v>68</v>
      </c>
      <c r="L40" s="1116"/>
      <c r="M40" s="1123"/>
      <c r="N40" s="1124"/>
      <c r="O40" s="1123"/>
      <c r="P40" s="1124"/>
      <c r="T40" s="309"/>
    </row>
    <row r="41" spans="1:20" s="308" customFormat="1" ht="30" customHeight="1" x14ac:dyDescent="0.2">
      <c r="A41" s="275"/>
      <c r="B41" s="307"/>
      <c r="C41" s="275"/>
      <c r="D41" s="1144" t="s">
        <v>768</v>
      </c>
      <c r="E41" s="1144"/>
      <c r="F41" s="1144"/>
      <c r="G41" s="1144"/>
      <c r="H41" s="1144"/>
      <c r="I41" s="1145">
        <f>HLOOKUP($D41, EYFS2014, selection+1, FALSE)</f>
        <v>0.61627906976744184</v>
      </c>
      <c r="J41" s="1120"/>
      <c r="K41" s="1119">
        <f>HLOOKUP($D41, EYFS2014, selection2+1, FALSE)</f>
        <v>0.55737704918032782</v>
      </c>
      <c r="L41" s="1120"/>
      <c r="M41" s="1119">
        <f>Data!JQ76</f>
        <v>0.59</v>
      </c>
      <c r="N41" s="1120"/>
      <c r="O41" s="1119">
        <f>Data!JQ78</f>
        <v>0.6</v>
      </c>
      <c r="P41" s="1120"/>
      <c r="T41" s="309"/>
    </row>
    <row r="42" spans="1:20" s="308" customFormat="1" ht="15.75" customHeight="1" x14ac:dyDescent="0.2">
      <c r="A42" s="413"/>
      <c r="B42" s="307"/>
      <c r="C42" s="413"/>
      <c r="D42" s="1114" t="s">
        <v>870</v>
      </c>
      <c r="E42" s="1114"/>
      <c r="F42" s="1114"/>
      <c r="G42" s="1114"/>
      <c r="H42" s="1114"/>
      <c r="I42" s="1117"/>
      <c r="J42" s="1118"/>
      <c r="K42" s="1117"/>
      <c r="L42" s="1118"/>
      <c r="M42" s="1117"/>
      <c r="N42" s="1118"/>
      <c r="O42" s="1117"/>
      <c r="P42" s="1118"/>
      <c r="T42" s="309"/>
    </row>
    <row r="43" spans="1:20" s="308" customFormat="1" ht="30" customHeight="1" x14ac:dyDescent="0.2">
      <c r="A43" s="413"/>
      <c r="B43" s="307"/>
      <c r="C43" s="491" t="s">
        <v>916</v>
      </c>
      <c r="D43" s="1106" t="s">
        <v>769</v>
      </c>
      <c r="E43" s="1106"/>
      <c r="F43" s="1106"/>
      <c r="G43" s="1106"/>
      <c r="H43" s="1106"/>
      <c r="I43" s="1115">
        <f>IF(HLOOKUP($C43,EYFS2015,selection+1,FALSE)="","n/a",(HLOOKUP($C43,EYFS2015,selection+1,FALSE)))</f>
        <v>190</v>
      </c>
      <c r="J43" s="1116"/>
      <c r="K43" s="1115">
        <f>IF(HLOOKUP($C43,EYFS2015,selection2+1,FALSE)="","n/a",(HLOOKUP($C43,EYFS2015,selection2+1,FALSE)))</f>
        <v>143</v>
      </c>
      <c r="L43" s="1116"/>
      <c r="M43" s="1121"/>
      <c r="N43" s="1122"/>
      <c r="O43" s="1121"/>
      <c r="P43" s="1122"/>
      <c r="T43" s="309"/>
    </row>
    <row r="44" spans="1:20" s="308" customFormat="1" ht="30" customHeight="1" x14ac:dyDescent="0.2">
      <c r="A44" s="413"/>
      <c r="B44" s="307"/>
      <c r="C44" s="413"/>
      <c r="D44" s="1106" t="s">
        <v>770</v>
      </c>
      <c r="E44" s="1106"/>
      <c r="F44" s="1106"/>
      <c r="G44" s="1106"/>
      <c r="H44" s="1106"/>
      <c r="I44" s="1115">
        <f>IF(HLOOKUP($D44,EYFS2015,selection+1,FALSE)="","n/a",(HLOOKUP($D44,EYFS2015,selection+1,FALSE)))</f>
        <v>137</v>
      </c>
      <c r="J44" s="1116"/>
      <c r="K44" s="1115">
        <f>IF(HLOOKUP($D44,EYFS2015,selection2+1,FALSE)="","n/a",(HLOOKUP($D44,EYFS2015,selection2+1,FALSE)))</f>
        <v>91</v>
      </c>
      <c r="L44" s="1116"/>
      <c r="M44" s="1121"/>
      <c r="N44" s="1122"/>
      <c r="O44" s="1121"/>
      <c r="P44" s="1122"/>
      <c r="T44" s="309"/>
    </row>
    <row r="45" spans="1:20" s="308" customFormat="1" ht="30" customHeight="1" x14ac:dyDescent="0.2">
      <c r="A45" s="413"/>
      <c r="B45" s="307"/>
      <c r="C45" s="413"/>
      <c r="D45" s="1106" t="s">
        <v>768</v>
      </c>
      <c r="E45" s="1106"/>
      <c r="F45" s="1106"/>
      <c r="G45" s="1106"/>
      <c r="H45" s="1106"/>
      <c r="I45" s="1111">
        <f>IF(HLOOKUP($D45,EYFS2015,selection+1,FALSE)="","n/a",(HLOOKUP($D45,EYFS2015,selection+1,FALSE)))</f>
        <v>0.72105263157894739</v>
      </c>
      <c r="J45" s="1112"/>
      <c r="K45" s="1111">
        <f>IF(HLOOKUP($D45,EYFS2015,selection2+1,FALSE)="","n/a",(HLOOKUP($D45,EYFS2015,selection2+1,FALSE)))</f>
        <v>0.63636363636363635</v>
      </c>
      <c r="L45" s="1112"/>
      <c r="M45" s="1111">
        <f>Data!KA76</f>
        <v>0.63500000000000001</v>
      </c>
      <c r="N45" s="1112"/>
      <c r="O45" s="1113">
        <f>Data!KA78</f>
        <v>0.66300000000000003</v>
      </c>
      <c r="P45" s="1113"/>
      <c r="T45" s="309"/>
    </row>
    <row r="46" spans="1:20" ht="15" x14ac:dyDescent="0.25">
      <c r="A46" s="2"/>
      <c r="B46" s="5"/>
      <c r="C46" s="165"/>
      <c r="D46" s="165"/>
      <c r="E46" s="165"/>
      <c r="F46" s="165"/>
      <c r="G46" s="165"/>
      <c r="H46" s="165"/>
      <c r="I46" s="165"/>
      <c r="J46" s="165"/>
      <c r="K46" s="165"/>
      <c r="L46" s="165"/>
      <c r="M46" s="69"/>
      <c r="N46" s="69"/>
      <c r="O46" s="69"/>
      <c r="P46" s="69"/>
      <c r="Q46" s="69"/>
      <c r="R46" s="69"/>
      <c r="S46" s="69"/>
      <c r="T46" s="6"/>
    </row>
    <row r="47" spans="1:20" ht="15" x14ac:dyDescent="0.25">
      <c r="A47" s="2"/>
      <c r="B47" s="5"/>
      <c r="C47" s="165"/>
      <c r="D47" s="76"/>
      <c r="E47" s="76"/>
      <c r="F47" s="76"/>
      <c r="G47" s="76"/>
      <c r="H47" s="76"/>
      <c r="I47" s="76"/>
      <c r="J47" s="76"/>
      <c r="K47" s="73"/>
      <c r="L47" s="73"/>
      <c r="M47" s="76"/>
      <c r="N47" s="76"/>
      <c r="O47" s="196"/>
      <c r="P47" s="196"/>
      <c r="Q47" s="196"/>
      <c r="R47" s="196"/>
      <c r="S47" s="69"/>
      <c r="T47" s="6"/>
    </row>
    <row r="48" spans="1:20" ht="25.5" x14ac:dyDescent="0.25">
      <c r="A48" s="2"/>
      <c r="B48" s="5"/>
      <c r="C48" s="165"/>
      <c r="D48" s="316"/>
      <c r="E48" s="317">
        <v>2013</v>
      </c>
      <c r="F48" s="317" t="s">
        <v>683</v>
      </c>
      <c r="G48" s="317" t="s">
        <v>684</v>
      </c>
      <c r="H48" s="317">
        <v>2014</v>
      </c>
      <c r="I48" s="317" t="s">
        <v>686</v>
      </c>
      <c r="J48" s="317" t="s">
        <v>687</v>
      </c>
      <c r="K48" s="73">
        <v>2015</v>
      </c>
      <c r="L48" s="76" t="s">
        <v>869</v>
      </c>
      <c r="M48" s="76" t="s">
        <v>868</v>
      </c>
      <c r="N48" s="76"/>
      <c r="Q48" s="196"/>
      <c r="R48" s="196"/>
      <c r="S48" s="69"/>
      <c r="T48" s="6"/>
    </row>
    <row r="49" spans="1:20" ht="25.5" x14ac:dyDescent="0.25">
      <c r="A49" s="2"/>
      <c r="B49" s="5"/>
      <c r="C49" s="165"/>
      <c r="D49" s="318" t="str">
        <f>I32</f>
        <v>Kingston Buci</v>
      </c>
      <c r="E49" s="319">
        <f>I37</f>
        <v>0.49162011173184356</v>
      </c>
      <c r="F49" s="319">
        <f>HLOOKUP(F48,EYFS2013, selection+1, FALSE)</f>
        <v>0.41933238292420277</v>
      </c>
      <c r="G49" s="319">
        <f>HLOOKUP(G48,EYFS2013, selection+1, FALSE)</f>
        <v>0.56425995975699406</v>
      </c>
      <c r="H49" s="319">
        <f>I41</f>
        <v>0.61627906976744184</v>
      </c>
      <c r="I49" s="319">
        <f>HLOOKUP(I48,EYFS2014, selection+1, FALSE)</f>
        <v>0.5418179440123243</v>
      </c>
      <c r="J49" s="319">
        <f>HLOOKUP(J48,EYFS2014, selection+1, FALSE)</f>
        <v>0.6856596956084211</v>
      </c>
      <c r="K49" s="291">
        <f>I45</f>
        <v>0.72105263157894739</v>
      </c>
      <c r="L49" s="328">
        <f>HLOOKUP(L48,EYFS2015, selection+1, FALSE)</f>
        <v>0.65338523334178444</v>
      </c>
      <c r="M49" s="328">
        <f>HLOOKUP(M48,EYFS2015, selection+1, FALSE)</f>
        <v>0.77995859573918158</v>
      </c>
      <c r="N49" s="76"/>
      <c r="Q49" s="196"/>
      <c r="R49" s="196"/>
      <c r="S49" s="69"/>
      <c r="T49" s="6"/>
    </row>
    <row r="50" spans="1:20" ht="25.5" x14ac:dyDescent="0.25">
      <c r="A50" s="2"/>
      <c r="B50" s="5"/>
      <c r="C50" s="277"/>
      <c r="D50" s="320" t="str">
        <f>K32</f>
        <v>Stepping Stones</v>
      </c>
      <c r="E50" s="321">
        <f>K37</f>
        <v>0.50370370370370365</v>
      </c>
      <c r="F50" s="321">
        <f>HLOOKUP(F48,EYFS2013, selection2+1, FALSE)</f>
        <v>0.42043501688207358</v>
      </c>
      <c r="G50" s="321">
        <f>HLOOKUP(G48,EYFS2013, selection2+1, FALSE)</f>
        <v>0.5867674427326115</v>
      </c>
      <c r="H50" s="321">
        <f>K41</f>
        <v>0.55737704918032782</v>
      </c>
      <c r="I50" s="321">
        <f>HLOOKUP(I48,EYFS2014, selection2+1, FALSE)</f>
        <v>0.46882625948307327</v>
      </c>
      <c r="J50" s="321">
        <f>HLOOKUP(J48,EYFS2014, selection2+1, FALSE)</f>
        <v>0.64242483480015478</v>
      </c>
      <c r="K50" s="291">
        <f>K45</f>
        <v>0.63636363636363635</v>
      </c>
      <c r="L50" s="328">
        <f>HLOOKUP(L48,EYFS2015, selection2+1, FALSE)</f>
        <v>0.55490908524212357</v>
      </c>
      <c r="M50" s="328">
        <f>HLOOKUP(M48,EYFS2015, selection2+1, FALSE)</f>
        <v>0.71068348182452701</v>
      </c>
      <c r="N50" s="76"/>
      <c r="Q50" s="196"/>
      <c r="R50" s="196"/>
      <c r="S50" s="69"/>
      <c r="T50" s="6"/>
    </row>
    <row r="51" spans="1:20" ht="25.5" x14ac:dyDescent="0.25">
      <c r="A51" s="2"/>
      <c r="B51" s="5"/>
      <c r="C51" s="277"/>
      <c r="D51" s="320" t="s">
        <v>292</v>
      </c>
      <c r="E51" s="321">
        <f>M37</f>
        <v>0.52</v>
      </c>
      <c r="F51" s="321"/>
      <c r="G51" s="321"/>
      <c r="H51" s="321">
        <f>M41</f>
        <v>0.59</v>
      </c>
      <c r="I51" s="321"/>
      <c r="J51" s="321"/>
      <c r="K51" s="292">
        <f>M45</f>
        <v>0.63500000000000001</v>
      </c>
      <c r="L51" s="73"/>
      <c r="M51" s="76"/>
      <c r="N51" s="76"/>
      <c r="O51" s="196"/>
      <c r="P51" s="196"/>
      <c r="Q51" s="196"/>
      <c r="R51" s="196"/>
      <c r="S51" s="69"/>
      <c r="T51" s="6"/>
    </row>
    <row r="52" spans="1:20" ht="15" x14ac:dyDescent="0.25">
      <c r="A52" s="2"/>
      <c r="B52" s="5"/>
      <c r="C52" s="277"/>
      <c r="D52" s="73" t="str">
        <f>O32</f>
        <v>England</v>
      </c>
      <c r="E52" s="291">
        <f>O37</f>
        <v>0.52</v>
      </c>
      <c r="F52" s="73"/>
      <c r="G52" s="73"/>
      <c r="H52" s="291">
        <f>O41</f>
        <v>0.6</v>
      </c>
      <c r="I52" s="73"/>
      <c r="J52" s="73"/>
      <c r="K52" s="291">
        <f>O45</f>
        <v>0.66300000000000003</v>
      </c>
      <c r="L52" s="73"/>
      <c r="M52" s="76"/>
      <c r="N52" s="76"/>
      <c r="O52" s="196"/>
      <c r="P52" s="196"/>
      <c r="Q52" s="196"/>
      <c r="R52" s="196"/>
      <c r="S52" s="69"/>
      <c r="T52" s="6"/>
    </row>
    <row r="53" spans="1:20" x14ac:dyDescent="0.2">
      <c r="B53" s="6"/>
      <c r="C53" s="69"/>
      <c r="D53" s="76"/>
      <c r="E53" s="76"/>
      <c r="F53" s="76"/>
      <c r="G53" s="76"/>
      <c r="H53" s="76"/>
      <c r="I53" s="76"/>
      <c r="J53" s="76"/>
      <c r="K53" s="76"/>
      <c r="L53" s="76"/>
      <c r="M53" s="76"/>
      <c r="N53" s="76"/>
      <c r="O53" s="196"/>
      <c r="P53" s="196"/>
      <c r="Q53" s="196"/>
      <c r="R53" s="196"/>
      <c r="S53" s="69"/>
      <c r="T53" s="6"/>
    </row>
    <row r="54" spans="1:20" x14ac:dyDescent="0.2">
      <c r="B54" s="6"/>
      <c r="C54" s="69"/>
      <c r="D54" s="76"/>
      <c r="E54" s="76"/>
      <c r="F54" s="76"/>
      <c r="G54" s="76"/>
      <c r="H54" s="76"/>
      <c r="I54" s="76"/>
      <c r="J54" s="76"/>
      <c r="K54" s="76"/>
      <c r="L54" s="76"/>
      <c r="M54" s="76"/>
      <c r="N54" s="76"/>
      <c r="O54" s="196"/>
      <c r="P54" s="196"/>
      <c r="Q54" s="196"/>
      <c r="R54" s="196"/>
      <c r="S54" s="69"/>
      <c r="T54" s="6"/>
    </row>
    <row r="55" spans="1:20" ht="15" x14ac:dyDescent="0.25">
      <c r="B55" s="6"/>
      <c r="C55" s="69"/>
      <c r="D55" s="76"/>
      <c r="E55" s="73" t="s">
        <v>772</v>
      </c>
      <c r="F55" s="76" t="s">
        <v>771</v>
      </c>
      <c r="G55" s="76"/>
      <c r="H55" s="76" t="s">
        <v>772</v>
      </c>
      <c r="I55" s="76" t="s">
        <v>771</v>
      </c>
      <c r="J55" s="76"/>
      <c r="K55" s="76" t="s">
        <v>772</v>
      </c>
      <c r="L55" s="76" t="s">
        <v>771</v>
      </c>
      <c r="M55" s="76"/>
      <c r="N55" s="76"/>
      <c r="O55" s="196"/>
      <c r="P55" s="196"/>
      <c r="Q55" s="196"/>
      <c r="R55" s="196"/>
      <c r="S55" s="69"/>
      <c r="T55" s="6"/>
    </row>
    <row r="56" spans="1:20" ht="15" x14ac:dyDescent="0.25">
      <c r="B56" s="6"/>
      <c r="C56" s="69"/>
      <c r="D56" s="76"/>
      <c r="E56" s="291">
        <f>E49-F49</f>
        <v>7.2287728807640783E-2</v>
      </c>
      <c r="F56" s="292">
        <f>G49-E49</f>
        <v>7.26398480251505E-2</v>
      </c>
      <c r="G56" s="76"/>
      <c r="H56" s="292">
        <f>H49-I49</f>
        <v>7.4461125755117541E-2</v>
      </c>
      <c r="I56" s="292">
        <f>J49-H49</f>
        <v>6.938062584097926E-2</v>
      </c>
      <c r="J56" s="76"/>
      <c r="K56" s="292">
        <f>K49-L49</f>
        <v>6.7667398237162946E-2</v>
      </c>
      <c r="L56" s="292">
        <f>M49-K49</f>
        <v>5.8905964160234192E-2</v>
      </c>
      <c r="M56" s="76"/>
      <c r="N56" s="76"/>
      <c r="O56" s="196"/>
      <c r="P56" s="196"/>
      <c r="Q56" s="196"/>
      <c r="R56" s="196"/>
      <c r="S56" s="69"/>
      <c r="T56" s="6"/>
    </row>
    <row r="57" spans="1:20" ht="15" x14ac:dyDescent="0.25">
      <c r="B57" s="6"/>
      <c r="C57" s="69"/>
      <c r="D57" s="76"/>
      <c r="E57" s="291">
        <f>E50-F50</f>
        <v>8.3268686821630078E-2</v>
      </c>
      <c r="F57" s="292">
        <f>G50-E50</f>
        <v>8.3063739028907846E-2</v>
      </c>
      <c r="G57" s="76"/>
      <c r="H57" s="292">
        <f>H50-I50</f>
        <v>8.8550789697254551E-2</v>
      </c>
      <c r="I57" s="292">
        <f>J50-H50</f>
        <v>8.5047785619826954E-2</v>
      </c>
      <c r="J57" s="76"/>
      <c r="K57" s="292">
        <f>K50-L50</f>
        <v>8.1454551121512786E-2</v>
      </c>
      <c r="L57" s="292">
        <f>M50-K50</f>
        <v>7.4319845460890654E-2</v>
      </c>
      <c r="M57" s="76"/>
      <c r="N57" s="76"/>
      <c r="O57" s="196"/>
      <c r="P57" s="196"/>
      <c r="Q57" s="196"/>
      <c r="R57" s="196"/>
      <c r="S57" s="69"/>
      <c r="T57" s="6"/>
    </row>
    <row r="58" spans="1:20" x14ac:dyDescent="0.2">
      <c r="B58" s="6"/>
      <c r="C58" s="69"/>
      <c r="D58" s="69"/>
      <c r="E58" s="69"/>
      <c r="F58" s="69"/>
      <c r="G58" s="69"/>
      <c r="H58" s="69"/>
      <c r="I58" s="69"/>
      <c r="J58" s="69"/>
      <c r="K58" s="69"/>
      <c r="L58" s="69"/>
      <c r="M58" s="69"/>
      <c r="N58" s="69"/>
      <c r="O58" s="69"/>
      <c r="P58" s="69"/>
      <c r="Q58" s="69"/>
      <c r="R58" s="69"/>
      <c r="S58" s="69"/>
      <c r="T58" s="6"/>
    </row>
    <row r="59" spans="1:20" x14ac:dyDescent="0.2">
      <c r="B59" s="6"/>
      <c r="C59" s="69"/>
      <c r="D59" s="69"/>
      <c r="E59" s="69"/>
      <c r="F59" s="69"/>
      <c r="G59" s="69"/>
      <c r="H59" s="69"/>
      <c r="I59" s="69"/>
      <c r="J59" s="69"/>
      <c r="K59" s="69"/>
      <c r="L59" s="69"/>
      <c r="M59" s="69"/>
      <c r="N59" s="69"/>
      <c r="O59" s="69"/>
      <c r="P59" s="69"/>
      <c r="Q59" s="69"/>
      <c r="R59" s="69"/>
      <c r="S59" s="69"/>
      <c r="T59" s="6"/>
    </row>
    <row r="60" spans="1:20" x14ac:dyDescent="0.2">
      <c r="B60" s="6"/>
      <c r="C60" s="6"/>
      <c r="D60" s="6"/>
      <c r="E60" s="6"/>
      <c r="F60" s="6"/>
      <c r="G60" s="6"/>
      <c r="H60" s="6"/>
      <c r="I60" s="6"/>
      <c r="J60" s="6"/>
      <c r="K60" s="6"/>
      <c r="L60" s="6"/>
      <c r="M60" s="6"/>
      <c r="N60" s="6"/>
      <c r="O60" s="6"/>
      <c r="P60" s="6"/>
      <c r="Q60" s="6"/>
      <c r="R60" s="6"/>
      <c r="S60" s="6"/>
      <c r="T60" s="6"/>
    </row>
    <row r="61" spans="1:20" ht="15.75" customHeight="1" x14ac:dyDescent="0.2">
      <c r="B61" s="6"/>
      <c r="C61" s="6"/>
      <c r="D61" s="6"/>
      <c r="E61" s="6"/>
      <c r="F61" s="6"/>
      <c r="G61" s="6"/>
      <c r="H61" s="6"/>
      <c r="I61" s="6"/>
      <c r="J61" s="6"/>
      <c r="K61" s="6"/>
      <c r="L61" s="6"/>
      <c r="M61" s="6"/>
      <c r="N61" s="6"/>
      <c r="O61" s="6"/>
      <c r="P61" s="6"/>
      <c r="Q61" s="6"/>
      <c r="R61" s="6"/>
      <c r="S61" s="6"/>
      <c r="T61" s="6"/>
    </row>
    <row r="62" spans="1:20" s="69" customFormat="1" ht="15.75" customHeight="1" x14ac:dyDescent="0.2">
      <c r="B62" s="6"/>
      <c r="T62" s="6"/>
    </row>
    <row r="63" spans="1:20" s="69" customFormat="1" ht="15.75" customHeight="1" x14ac:dyDescent="0.2">
      <c r="B63" s="6"/>
      <c r="T63" s="6"/>
    </row>
    <row r="64" spans="1:20" s="69" customFormat="1" ht="15.75" customHeight="1" x14ac:dyDescent="0.2">
      <c r="B64" s="6"/>
      <c r="T64" s="6"/>
    </row>
    <row r="65" spans="2:30" s="69" customFormat="1" ht="15.75" customHeight="1" x14ac:dyDescent="0.2">
      <c r="B65" s="6"/>
      <c r="T65" s="6"/>
    </row>
    <row r="66" spans="2:30" s="69" customFormat="1" ht="15.75" customHeight="1" x14ac:dyDescent="0.2">
      <c r="B66" s="6"/>
      <c r="D66" s="1143" t="s">
        <v>765</v>
      </c>
      <c r="E66" s="1143"/>
      <c r="F66" s="1143"/>
      <c r="G66" s="1143"/>
      <c r="H66" s="1143"/>
      <c r="I66" s="1134" t="str">
        <f>INDEX(Locations, selection)</f>
        <v>Kingston Buci</v>
      </c>
      <c r="J66" s="1135"/>
      <c r="K66" s="1149" t="str">
        <f>INDEX(Locations, selection2)</f>
        <v>Stepping Stones</v>
      </c>
      <c r="L66" s="1149"/>
      <c r="M66" s="1138" t="s">
        <v>292</v>
      </c>
      <c r="N66" s="1138"/>
      <c r="O66" s="1142" t="s">
        <v>294</v>
      </c>
      <c r="P66" s="1142"/>
      <c r="T66" s="6"/>
      <c r="W66" s="37"/>
      <c r="X66" s="37"/>
      <c r="Y66" s="37"/>
      <c r="Z66" s="37"/>
      <c r="AA66" s="37"/>
      <c r="AB66" s="37"/>
      <c r="AC66" s="37"/>
      <c r="AD66" s="37"/>
    </row>
    <row r="67" spans="2:30" ht="14.25" customHeight="1" x14ac:dyDescent="0.2">
      <c r="B67" s="6"/>
      <c r="C67" s="69"/>
      <c r="D67" s="1143"/>
      <c r="E67" s="1143"/>
      <c r="F67" s="1143"/>
      <c r="G67" s="1143"/>
      <c r="H67" s="1143"/>
      <c r="I67" s="1136"/>
      <c r="J67" s="1137"/>
      <c r="K67" s="1149"/>
      <c r="L67" s="1149"/>
      <c r="M67" s="1138"/>
      <c r="N67" s="1138"/>
      <c r="O67" s="1142"/>
      <c r="P67" s="1142"/>
      <c r="Q67" s="69"/>
      <c r="R67" s="69"/>
      <c r="S67" s="69"/>
      <c r="T67" s="6"/>
      <c r="W67" s="1154"/>
      <c r="X67" s="1154"/>
      <c r="Y67" s="1154"/>
      <c r="Z67" s="1154"/>
      <c r="AA67" s="1155"/>
      <c r="AB67" s="1155"/>
      <c r="AC67" s="1155"/>
      <c r="AD67" s="37"/>
    </row>
    <row r="68" spans="2:30" ht="14.25" customHeight="1" x14ac:dyDescent="0.2">
      <c r="B68" s="6"/>
      <c r="C68" s="69"/>
      <c r="D68" s="1096" t="s">
        <v>766</v>
      </c>
      <c r="E68" s="1097"/>
      <c r="F68" s="1097"/>
      <c r="G68" s="1097"/>
      <c r="H68" s="1097"/>
      <c r="I68" s="1097"/>
      <c r="J68" s="1097"/>
      <c r="K68" s="1097"/>
      <c r="L68" s="1097"/>
      <c r="M68" s="1097"/>
      <c r="N68" s="1097"/>
      <c r="O68" s="1097"/>
      <c r="P68" s="1098"/>
      <c r="Q68" s="69"/>
      <c r="R68" s="69"/>
      <c r="S68" s="69"/>
      <c r="T68" s="6"/>
      <c r="W68" s="1154"/>
      <c r="X68" s="1154"/>
      <c r="Y68" s="1154"/>
      <c r="Z68" s="1154"/>
      <c r="AA68" s="1155"/>
      <c r="AB68" s="1155"/>
      <c r="AC68" s="1155"/>
      <c r="AD68" s="37"/>
    </row>
    <row r="69" spans="2:30" ht="15" customHeight="1" x14ac:dyDescent="0.2">
      <c r="B69" s="6"/>
      <c r="C69" s="69"/>
      <c r="D69" s="1106" t="s">
        <v>682</v>
      </c>
      <c r="E69" s="1106"/>
      <c r="F69" s="1106"/>
      <c r="G69" s="1106"/>
      <c r="H69" s="1106"/>
      <c r="I69" s="1127">
        <f>HLOOKUP($D69,EYFS2013,selection+1, FALSE)</f>
        <v>179</v>
      </c>
      <c r="J69" s="1116"/>
      <c r="K69" s="1115">
        <f>HLOOKUP(D69, EYFS2013, selection2+1,FALSE)</f>
        <v>135</v>
      </c>
      <c r="L69" s="1116"/>
      <c r="M69" s="1121"/>
      <c r="N69" s="1122"/>
      <c r="O69" s="1121"/>
      <c r="P69" s="1122"/>
      <c r="Q69" s="69"/>
      <c r="R69" s="69"/>
      <c r="S69" s="69"/>
      <c r="T69" s="6"/>
      <c r="W69" s="1154"/>
      <c r="X69" s="1154"/>
      <c r="Y69" s="1154"/>
      <c r="Z69" s="1154"/>
      <c r="AA69" s="1155"/>
      <c r="AB69" s="1155"/>
      <c r="AC69" s="1155"/>
      <c r="AD69" s="37"/>
    </row>
    <row r="70" spans="2:30" ht="15" customHeight="1" x14ac:dyDescent="0.2">
      <c r="B70" s="6"/>
      <c r="C70" s="69"/>
      <c r="D70" s="1106" t="s">
        <v>773</v>
      </c>
      <c r="E70" s="1106"/>
      <c r="F70" s="1106"/>
      <c r="G70" s="1106"/>
      <c r="H70" s="1106"/>
      <c r="I70" s="1139">
        <f>HLOOKUP($D70,EYFS2013,selection+1, FALSE)</f>
        <v>34</v>
      </c>
      <c r="J70" s="1140"/>
      <c r="K70" s="1141">
        <f>HLOOKUP(D70, EYFS2013, selection2+1,FALSE)</f>
        <v>34</v>
      </c>
      <c r="L70" s="1140"/>
      <c r="M70" s="1141">
        <f>Data!JK76</f>
        <v>34</v>
      </c>
      <c r="N70" s="1140"/>
      <c r="O70" s="1141">
        <f>Data!JK78</f>
        <v>34</v>
      </c>
      <c r="P70" s="1140"/>
      <c r="Q70" s="69"/>
      <c r="R70" s="69"/>
      <c r="S70" s="69"/>
      <c r="T70" s="6"/>
      <c r="W70" s="1154"/>
      <c r="X70" s="1154"/>
      <c r="Y70" s="1154"/>
      <c r="Z70" s="1154"/>
      <c r="AA70" s="1155"/>
      <c r="AB70" s="1155"/>
      <c r="AC70" s="1155"/>
      <c r="AD70" s="37"/>
    </row>
    <row r="71" spans="2:30" s="69" customFormat="1" ht="15" customHeight="1" x14ac:dyDescent="0.2">
      <c r="B71" s="6"/>
      <c r="D71" s="1107" t="s">
        <v>776</v>
      </c>
      <c r="E71" s="1108"/>
      <c r="F71" s="1108"/>
      <c r="G71" s="1108"/>
      <c r="H71" s="1152"/>
      <c r="I71" s="1139">
        <f>HLOOKUP($D71,EYFS2013,selection+1, FALSE)</f>
        <v>23.971428571428568</v>
      </c>
      <c r="J71" s="1140"/>
      <c r="K71" s="1141">
        <f>HLOOKUP(D71, EYFS2013, selection2+1,FALSE)</f>
        <v>21.518518518518519</v>
      </c>
      <c r="L71" s="1140"/>
      <c r="M71" s="1109">
        <f>Data!JM76</f>
        <v>23.7</v>
      </c>
      <c r="N71" s="1110"/>
      <c r="O71" s="1109">
        <f>Data!JM78</f>
        <v>21.6</v>
      </c>
      <c r="P71" s="1110"/>
      <c r="T71" s="6"/>
      <c r="W71" s="322"/>
      <c r="X71" s="322"/>
      <c r="Y71" s="322"/>
      <c r="Z71" s="322"/>
      <c r="AA71" s="323"/>
      <c r="AB71" s="323"/>
      <c r="AC71" s="323"/>
      <c r="AD71" s="37"/>
    </row>
    <row r="72" spans="2:30" s="69" customFormat="1" ht="15" customHeight="1" x14ac:dyDescent="0.2">
      <c r="B72" s="6"/>
      <c r="D72" s="1107" t="s">
        <v>774</v>
      </c>
      <c r="E72" s="1108"/>
      <c r="F72" s="1108"/>
      <c r="G72" s="1108"/>
      <c r="H72" s="1152"/>
      <c r="I72" s="1146">
        <f>HLOOKUP($D72,EYFS2013,selection+1, FALSE)</f>
        <v>0.29495798319327743</v>
      </c>
      <c r="J72" s="1112"/>
      <c r="K72" s="1111">
        <f>HLOOKUP(D72, EYFS2013, selection2+1,FALSE)</f>
        <v>0.36710239651416121</v>
      </c>
      <c r="L72" s="1112"/>
      <c r="M72" s="1111">
        <f>Data!JN76</f>
        <v>0.30399999999999999</v>
      </c>
      <c r="N72" s="1112"/>
      <c r="O72" s="1111">
        <f>Data!JN78</f>
        <v>0.36599999999999999</v>
      </c>
      <c r="P72" s="1112"/>
      <c r="T72" s="6"/>
      <c r="W72" s="322"/>
      <c r="X72" s="322"/>
      <c r="Y72" s="322"/>
      <c r="Z72" s="322"/>
      <c r="AA72" s="323"/>
      <c r="AB72" s="323"/>
      <c r="AC72" s="323"/>
      <c r="AD72" s="37"/>
    </row>
    <row r="73" spans="2:30" ht="15" customHeight="1" x14ac:dyDescent="0.2">
      <c r="B73" s="6"/>
      <c r="C73" s="69"/>
      <c r="D73" s="1093" t="s">
        <v>767</v>
      </c>
      <c r="E73" s="1094"/>
      <c r="F73" s="1094"/>
      <c r="G73" s="1094"/>
      <c r="H73" s="1094"/>
      <c r="I73" s="1094"/>
      <c r="J73" s="1094"/>
      <c r="K73" s="1094"/>
      <c r="L73" s="1094"/>
      <c r="M73" s="1094"/>
      <c r="N73" s="1094"/>
      <c r="O73" s="1094"/>
      <c r="P73" s="1095"/>
      <c r="Q73" s="69"/>
      <c r="R73" s="69"/>
      <c r="S73" s="69"/>
      <c r="T73" s="6"/>
      <c r="W73" s="37"/>
      <c r="X73" s="37"/>
      <c r="Y73" s="37"/>
      <c r="Z73" s="37"/>
      <c r="AA73" s="37"/>
      <c r="AB73" s="37"/>
      <c r="AC73" s="37"/>
      <c r="AD73" s="37"/>
    </row>
    <row r="74" spans="2:30" ht="15" customHeight="1" x14ac:dyDescent="0.2">
      <c r="B74" s="6"/>
      <c r="C74" s="69"/>
      <c r="D74" s="1106" t="s">
        <v>685</v>
      </c>
      <c r="E74" s="1106"/>
      <c r="F74" s="1106"/>
      <c r="G74" s="1106"/>
      <c r="H74" s="1106"/>
      <c r="I74" s="1150">
        <f>HLOOKUP(D74,EYFS2014, selection+1, FALSE)</f>
        <v>172</v>
      </c>
      <c r="J74" s="1150"/>
      <c r="K74" s="1150">
        <f>HLOOKUP(D74, EYFS2014,selection2+1,FALSE)</f>
        <v>122</v>
      </c>
      <c r="L74" s="1150"/>
      <c r="M74" s="1151"/>
      <c r="N74" s="1151"/>
      <c r="O74" s="1151"/>
      <c r="P74" s="1151"/>
      <c r="Q74" s="69"/>
      <c r="R74" s="69"/>
      <c r="S74" s="69"/>
      <c r="T74" s="6"/>
    </row>
    <row r="75" spans="2:30" ht="15" customHeight="1" x14ac:dyDescent="0.2">
      <c r="B75" s="6"/>
      <c r="C75" s="69"/>
      <c r="D75" s="1106" t="s">
        <v>773</v>
      </c>
      <c r="E75" s="1106"/>
      <c r="F75" s="1106"/>
      <c r="G75" s="1106"/>
      <c r="H75" s="1106"/>
      <c r="I75" s="1153">
        <f>HLOOKUP(D75,EYFS2014, selection+1, FALSE)</f>
        <v>34</v>
      </c>
      <c r="J75" s="1153"/>
      <c r="K75" s="1153">
        <f>HLOOKUP(D75, EYFS2014,selection2+1,FALSE)</f>
        <v>34</v>
      </c>
      <c r="L75" s="1153"/>
      <c r="M75" s="1153">
        <f>Data!JU76</f>
        <v>34</v>
      </c>
      <c r="N75" s="1153"/>
      <c r="O75" s="1153">
        <f>Data!JU78</f>
        <v>34</v>
      </c>
      <c r="P75" s="1153"/>
      <c r="Q75" s="69"/>
      <c r="R75" s="69"/>
      <c r="S75" s="69"/>
      <c r="T75" s="6"/>
    </row>
    <row r="76" spans="2:30" s="69" customFormat="1" ht="15" customHeight="1" x14ac:dyDescent="0.2">
      <c r="B76" s="6"/>
      <c r="D76" s="1107" t="s">
        <v>776</v>
      </c>
      <c r="E76" s="1108"/>
      <c r="F76" s="1108"/>
      <c r="G76" s="1108"/>
      <c r="H76" s="1152"/>
      <c r="I76" s="1153">
        <f>HLOOKUP(D76,EYFS2014, selection+1, FALSE)</f>
        <v>26.941176470588232</v>
      </c>
      <c r="J76" s="1153"/>
      <c r="K76" s="1153">
        <f>HLOOKUP(D76, EYFS2014,selection2+1,FALSE)</f>
        <v>23.166666666666668</v>
      </c>
      <c r="L76" s="1153"/>
      <c r="M76" s="1089">
        <f>Data!JW76</f>
        <v>24.5</v>
      </c>
      <c r="N76" s="1090"/>
      <c r="O76" s="1089">
        <f>Data!JW78</f>
        <v>22.5</v>
      </c>
      <c r="P76" s="1090"/>
      <c r="T76" s="6"/>
    </row>
    <row r="77" spans="2:30" ht="15" customHeight="1" x14ac:dyDescent="0.25">
      <c r="B77" s="6"/>
      <c r="C77" s="69"/>
      <c r="D77" s="1106" t="s">
        <v>774</v>
      </c>
      <c r="E77" s="1106"/>
      <c r="F77" s="1106"/>
      <c r="G77" s="1106"/>
      <c r="H77" s="1106"/>
      <c r="I77" s="1158">
        <f>HLOOKUP(D77,EYFS2014, selection+1, FALSE)</f>
        <v>0.20761245674740494</v>
      </c>
      <c r="J77" s="1158"/>
      <c r="K77" s="1158">
        <f>HLOOKUP(D77, EYFS2014,selection2+1,FALSE)</f>
        <v>0.31862745098039202</v>
      </c>
      <c r="L77" s="1158"/>
      <c r="M77" s="1156">
        <f>Data!JX76</f>
        <v>0.27900000000000003</v>
      </c>
      <c r="N77" s="1157"/>
      <c r="O77" s="1156">
        <f>Data!JX78</f>
        <v>0.33900000000000002</v>
      </c>
      <c r="P77" s="1157"/>
      <c r="Q77" s="69"/>
      <c r="R77" s="69"/>
      <c r="S77" s="69"/>
      <c r="T77" s="6"/>
    </row>
    <row r="78" spans="2:30" s="69" customFormat="1" ht="15" customHeight="1" x14ac:dyDescent="0.2">
      <c r="B78" s="6"/>
      <c r="D78" s="1099" t="s">
        <v>870</v>
      </c>
      <c r="E78" s="1100"/>
      <c r="F78" s="1100"/>
      <c r="G78" s="1100"/>
      <c r="H78" s="1100"/>
      <c r="I78" s="1100"/>
      <c r="J78" s="1100"/>
      <c r="K78" s="1100"/>
      <c r="L78" s="1100"/>
      <c r="M78" s="1100"/>
      <c r="N78" s="1100"/>
      <c r="O78" s="1100"/>
      <c r="P78" s="1101"/>
      <c r="T78" s="6"/>
    </row>
    <row r="79" spans="2:30" s="69" customFormat="1" ht="15" customHeight="1" x14ac:dyDescent="0.25">
      <c r="B79" s="6"/>
      <c r="D79" s="1106" t="s">
        <v>916</v>
      </c>
      <c r="E79" s="1106"/>
      <c r="F79" s="1106"/>
      <c r="G79" s="1106"/>
      <c r="H79" s="1107"/>
      <c r="I79" s="1102">
        <f>HLOOKUP($D79,EYFS2015,selection+1,FALSE)</f>
        <v>190</v>
      </c>
      <c r="J79" s="1103"/>
      <c r="K79" s="1102">
        <f>HLOOKUP(D79,EYFS2015, selection2+1, FALSE)</f>
        <v>143</v>
      </c>
      <c r="L79" s="1103"/>
      <c r="M79" s="1104"/>
      <c r="N79" s="1105"/>
      <c r="O79" s="1087"/>
      <c r="P79" s="1088"/>
      <c r="T79" s="6"/>
    </row>
    <row r="80" spans="2:30" s="69" customFormat="1" ht="15" customHeight="1" x14ac:dyDescent="0.2">
      <c r="B80" s="6"/>
      <c r="D80" s="1106" t="s">
        <v>773</v>
      </c>
      <c r="E80" s="1106"/>
      <c r="F80" s="1106"/>
      <c r="G80" s="1106"/>
      <c r="H80" s="1107"/>
      <c r="I80" s="1089">
        <f>HLOOKUP($D80,EYFS2015,selection+1,FALSE)</f>
        <v>34</v>
      </c>
      <c r="J80" s="1090"/>
      <c r="K80" s="1089">
        <f>HLOOKUP(D80,EYFS2015, selection2+1, FALSE)</f>
        <v>34</v>
      </c>
      <c r="L80" s="1090"/>
      <c r="M80" s="1089">
        <f>Data!KD76</f>
        <v>34</v>
      </c>
      <c r="N80" s="1090"/>
      <c r="O80" s="1089">
        <f>Data!KD78</f>
        <v>34</v>
      </c>
      <c r="P80" s="1090"/>
      <c r="T80" s="6"/>
    </row>
    <row r="81" spans="2:20" s="69" customFormat="1" ht="15" customHeight="1" x14ac:dyDescent="0.2">
      <c r="B81" s="6"/>
      <c r="D81" s="1107" t="s">
        <v>776</v>
      </c>
      <c r="E81" s="1108"/>
      <c r="F81" s="1108"/>
      <c r="G81" s="1108"/>
      <c r="H81" s="1108"/>
      <c r="I81" s="1089">
        <f>HLOOKUP($D81,EYFS2015,selection+1,FALSE)</f>
        <v>26.6</v>
      </c>
      <c r="J81" s="1090"/>
      <c r="K81" s="1089">
        <f>HLOOKUP(D81,EYFS2015, selection2+1, FALSE)</f>
        <v>21.9</v>
      </c>
      <c r="L81" s="1090"/>
      <c r="M81" s="1089">
        <f>Data!KF76</f>
        <v>24.5</v>
      </c>
      <c r="N81" s="1090"/>
      <c r="O81" s="1089">
        <f>Data!KF78</f>
        <v>23.1</v>
      </c>
      <c r="P81" s="1090"/>
      <c r="T81" s="6"/>
    </row>
    <row r="82" spans="2:20" ht="15" x14ac:dyDescent="0.2">
      <c r="B82" s="6"/>
      <c r="C82" s="69"/>
      <c r="D82" s="1106" t="s">
        <v>774</v>
      </c>
      <c r="E82" s="1106"/>
      <c r="F82" s="1106"/>
      <c r="G82" s="1106"/>
      <c r="H82" s="1107"/>
      <c r="I82" s="1091">
        <f>HLOOKUP($D82,EYFS2015,selection+1,FALSE)</f>
        <v>0.216</v>
      </c>
      <c r="J82" s="1092"/>
      <c r="K82" s="1091">
        <f>HLOOKUP(D82,EYFS2015, selection2+1, FALSE)</f>
        <v>0.35499999999999998</v>
      </c>
      <c r="L82" s="1092"/>
      <c r="M82" s="1091">
        <f>Data!KG76</f>
        <v>0.27900000000000003</v>
      </c>
      <c r="N82" s="1092"/>
      <c r="O82" s="1091">
        <f>Data!KG78</f>
        <v>0.32100000000000001</v>
      </c>
      <c r="P82" s="1092"/>
      <c r="Q82" s="69"/>
      <c r="R82" s="69"/>
      <c r="S82" s="69"/>
      <c r="T82" s="6"/>
    </row>
    <row r="83" spans="2:20" x14ac:dyDescent="0.2">
      <c r="B83" s="6"/>
      <c r="C83" s="69"/>
      <c r="D83" s="69"/>
      <c r="E83" s="76"/>
      <c r="F83" s="76">
        <v>2013</v>
      </c>
      <c r="G83" s="76">
        <v>2014</v>
      </c>
      <c r="H83" s="76">
        <v>2015</v>
      </c>
      <c r="I83" s="69"/>
      <c r="J83" s="69"/>
      <c r="K83" s="69"/>
      <c r="L83" s="69"/>
      <c r="M83" s="69"/>
      <c r="N83" s="69"/>
      <c r="O83" s="69"/>
      <c r="P83" s="69"/>
      <c r="Q83" s="69"/>
      <c r="R83" s="69"/>
      <c r="S83" s="69"/>
      <c r="T83" s="6"/>
    </row>
    <row r="84" spans="2:20" x14ac:dyDescent="0.2">
      <c r="B84" s="6"/>
      <c r="C84" s="69"/>
      <c r="E84" s="76" t="str">
        <f>I66</f>
        <v>Kingston Buci</v>
      </c>
      <c r="F84" s="292">
        <f>I72</f>
        <v>0.29495798319327743</v>
      </c>
      <c r="G84" s="292">
        <f>I77</f>
        <v>0.20761245674740494</v>
      </c>
      <c r="H84" s="292">
        <f>I82</f>
        <v>0.216</v>
      </c>
      <c r="I84" s="69"/>
      <c r="J84" s="69"/>
      <c r="K84" s="69"/>
      <c r="L84" s="69"/>
      <c r="M84" s="69"/>
      <c r="N84" s="69"/>
      <c r="O84" s="69"/>
      <c r="P84" s="69"/>
      <c r="Q84" s="69"/>
      <c r="R84" s="69"/>
      <c r="S84" s="69"/>
      <c r="T84" s="6"/>
    </row>
    <row r="85" spans="2:20" x14ac:dyDescent="0.2">
      <c r="B85" s="6"/>
      <c r="C85" s="69"/>
      <c r="D85" s="69"/>
      <c r="E85" s="76" t="str">
        <f>K66</f>
        <v>Stepping Stones</v>
      </c>
      <c r="F85" s="292">
        <f>K72</f>
        <v>0.36710239651416121</v>
      </c>
      <c r="G85" s="292">
        <f>K77</f>
        <v>0.31862745098039202</v>
      </c>
      <c r="H85" s="292">
        <f>K82</f>
        <v>0.35499999999999998</v>
      </c>
      <c r="I85" s="69"/>
      <c r="J85" s="69"/>
      <c r="K85" s="69"/>
      <c r="L85" s="69"/>
      <c r="M85" s="69"/>
      <c r="N85" s="69"/>
      <c r="O85" s="69"/>
      <c r="P85" s="69"/>
      <c r="Q85" s="69"/>
      <c r="R85" s="69"/>
      <c r="S85" s="69"/>
      <c r="T85" s="6"/>
    </row>
    <row r="86" spans="2:20" x14ac:dyDescent="0.2">
      <c r="B86" s="6"/>
      <c r="C86" s="69"/>
      <c r="D86" s="69"/>
      <c r="E86" s="76" t="str">
        <f>M66</f>
        <v>West Sussex</v>
      </c>
      <c r="F86" s="292">
        <f>M72</f>
        <v>0.30399999999999999</v>
      </c>
      <c r="G86" s="292">
        <f>M77</f>
        <v>0.27900000000000003</v>
      </c>
      <c r="H86" s="292">
        <f>M82</f>
        <v>0.27900000000000003</v>
      </c>
      <c r="I86" s="69"/>
      <c r="J86" s="69"/>
      <c r="K86" s="69"/>
      <c r="L86" s="69"/>
      <c r="M86" s="69"/>
      <c r="N86" s="69"/>
      <c r="O86" s="69"/>
      <c r="P86" s="69"/>
      <c r="Q86" s="69"/>
      <c r="R86" s="69"/>
      <c r="S86" s="69"/>
      <c r="T86" s="6"/>
    </row>
    <row r="87" spans="2:20" x14ac:dyDescent="0.2">
      <c r="B87" s="6"/>
      <c r="C87" s="69"/>
      <c r="D87" s="69"/>
      <c r="E87" s="76" t="str">
        <f>O66</f>
        <v>England</v>
      </c>
      <c r="F87" s="292">
        <f>O72</f>
        <v>0.36599999999999999</v>
      </c>
      <c r="G87" s="292">
        <f>O77</f>
        <v>0.33900000000000002</v>
      </c>
      <c r="H87" s="292">
        <f>O82</f>
        <v>0.32100000000000001</v>
      </c>
      <c r="I87" s="69"/>
      <c r="J87" s="69"/>
      <c r="K87" s="69"/>
      <c r="L87" s="69"/>
      <c r="M87" s="69"/>
      <c r="N87" s="69"/>
      <c r="O87" s="69"/>
      <c r="P87" s="69"/>
      <c r="Q87" s="69"/>
      <c r="R87" s="69"/>
      <c r="S87" s="69"/>
      <c r="T87" s="6"/>
    </row>
    <row r="88" spans="2:20" x14ac:dyDescent="0.2">
      <c r="B88" s="6"/>
      <c r="C88" s="69"/>
      <c r="D88" s="69"/>
      <c r="E88" s="76"/>
      <c r="F88" s="76"/>
      <c r="G88" s="76"/>
      <c r="H88" s="76"/>
      <c r="I88" s="69"/>
      <c r="J88" s="69"/>
      <c r="K88" s="69"/>
      <c r="L88" s="69"/>
      <c r="M88" s="69"/>
      <c r="N88" s="69"/>
      <c r="O88" s="69"/>
      <c r="P88" s="69"/>
      <c r="Q88" s="69"/>
      <c r="R88" s="69"/>
      <c r="S88" s="69"/>
      <c r="T88" s="6"/>
    </row>
    <row r="89" spans="2:20" x14ac:dyDescent="0.2">
      <c r="B89" s="6"/>
      <c r="C89" s="69"/>
      <c r="D89" s="69"/>
      <c r="E89" s="76"/>
      <c r="F89" s="76"/>
      <c r="G89" s="76"/>
      <c r="H89" s="76"/>
      <c r="I89" s="69"/>
      <c r="J89" s="69"/>
      <c r="K89" s="69"/>
      <c r="L89" s="69"/>
      <c r="M89" s="69"/>
      <c r="N89" s="69"/>
      <c r="O89" s="69"/>
      <c r="P89" s="69"/>
      <c r="Q89" s="69"/>
      <c r="R89" s="69"/>
      <c r="S89" s="69"/>
      <c r="T89" s="6"/>
    </row>
    <row r="90" spans="2:20" x14ac:dyDescent="0.2">
      <c r="B90" s="6"/>
      <c r="C90" s="69"/>
      <c r="D90" s="69"/>
      <c r="E90" s="76"/>
      <c r="F90" s="76"/>
      <c r="G90" s="76"/>
      <c r="H90" s="76"/>
      <c r="I90" s="69"/>
      <c r="J90" s="69"/>
      <c r="K90" s="69"/>
      <c r="L90" s="69"/>
      <c r="M90" s="69"/>
      <c r="N90" s="69"/>
      <c r="O90" s="69"/>
      <c r="P90" s="69"/>
      <c r="Q90" s="69"/>
      <c r="R90" s="69"/>
      <c r="S90" s="69"/>
      <c r="T90" s="6"/>
    </row>
    <row r="91" spans="2:20" x14ac:dyDescent="0.2">
      <c r="B91" s="6"/>
      <c r="C91" s="69"/>
      <c r="D91" s="69"/>
      <c r="E91" s="69"/>
      <c r="F91" s="69"/>
      <c r="G91" s="69"/>
      <c r="H91" s="69"/>
      <c r="I91" s="69"/>
      <c r="J91" s="69"/>
      <c r="K91" s="69"/>
      <c r="L91" s="69"/>
      <c r="M91" s="69"/>
      <c r="N91" s="69"/>
      <c r="O91" s="69"/>
      <c r="P91" s="69"/>
      <c r="Q91" s="69"/>
      <c r="R91" s="69"/>
      <c r="S91" s="69"/>
      <c r="T91" s="6"/>
    </row>
    <row r="92" spans="2:20" x14ac:dyDescent="0.2">
      <c r="B92" s="6"/>
      <c r="C92" s="69"/>
      <c r="D92" s="69"/>
      <c r="E92" s="69"/>
      <c r="F92" s="69"/>
      <c r="G92" s="69"/>
      <c r="H92" s="69"/>
      <c r="I92" s="69"/>
      <c r="J92" s="69"/>
      <c r="K92" s="69"/>
      <c r="L92" s="69"/>
      <c r="M92" s="69"/>
      <c r="N92" s="69"/>
      <c r="O92" s="69"/>
      <c r="P92" s="69"/>
      <c r="Q92" s="69"/>
      <c r="R92" s="69"/>
      <c r="S92" s="69"/>
      <c r="T92" s="6"/>
    </row>
    <row r="93" spans="2:20" x14ac:dyDescent="0.2">
      <c r="B93" s="6"/>
      <c r="C93" s="69"/>
      <c r="D93" s="69"/>
      <c r="E93" s="69"/>
      <c r="F93" s="69"/>
      <c r="G93" s="69"/>
      <c r="H93" s="69"/>
      <c r="I93" s="69"/>
      <c r="J93" s="69"/>
      <c r="K93" s="69"/>
      <c r="L93" s="69"/>
      <c r="M93" s="69"/>
      <c r="N93" s="69"/>
      <c r="O93" s="69"/>
      <c r="P93" s="69"/>
      <c r="Q93" s="69"/>
      <c r="R93" s="69"/>
      <c r="S93" s="69"/>
      <c r="T93" s="6"/>
    </row>
    <row r="94" spans="2:20" x14ac:dyDescent="0.2">
      <c r="B94" s="6"/>
      <c r="C94" s="69"/>
      <c r="D94" s="69"/>
      <c r="E94" s="69"/>
      <c r="F94" s="69"/>
      <c r="G94" s="69"/>
      <c r="H94" s="69"/>
      <c r="I94" s="69"/>
      <c r="J94" s="69"/>
      <c r="K94" s="69"/>
      <c r="L94" s="69"/>
      <c r="M94" s="69"/>
      <c r="N94" s="69"/>
      <c r="O94" s="69"/>
      <c r="P94" s="69"/>
      <c r="Q94" s="69"/>
      <c r="R94" s="69"/>
      <c r="S94" s="69"/>
      <c r="T94" s="6"/>
    </row>
    <row r="95" spans="2:20" x14ac:dyDescent="0.2">
      <c r="B95" s="6"/>
      <c r="C95" s="69"/>
      <c r="D95" s="69"/>
      <c r="E95" s="69"/>
      <c r="F95" s="69"/>
      <c r="G95" s="69"/>
      <c r="H95" s="69"/>
      <c r="I95" s="69"/>
      <c r="J95" s="69"/>
      <c r="K95" s="69"/>
      <c r="L95" s="69"/>
      <c r="M95" s="69"/>
      <c r="N95" s="69"/>
      <c r="O95" s="69"/>
      <c r="P95" s="69"/>
      <c r="Q95" s="69"/>
      <c r="R95" s="69"/>
      <c r="S95" s="69"/>
      <c r="T95" s="6"/>
    </row>
    <row r="96" spans="2:20" x14ac:dyDescent="0.2">
      <c r="B96" s="6"/>
      <c r="C96" s="69"/>
      <c r="D96" s="69"/>
      <c r="E96" s="69"/>
      <c r="F96" s="69"/>
      <c r="G96" s="69"/>
      <c r="H96" s="69"/>
      <c r="I96" s="69"/>
      <c r="J96" s="69"/>
      <c r="K96" s="69"/>
      <c r="L96" s="69"/>
      <c r="M96" s="69"/>
      <c r="N96" s="69"/>
      <c r="O96" s="69"/>
      <c r="P96" s="69"/>
      <c r="Q96" s="69"/>
      <c r="R96" s="69"/>
      <c r="S96" s="69"/>
      <c r="T96" s="6"/>
    </row>
    <row r="97" spans="2:20" x14ac:dyDescent="0.2">
      <c r="B97" s="6"/>
      <c r="C97" s="69"/>
      <c r="D97" s="69"/>
      <c r="E97" s="69"/>
      <c r="F97" s="69"/>
      <c r="G97" s="69"/>
      <c r="H97" s="69"/>
      <c r="I97" s="69"/>
      <c r="J97" s="69"/>
      <c r="K97" s="69"/>
      <c r="L97" s="69"/>
      <c r="M97" s="69"/>
      <c r="N97" s="69"/>
      <c r="O97" s="69"/>
      <c r="P97" s="69"/>
      <c r="Q97" s="69"/>
      <c r="R97" s="69"/>
      <c r="S97" s="69"/>
      <c r="T97" s="6"/>
    </row>
    <row r="98" spans="2:20" x14ac:dyDescent="0.2">
      <c r="B98" s="6"/>
      <c r="C98" s="69"/>
      <c r="D98" s="69"/>
      <c r="E98" s="69"/>
      <c r="F98" s="69"/>
      <c r="G98" s="69"/>
      <c r="H98" s="69"/>
      <c r="I98" s="69"/>
      <c r="J98" s="69"/>
      <c r="K98" s="69"/>
      <c r="L98" s="69"/>
      <c r="M98" s="69"/>
      <c r="N98" s="69"/>
      <c r="O98" s="69"/>
      <c r="P98" s="69"/>
      <c r="Q98" s="69"/>
      <c r="R98" s="69"/>
      <c r="S98" s="69"/>
      <c r="T98" s="6"/>
    </row>
    <row r="99" spans="2:20" x14ac:dyDescent="0.2">
      <c r="B99" s="6"/>
      <c r="C99" s="69"/>
      <c r="D99" s="69"/>
      <c r="E99" s="69"/>
      <c r="F99" s="69"/>
      <c r="G99" s="69"/>
      <c r="H99" s="69"/>
      <c r="I99" s="69"/>
      <c r="J99" s="69"/>
      <c r="K99" s="69"/>
      <c r="L99" s="69"/>
      <c r="M99" s="69"/>
      <c r="N99" s="69"/>
      <c r="O99" s="69"/>
      <c r="P99" s="69"/>
      <c r="Q99" s="69"/>
      <c r="R99" s="69"/>
      <c r="S99" s="69"/>
      <c r="T99" s="6"/>
    </row>
    <row r="100" spans="2:20" x14ac:dyDescent="0.2">
      <c r="B100" s="6"/>
      <c r="C100" s="69"/>
      <c r="D100" s="69"/>
      <c r="E100" s="69"/>
      <c r="F100" s="69"/>
      <c r="G100" s="69"/>
      <c r="H100" s="69"/>
      <c r="I100" s="69"/>
      <c r="J100" s="69"/>
      <c r="K100" s="69"/>
      <c r="L100" s="69"/>
      <c r="M100" s="69"/>
      <c r="N100" s="69"/>
      <c r="O100" s="69"/>
      <c r="P100" s="69"/>
      <c r="Q100" s="69"/>
      <c r="R100" s="69"/>
      <c r="S100" s="69"/>
      <c r="T100" s="6"/>
    </row>
    <row r="101" spans="2:20" x14ac:dyDescent="0.2">
      <c r="B101" s="6"/>
      <c r="C101" s="6"/>
      <c r="D101" s="6"/>
      <c r="E101" s="6"/>
      <c r="F101" s="6"/>
      <c r="G101" s="6"/>
      <c r="H101" s="6"/>
      <c r="I101" s="6"/>
      <c r="J101" s="6"/>
      <c r="K101" s="6"/>
      <c r="L101" s="6"/>
      <c r="M101" s="6"/>
      <c r="N101" s="6"/>
      <c r="O101" s="6"/>
      <c r="P101" s="6"/>
      <c r="Q101" s="6"/>
      <c r="R101" s="6"/>
      <c r="S101" s="6"/>
      <c r="T101" s="6"/>
    </row>
    <row r="102" spans="2:20" x14ac:dyDescent="0.2">
      <c r="B102" s="6"/>
      <c r="C102" s="6"/>
      <c r="D102" s="6"/>
      <c r="E102" s="6"/>
      <c r="F102" s="6"/>
      <c r="G102" s="6"/>
      <c r="H102" s="6"/>
      <c r="I102" s="6"/>
      <c r="J102" s="6"/>
      <c r="K102" s="6"/>
      <c r="L102" s="6"/>
      <c r="M102" s="6"/>
      <c r="N102" s="6"/>
      <c r="O102" s="6"/>
      <c r="P102" s="6"/>
      <c r="Q102" s="6"/>
      <c r="R102" s="6"/>
      <c r="S102" s="6"/>
      <c r="T102" s="6"/>
    </row>
  </sheetData>
  <sheetProtection sheet="1" objects="1" scenarios="1"/>
  <mergeCells count="132">
    <mergeCell ref="M77:N77"/>
    <mergeCell ref="O77:P77"/>
    <mergeCell ref="M75:N75"/>
    <mergeCell ref="O75:P75"/>
    <mergeCell ref="D74:H74"/>
    <mergeCell ref="I74:J74"/>
    <mergeCell ref="D75:H75"/>
    <mergeCell ref="I75:J75"/>
    <mergeCell ref="M76:N76"/>
    <mergeCell ref="O76:P76"/>
    <mergeCell ref="D77:H77"/>
    <mergeCell ref="I77:J77"/>
    <mergeCell ref="K77:L77"/>
    <mergeCell ref="I72:J72"/>
    <mergeCell ref="K74:L74"/>
    <mergeCell ref="M74:N74"/>
    <mergeCell ref="O74:P74"/>
    <mergeCell ref="K72:L72"/>
    <mergeCell ref="D76:H76"/>
    <mergeCell ref="I76:J76"/>
    <mergeCell ref="K76:L76"/>
    <mergeCell ref="W67:AC67"/>
    <mergeCell ref="W68:AC68"/>
    <mergeCell ref="W69:AC69"/>
    <mergeCell ref="W70:AC70"/>
    <mergeCell ref="M69:N69"/>
    <mergeCell ref="O69:P69"/>
    <mergeCell ref="M66:N67"/>
    <mergeCell ref="O66:P67"/>
    <mergeCell ref="M70:N70"/>
    <mergeCell ref="O70:P70"/>
    <mergeCell ref="M72:N72"/>
    <mergeCell ref="O72:P72"/>
    <mergeCell ref="D72:H72"/>
    <mergeCell ref="K75:L75"/>
    <mergeCell ref="O71:P71"/>
    <mergeCell ref="D71:H71"/>
    <mergeCell ref="D66:H67"/>
    <mergeCell ref="I66:J67"/>
    <mergeCell ref="K66:L67"/>
    <mergeCell ref="D69:H69"/>
    <mergeCell ref="I69:J69"/>
    <mergeCell ref="D70:H70"/>
    <mergeCell ref="I70:J70"/>
    <mergeCell ref="K70:L70"/>
    <mergeCell ref="K69:L69"/>
    <mergeCell ref="O35:P35"/>
    <mergeCell ref="I71:J71"/>
    <mergeCell ref="K71:L71"/>
    <mergeCell ref="O32:P33"/>
    <mergeCell ref="D32:H33"/>
    <mergeCell ref="D39:H39"/>
    <mergeCell ref="I39:J39"/>
    <mergeCell ref="D40:H40"/>
    <mergeCell ref="I40:J40"/>
    <mergeCell ref="D41:H41"/>
    <mergeCell ref="I41:J41"/>
    <mergeCell ref="D36:H36"/>
    <mergeCell ref="I36:J36"/>
    <mergeCell ref="D37:H37"/>
    <mergeCell ref="I37:J37"/>
    <mergeCell ref="D38:H38"/>
    <mergeCell ref="I38:J38"/>
    <mergeCell ref="O36:P36"/>
    <mergeCell ref="O37:P37"/>
    <mergeCell ref="K39:L39"/>
    <mergeCell ref="K40:L40"/>
    <mergeCell ref="K41:L41"/>
    <mergeCell ref="M39:N39"/>
    <mergeCell ref="M40:N40"/>
    <mergeCell ref="I34:J34"/>
    <mergeCell ref="A2:L2"/>
    <mergeCell ref="I35:J35"/>
    <mergeCell ref="K35:L35"/>
    <mergeCell ref="M35:N35"/>
    <mergeCell ref="D34:H34"/>
    <mergeCell ref="D35:H35"/>
    <mergeCell ref="K32:L33"/>
    <mergeCell ref="I32:J33"/>
    <mergeCell ref="M32:N33"/>
    <mergeCell ref="O41:P41"/>
    <mergeCell ref="K36:L36"/>
    <mergeCell ref="K37:L37"/>
    <mergeCell ref="M36:N36"/>
    <mergeCell ref="M37:N37"/>
    <mergeCell ref="O44:P44"/>
    <mergeCell ref="M44:N44"/>
    <mergeCell ref="K44:L44"/>
    <mergeCell ref="K42:L42"/>
    <mergeCell ref="M42:N42"/>
    <mergeCell ref="O42:P42"/>
    <mergeCell ref="K43:L43"/>
    <mergeCell ref="M43:N43"/>
    <mergeCell ref="O43:P43"/>
    <mergeCell ref="O39:P39"/>
    <mergeCell ref="O40:P40"/>
    <mergeCell ref="M41:N41"/>
    <mergeCell ref="M45:N45"/>
    <mergeCell ref="O45:P45"/>
    <mergeCell ref="D43:H43"/>
    <mergeCell ref="D42:H42"/>
    <mergeCell ref="D44:H44"/>
    <mergeCell ref="D45:H45"/>
    <mergeCell ref="I45:J45"/>
    <mergeCell ref="I44:J44"/>
    <mergeCell ref="I43:J43"/>
    <mergeCell ref="I42:J42"/>
    <mergeCell ref="K45:L45"/>
    <mergeCell ref="O79:P79"/>
    <mergeCell ref="O80:P80"/>
    <mergeCell ref="O81:P81"/>
    <mergeCell ref="O82:P82"/>
    <mergeCell ref="D73:P73"/>
    <mergeCell ref="D68:P68"/>
    <mergeCell ref="D78:P78"/>
    <mergeCell ref="K79:L79"/>
    <mergeCell ref="K80:L80"/>
    <mergeCell ref="K81:L81"/>
    <mergeCell ref="K82:L82"/>
    <mergeCell ref="M79:N79"/>
    <mergeCell ref="M80:N80"/>
    <mergeCell ref="M81:N81"/>
    <mergeCell ref="M82:N82"/>
    <mergeCell ref="D79:H79"/>
    <mergeCell ref="D80:H80"/>
    <mergeCell ref="D81:H81"/>
    <mergeCell ref="D82:H82"/>
    <mergeCell ref="I79:J79"/>
    <mergeCell ref="I80:J80"/>
    <mergeCell ref="I81:J81"/>
    <mergeCell ref="I82:J82"/>
    <mergeCell ref="M71:N71"/>
  </mergeCells>
  <pageMargins left="0.25" right="0.25" top="0.75" bottom="0.75" header="0.3" footer="0.3"/>
  <pageSetup paperSize="9" scale="61" fitToHeight="2" orientation="portrait" r:id="rId1"/>
  <rowBreaks count="1" manualBreakCount="1">
    <brk id="61" max="20" man="1"/>
  </rowBreaks>
  <drawing r:id="rId2"/>
  <legacyDrawing r:id="rId3"/>
  <mc:AlternateContent xmlns:mc="http://schemas.openxmlformats.org/markup-compatibility/2006">
    <mc:Choice Requires="x14">
      <controls>
        <mc:AlternateContent xmlns:mc="http://schemas.openxmlformats.org/markup-compatibility/2006">
          <mc:Choice Requires="x14">
            <control shapeId="8194" r:id="rId4" name="Drop Down 2">
              <controlPr defaultSize="0" autoLine="0" autoPict="0">
                <anchor moveWithCells="1">
                  <from>
                    <xdr:col>6</xdr:col>
                    <xdr:colOff>0</xdr:colOff>
                    <xdr:row>5</xdr:row>
                    <xdr:rowOff>9525</xdr:rowOff>
                  </from>
                  <to>
                    <xdr:col>10</xdr:col>
                    <xdr:colOff>590550</xdr:colOff>
                    <xdr:row>6</xdr:row>
                    <xdr:rowOff>85725</xdr:rowOff>
                  </to>
                </anchor>
              </controlPr>
            </control>
          </mc:Choice>
        </mc:AlternateContent>
        <mc:AlternateContent xmlns:mc="http://schemas.openxmlformats.org/markup-compatibility/2006">
          <mc:Choice Requires="x14">
            <control shapeId="8195" r:id="rId5" name="Drop Down 3">
              <controlPr defaultSize="0" autoLine="0" autoPict="0">
                <anchor moveWithCells="1">
                  <from>
                    <xdr:col>6</xdr:col>
                    <xdr:colOff>0</xdr:colOff>
                    <xdr:row>6</xdr:row>
                    <xdr:rowOff>171450</xdr:rowOff>
                  </from>
                  <to>
                    <xdr:col>10</xdr:col>
                    <xdr:colOff>590550</xdr:colOff>
                    <xdr:row>8</xdr:row>
                    <xdr:rowOff>57150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8"/>
  </sheetPr>
  <dimension ref="B5:T54"/>
  <sheetViews>
    <sheetView zoomScaleNormal="100" workbookViewId="0">
      <selection activeCell="V16" sqref="V16"/>
    </sheetView>
  </sheetViews>
  <sheetFormatPr defaultRowHeight="14.25" x14ac:dyDescent="0.2"/>
  <cols>
    <col min="1" max="1" width="0.8984375" style="69" customWidth="1"/>
    <col min="2" max="2" width="1.19921875" style="69" customWidth="1"/>
    <col min="3" max="18" width="6.69921875" style="69" customWidth="1"/>
    <col min="19" max="19" width="3.69921875" style="69" customWidth="1"/>
    <col min="20" max="20" width="1.3984375" style="69" customWidth="1"/>
    <col min="21" max="21" width="1" style="69" customWidth="1"/>
    <col min="22" max="16384" width="8.796875" style="69"/>
  </cols>
  <sheetData>
    <row r="5" spans="2:20" x14ac:dyDescent="0.2">
      <c r="B5" s="6"/>
      <c r="C5" s="6"/>
      <c r="D5" s="6"/>
      <c r="E5" s="6"/>
      <c r="F5" s="6"/>
      <c r="G5" s="6"/>
      <c r="H5" s="6"/>
      <c r="I5" s="6"/>
      <c r="J5" s="6"/>
      <c r="K5" s="6"/>
      <c r="L5" s="6"/>
      <c r="M5" s="6"/>
      <c r="N5" s="6"/>
      <c r="O5" s="6"/>
      <c r="P5" s="6"/>
      <c r="Q5" s="6"/>
      <c r="R5" s="6"/>
      <c r="S5" s="6"/>
      <c r="T5" s="6"/>
    </row>
    <row r="6" spans="2:20" x14ac:dyDescent="0.2">
      <c r="B6" s="6"/>
      <c r="C6" s="6"/>
      <c r="D6" s="6"/>
      <c r="E6" s="6"/>
      <c r="F6" s="6"/>
      <c r="G6" s="6"/>
      <c r="H6" s="6"/>
      <c r="I6" s="6"/>
      <c r="J6" s="6"/>
      <c r="K6" s="6"/>
      <c r="L6" s="6"/>
      <c r="M6" s="6"/>
      <c r="N6" s="6"/>
      <c r="O6" s="6"/>
      <c r="P6" s="6"/>
      <c r="Q6" s="6"/>
      <c r="R6" s="6"/>
      <c r="S6" s="6"/>
      <c r="T6" s="6"/>
    </row>
    <row r="7" spans="2:20" x14ac:dyDescent="0.2">
      <c r="B7" s="6"/>
      <c r="T7" s="6"/>
    </row>
    <row r="8" spans="2:20" ht="26.25" customHeight="1" x14ac:dyDescent="0.2">
      <c r="B8" s="6"/>
      <c r="C8" s="903" t="s">
        <v>806</v>
      </c>
      <c r="D8" s="903"/>
      <c r="E8" s="903"/>
      <c r="F8" s="903"/>
      <c r="G8" s="903"/>
      <c r="H8" s="903"/>
      <c r="I8" s="903"/>
      <c r="J8" s="903"/>
      <c r="K8" s="903"/>
      <c r="L8" s="903"/>
      <c r="M8" s="903"/>
      <c r="N8" s="903"/>
      <c r="O8" s="903"/>
      <c r="P8" s="903"/>
      <c r="Q8" s="903"/>
      <c r="R8" s="903"/>
      <c r="S8" s="903"/>
      <c r="T8" s="6"/>
    </row>
    <row r="9" spans="2:20" ht="15" x14ac:dyDescent="0.2">
      <c r="B9" s="6"/>
      <c r="C9" s="1166" t="s">
        <v>807</v>
      </c>
      <c r="D9" s="1166"/>
      <c r="E9" s="1166"/>
      <c r="F9" s="1166"/>
      <c r="G9" s="1166"/>
      <c r="H9" s="1166"/>
      <c r="I9" s="1166"/>
      <c r="J9" s="1166"/>
      <c r="K9" s="1166"/>
      <c r="L9" s="1166"/>
      <c r="M9" s="1166"/>
      <c r="N9" s="1166"/>
      <c r="O9" s="1166"/>
      <c r="P9" s="1166"/>
      <c r="Q9" s="1166"/>
      <c r="R9" s="1166"/>
      <c r="S9" s="1166"/>
      <c r="T9" s="6"/>
    </row>
    <row r="10" spans="2:20" ht="23.25" customHeight="1" x14ac:dyDescent="0.2">
      <c r="B10" s="6"/>
      <c r="C10" s="1167" t="s">
        <v>728</v>
      </c>
      <c r="D10" s="1168"/>
      <c r="E10" s="1168"/>
      <c r="F10" s="1168"/>
      <c r="G10" s="1168"/>
      <c r="H10" s="1168"/>
      <c r="I10" s="1168"/>
      <c r="J10" s="1168"/>
      <c r="K10" s="1168"/>
      <c r="L10" s="1168"/>
      <c r="M10" s="1168"/>
      <c r="N10" s="1168"/>
      <c r="O10" s="1168"/>
      <c r="P10" s="1168"/>
      <c r="Q10" s="1168"/>
      <c r="R10" s="1168"/>
      <c r="S10" s="1168"/>
      <c r="T10" s="6"/>
    </row>
    <row r="11" spans="2:20" ht="15" x14ac:dyDescent="0.2">
      <c r="B11" s="6"/>
      <c r="C11" s="1170" t="s">
        <v>798</v>
      </c>
      <c r="D11" s="1170"/>
      <c r="E11" s="1170"/>
      <c r="F11" s="1170"/>
      <c r="G11" s="1170"/>
      <c r="H11" s="1170"/>
      <c r="I11" s="1170"/>
      <c r="J11" s="1170"/>
      <c r="K11" s="1170"/>
      <c r="L11" s="1170"/>
      <c r="M11" s="1170"/>
      <c r="N11" s="1170"/>
      <c r="O11" s="1170"/>
      <c r="P11" s="1170"/>
      <c r="Q11" s="1170"/>
      <c r="R11" s="1170"/>
      <c r="S11" s="1170"/>
      <c r="T11" s="6"/>
    </row>
    <row r="12" spans="2:20" ht="24" customHeight="1" x14ac:dyDescent="0.2">
      <c r="B12" s="6"/>
      <c r="C12" s="406" t="s">
        <v>835</v>
      </c>
      <c r="D12" s="405"/>
      <c r="E12" s="405"/>
      <c r="F12" s="405"/>
      <c r="G12" s="405"/>
      <c r="H12" s="405"/>
      <c r="I12" s="405"/>
      <c r="J12" s="405"/>
      <c r="K12" s="405"/>
      <c r="L12" s="405"/>
      <c r="M12" s="405"/>
      <c r="N12" s="405"/>
      <c r="O12" s="405"/>
      <c r="P12" s="405"/>
      <c r="Q12" s="405"/>
      <c r="R12" s="405"/>
      <c r="S12" s="405"/>
      <c r="T12" s="6"/>
    </row>
    <row r="13" spans="2:20" ht="15" x14ac:dyDescent="0.2">
      <c r="B13" s="6"/>
      <c r="C13" s="405" t="s">
        <v>836</v>
      </c>
      <c r="D13" s="405"/>
      <c r="E13" s="405"/>
      <c r="F13" s="405"/>
      <c r="G13" s="405"/>
      <c r="H13" s="405"/>
      <c r="I13" s="405"/>
      <c r="J13" s="405"/>
      <c r="K13" s="405"/>
      <c r="L13" s="405"/>
      <c r="M13" s="405"/>
      <c r="N13" s="405"/>
      <c r="O13" s="405"/>
      <c r="P13" s="405"/>
      <c r="Q13" s="405"/>
      <c r="R13" s="405"/>
      <c r="S13" s="405"/>
      <c r="T13" s="6"/>
    </row>
    <row r="14" spans="2:20" ht="15" x14ac:dyDescent="0.2">
      <c r="B14" s="6"/>
      <c r="C14" s="407" t="s">
        <v>837</v>
      </c>
      <c r="D14" s="405"/>
      <c r="E14" s="405"/>
      <c r="F14" s="405"/>
      <c r="G14" s="405"/>
      <c r="H14" s="405"/>
      <c r="I14" s="405"/>
      <c r="J14" s="405"/>
      <c r="K14" s="405"/>
      <c r="L14" s="405"/>
      <c r="M14" s="405"/>
      <c r="N14" s="405"/>
      <c r="O14" s="405"/>
      <c r="P14" s="405"/>
      <c r="Q14" s="405"/>
      <c r="R14" s="405"/>
      <c r="S14" s="405"/>
      <c r="T14" s="6"/>
    </row>
    <row r="15" spans="2:20" ht="15" x14ac:dyDescent="0.2">
      <c r="B15" s="6"/>
      <c r="C15" s="407" t="s">
        <v>912</v>
      </c>
      <c r="D15" s="457"/>
      <c r="E15" s="457"/>
      <c r="F15" s="457"/>
      <c r="G15" s="457"/>
      <c r="H15" s="457"/>
      <c r="I15" s="457"/>
      <c r="J15" s="457"/>
      <c r="K15" s="457"/>
      <c r="L15" s="457"/>
      <c r="M15" s="457"/>
      <c r="N15" s="457"/>
      <c r="O15" s="457"/>
      <c r="P15" s="457"/>
      <c r="Q15" s="457"/>
      <c r="R15" s="457"/>
      <c r="S15" s="457"/>
      <c r="T15" s="6"/>
    </row>
    <row r="16" spans="2:20" ht="15" x14ac:dyDescent="0.2">
      <c r="B16" s="6"/>
      <c r="C16" s="457" t="s">
        <v>913</v>
      </c>
      <c r="D16" s="457"/>
      <c r="E16" s="457"/>
      <c r="F16" s="457"/>
      <c r="G16" s="457"/>
      <c r="H16" s="457"/>
      <c r="I16" s="457"/>
      <c r="J16" s="457"/>
      <c r="K16" s="457"/>
      <c r="L16" s="457"/>
      <c r="M16" s="457"/>
      <c r="N16" s="457"/>
      <c r="O16" s="457"/>
      <c r="P16" s="457"/>
      <c r="Q16" s="457"/>
      <c r="R16" s="457"/>
      <c r="S16" s="457"/>
      <c r="T16" s="6"/>
    </row>
    <row r="17" spans="2:20" ht="23.25" customHeight="1" x14ac:dyDescent="0.2">
      <c r="B17" s="6"/>
      <c r="C17" s="489" t="s">
        <v>909</v>
      </c>
      <c r="D17" s="457"/>
      <c r="E17" s="457"/>
      <c r="F17" s="457"/>
      <c r="G17" s="457"/>
      <c r="H17" s="457"/>
      <c r="I17" s="457"/>
      <c r="J17" s="457"/>
      <c r="K17" s="457"/>
      <c r="L17" s="457"/>
      <c r="M17" s="457"/>
      <c r="N17" s="457"/>
      <c r="O17" s="457"/>
      <c r="P17" s="457"/>
      <c r="Q17" s="457"/>
      <c r="R17" s="457"/>
      <c r="S17" s="457"/>
      <c r="T17" s="6"/>
    </row>
    <row r="18" spans="2:20" ht="15" x14ac:dyDescent="0.2">
      <c r="B18" s="6"/>
      <c r="C18" s="488" t="s">
        <v>910</v>
      </c>
      <c r="D18" s="457"/>
      <c r="E18" s="457"/>
      <c r="F18" s="457"/>
      <c r="G18" s="457"/>
      <c r="H18" s="457"/>
      <c r="I18" s="457"/>
      <c r="J18" s="457"/>
      <c r="K18" s="457"/>
      <c r="L18" s="457"/>
      <c r="M18" s="457"/>
      <c r="N18" s="457"/>
      <c r="O18" s="457"/>
      <c r="P18" s="457"/>
      <c r="Q18" s="457"/>
      <c r="R18" s="457"/>
      <c r="S18" s="457"/>
      <c r="T18" s="6"/>
    </row>
    <row r="19" spans="2:20" ht="15" x14ac:dyDescent="0.2">
      <c r="B19" s="6"/>
      <c r="C19" s="458" t="s">
        <v>911</v>
      </c>
      <c r="D19" s="457"/>
      <c r="E19" s="457"/>
      <c r="F19" s="457"/>
      <c r="G19" s="457"/>
      <c r="H19" s="457"/>
      <c r="I19" s="457"/>
      <c r="J19" s="457"/>
      <c r="K19" s="457"/>
      <c r="L19" s="457"/>
      <c r="M19" s="457"/>
      <c r="N19" s="457"/>
      <c r="O19" s="457"/>
      <c r="P19" s="457"/>
      <c r="Q19" s="457"/>
      <c r="R19" s="457"/>
      <c r="S19" s="457"/>
      <c r="T19" s="6"/>
    </row>
    <row r="20" spans="2:20" ht="25.5" customHeight="1" x14ac:dyDescent="0.2">
      <c r="B20" s="6"/>
      <c r="C20" s="406" t="s">
        <v>914</v>
      </c>
      <c r="D20" s="460"/>
      <c r="E20" s="460"/>
      <c r="F20" s="460"/>
      <c r="G20" s="460"/>
      <c r="H20" s="460"/>
      <c r="I20" s="460"/>
      <c r="J20" s="460"/>
      <c r="K20" s="460"/>
      <c r="L20" s="460"/>
      <c r="M20" s="460"/>
      <c r="N20" s="460"/>
      <c r="O20" s="460"/>
      <c r="P20" s="460"/>
      <c r="Q20" s="460"/>
      <c r="R20" s="460"/>
      <c r="S20" s="460"/>
      <c r="T20" s="6"/>
    </row>
    <row r="21" spans="2:20" ht="31.5" customHeight="1" x14ac:dyDescent="0.2">
      <c r="B21" s="6"/>
      <c r="C21" s="1172" t="s">
        <v>981</v>
      </c>
      <c r="D21" s="1172"/>
      <c r="E21" s="1172"/>
      <c r="F21" s="1172"/>
      <c r="G21" s="1172"/>
      <c r="H21" s="1172"/>
      <c r="I21" s="1172"/>
      <c r="J21" s="1172"/>
      <c r="K21" s="1172"/>
      <c r="L21" s="1172"/>
      <c r="M21" s="1172"/>
      <c r="N21" s="1172"/>
      <c r="O21" s="1172"/>
      <c r="P21" s="1172"/>
      <c r="Q21" s="1172"/>
      <c r="R21" s="520"/>
      <c r="S21" s="460"/>
      <c r="T21" s="6"/>
    </row>
    <row r="22" spans="2:20" ht="15" x14ac:dyDescent="0.25">
      <c r="B22" s="6"/>
      <c r="C22" s="521" t="s">
        <v>915</v>
      </c>
      <c r="D22" s="460"/>
      <c r="E22" s="460"/>
      <c r="F22" s="460"/>
      <c r="G22" s="460"/>
      <c r="H22" s="460"/>
      <c r="I22" s="460"/>
      <c r="J22" s="460"/>
      <c r="K22" s="460"/>
      <c r="L22" s="460"/>
      <c r="M22" s="460"/>
      <c r="N22" s="460"/>
      <c r="O22" s="460"/>
      <c r="P22" s="460"/>
      <c r="Q22" s="460"/>
      <c r="R22" s="460"/>
      <c r="S22" s="460"/>
      <c r="T22" s="6"/>
    </row>
    <row r="23" spans="2:20" ht="23.25" customHeight="1" x14ac:dyDescent="0.2">
      <c r="B23" s="6"/>
      <c r="C23" s="1162" t="s">
        <v>808</v>
      </c>
      <c r="D23" s="903"/>
      <c r="E23" s="903"/>
      <c r="F23" s="903"/>
      <c r="G23" s="903"/>
      <c r="H23" s="903"/>
      <c r="I23" s="903"/>
      <c r="J23" s="903"/>
      <c r="K23" s="903"/>
      <c r="L23" s="903"/>
      <c r="M23" s="903"/>
      <c r="N23" s="903"/>
      <c r="O23" s="903"/>
      <c r="P23" s="903"/>
      <c r="Q23" s="903"/>
      <c r="R23" s="903"/>
      <c r="S23" s="903"/>
      <c r="T23" s="6"/>
    </row>
    <row r="24" spans="2:20" ht="15" x14ac:dyDescent="0.2">
      <c r="B24" s="6"/>
      <c r="C24" s="1171" t="s">
        <v>799</v>
      </c>
      <c r="D24" s="1171"/>
      <c r="E24" s="1171"/>
      <c r="F24" s="1171"/>
      <c r="G24" s="1171"/>
      <c r="H24" s="1171"/>
      <c r="I24" s="1171"/>
      <c r="J24" s="1171"/>
      <c r="K24" s="1171"/>
      <c r="L24" s="1171"/>
      <c r="M24" s="1171"/>
      <c r="N24" s="1171"/>
      <c r="O24" s="1171"/>
      <c r="P24" s="1171"/>
      <c r="Q24" s="1171"/>
      <c r="R24" s="1171"/>
      <c r="S24" s="1171"/>
      <c r="T24" s="6"/>
    </row>
    <row r="25" spans="2:20" ht="15" x14ac:dyDescent="0.2">
      <c r="B25" s="6"/>
      <c r="C25" s="1170" t="s">
        <v>800</v>
      </c>
      <c r="D25" s="1170"/>
      <c r="E25" s="1170"/>
      <c r="F25" s="1170"/>
      <c r="G25" s="1170"/>
      <c r="H25" s="1170"/>
      <c r="I25" s="1170"/>
      <c r="J25" s="1170"/>
      <c r="K25" s="1170"/>
      <c r="L25" s="1170"/>
      <c r="M25" s="1170"/>
      <c r="N25" s="1170"/>
      <c r="O25" s="1170"/>
      <c r="P25" s="1170"/>
      <c r="Q25" s="1170"/>
      <c r="R25" s="1170"/>
      <c r="S25" s="1170"/>
      <c r="T25" s="6"/>
    </row>
    <row r="26" spans="2:20" ht="21.75" customHeight="1" x14ac:dyDescent="0.2">
      <c r="B26" s="6"/>
      <c r="C26" s="1162" t="s">
        <v>579</v>
      </c>
      <c r="D26" s="1162"/>
      <c r="E26" s="1162"/>
      <c r="F26" s="1162"/>
      <c r="G26" s="1162"/>
      <c r="H26" s="1162"/>
      <c r="I26" s="1162"/>
      <c r="J26" s="1162"/>
      <c r="K26" s="1162"/>
      <c r="L26" s="1162"/>
      <c r="M26" s="1162"/>
      <c r="N26" s="1162"/>
      <c r="O26" s="1162"/>
      <c r="P26" s="1162"/>
      <c r="Q26" s="1162"/>
      <c r="R26" s="1162"/>
      <c r="S26" s="1162"/>
      <c r="T26" s="6"/>
    </row>
    <row r="27" spans="2:20" ht="15" x14ac:dyDescent="0.2">
      <c r="B27" s="6"/>
      <c r="C27" s="1169" t="s">
        <v>809</v>
      </c>
      <c r="D27" s="1169"/>
      <c r="E27" s="1169"/>
      <c r="F27" s="1169"/>
      <c r="G27" s="1169"/>
      <c r="H27" s="1169"/>
      <c r="I27" s="1169"/>
      <c r="J27" s="1169"/>
      <c r="K27" s="1169"/>
      <c r="L27" s="1169"/>
      <c r="M27" s="1169"/>
      <c r="N27" s="1169"/>
      <c r="O27" s="1169"/>
      <c r="P27" s="1169"/>
      <c r="Q27" s="1169"/>
      <c r="R27" s="1169"/>
      <c r="S27" s="1169"/>
      <c r="T27" s="6"/>
    </row>
    <row r="28" spans="2:20" ht="15" x14ac:dyDescent="0.2">
      <c r="B28" s="6"/>
      <c r="C28" s="1170" t="s">
        <v>844</v>
      </c>
      <c r="D28" s="1170"/>
      <c r="E28" s="1170"/>
      <c r="F28" s="1170"/>
      <c r="G28" s="1170"/>
      <c r="H28" s="1170"/>
      <c r="I28" s="1170"/>
      <c r="J28" s="1170"/>
      <c r="K28" s="1170"/>
      <c r="L28" s="1170"/>
      <c r="M28" s="1170"/>
      <c r="N28" s="1170"/>
      <c r="O28" s="1170"/>
      <c r="P28" s="1170"/>
      <c r="Q28" s="1170"/>
      <c r="R28" s="1170"/>
      <c r="S28" s="1170"/>
      <c r="T28" s="6"/>
    </row>
    <row r="29" spans="2:20" ht="24" customHeight="1" x14ac:dyDescent="0.2">
      <c r="B29" s="6"/>
      <c r="C29" s="1162" t="s">
        <v>810</v>
      </c>
      <c r="D29" s="1162"/>
      <c r="E29" s="1162"/>
      <c r="F29" s="1162"/>
      <c r="G29" s="1162"/>
      <c r="H29" s="1162"/>
      <c r="I29" s="1162"/>
      <c r="J29" s="1162"/>
      <c r="K29" s="1162"/>
      <c r="L29" s="1162"/>
      <c r="M29" s="1162"/>
      <c r="N29" s="1162"/>
      <c r="O29" s="1162"/>
      <c r="P29" s="1162"/>
      <c r="Q29" s="1162"/>
      <c r="R29" s="1162"/>
      <c r="S29" s="1162"/>
      <c r="T29" s="6"/>
    </row>
    <row r="30" spans="2:20" ht="15" x14ac:dyDescent="0.2">
      <c r="B30" s="6"/>
      <c r="C30" s="1159" t="s">
        <v>801</v>
      </c>
      <c r="D30" s="1159"/>
      <c r="E30" s="1159"/>
      <c r="F30" s="1159"/>
      <c r="G30" s="1159"/>
      <c r="H30" s="1159"/>
      <c r="I30" s="1159"/>
      <c r="J30" s="1159"/>
      <c r="K30" s="1159"/>
      <c r="L30" s="1159"/>
      <c r="M30" s="1159"/>
      <c r="N30" s="1159"/>
      <c r="O30" s="1159"/>
      <c r="P30" s="1159"/>
      <c r="Q30" s="1159"/>
      <c r="R30" s="1159"/>
      <c r="S30" s="1159"/>
      <c r="T30" s="6"/>
    </row>
    <row r="31" spans="2:20" ht="15" x14ac:dyDescent="0.2">
      <c r="B31" s="6"/>
      <c r="C31" s="1160" t="s">
        <v>803</v>
      </c>
      <c r="D31" s="1160"/>
      <c r="E31" s="1160"/>
      <c r="F31" s="1160"/>
      <c r="G31" s="1160"/>
      <c r="H31" s="1160"/>
      <c r="I31" s="1160"/>
      <c r="J31" s="1160"/>
      <c r="K31" s="1160"/>
      <c r="L31" s="1160"/>
      <c r="M31" s="1160"/>
      <c r="N31" s="1160"/>
      <c r="O31" s="1160"/>
      <c r="P31" s="1160"/>
      <c r="Q31" s="1160"/>
      <c r="R31" s="1160"/>
      <c r="S31" s="1160"/>
      <c r="T31" s="6"/>
    </row>
    <row r="32" spans="2:20" ht="24.75" customHeight="1" x14ac:dyDescent="0.2">
      <c r="B32" s="6"/>
      <c r="C32" s="1162" t="s">
        <v>811</v>
      </c>
      <c r="D32" s="903"/>
      <c r="E32" s="903"/>
      <c r="F32" s="903"/>
      <c r="G32" s="903"/>
      <c r="H32" s="903"/>
      <c r="I32" s="903"/>
      <c r="J32" s="903"/>
      <c r="K32" s="903"/>
      <c r="L32" s="903"/>
      <c r="M32" s="903"/>
      <c r="N32" s="903"/>
      <c r="O32" s="903"/>
      <c r="P32" s="903"/>
      <c r="Q32" s="903"/>
      <c r="R32" s="903"/>
      <c r="S32" s="903"/>
      <c r="T32" s="6"/>
    </row>
    <row r="33" spans="2:20" ht="15" x14ac:dyDescent="0.2">
      <c r="B33" s="6"/>
      <c r="C33" s="1159" t="s">
        <v>802</v>
      </c>
      <c r="D33" s="1159"/>
      <c r="E33" s="1159"/>
      <c r="F33" s="1159"/>
      <c r="G33" s="1159"/>
      <c r="H33" s="1159"/>
      <c r="I33" s="1159"/>
      <c r="J33" s="1159"/>
      <c r="K33" s="1159"/>
      <c r="L33" s="1159"/>
      <c r="M33" s="1159"/>
      <c r="N33" s="1159"/>
      <c r="O33" s="1159"/>
      <c r="P33" s="1159"/>
      <c r="Q33" s="1159"/>
      <c r="R33" s="1159"/>
      <c r="S33" s="1159"/>
      <c r="T33" s="6"/>
    </row>
    <row r="34" spans="2:20" ht="15" x14ac:dyDescent="0.2">
      <c r="B34" s="6"/>
      <c r="C34" s="1160" t="s">
        <v>803</v>
      </c>
      <c r="D34" s="1160"/>
      <c r="E34" s="1160"/>
      <c r="F34" s="1160"/>
      <c r="G34" s="1160"/>
      <c r="H34" s="1160"/>
      <c r="I34" s="1160"/>
      <c r="J34" s="1160"/>
      <c r="K34" s="1160"/>
      <c r="L34" s="1160"/>
      <c r="M34" s="1160"/>
      <c r="N34" s="1160"/>
      <c r="O34" s="1160"/>
      <c r="P34" s="1160"/>
      <c r="Q34" s="1160"/>
      <c r="R34" s="1160"/>
      <c r="S34" s="1160"/>
      <c r="T34" s="6"/>
    </row>
    <row r="35" spans="2:20" ht="24" customHeight="1" x14ac:dyDescent="0.2">
      <c r="B35" s="6"/>
      <c r="C35" s="1162" t="s">
        <v>812</v>
      </c>
      <c r="D35" s="903"/>
      <c r="E35" s="903"/>
      <c r="F35" s="903"/>
      <c r="G35" s="903"/>
      <c r="H35" s="903"/>
      <c r="I35" s="903"/>
      <c r="J35" s="903"/>
      <c r="K35" s="903"/>
      <c r="L35" s="903"/>
      <c r="M35" s="903"/>
      <c r="N35" s="903"/>
      <c r="O35" s="903"/>
      <c r="P35" s="903"/>
      <c r="Q35" s="903"/>
      <c r="R35" s="903"/>
      <c r="S35" s="903"/>
      <c r="T35" s="6"/>
    </row>
    <row r="36" spans="2:20" ht="15" x14ac:dyDescent="0.2">
      <c r="B36" s="6"/>
      <c r="C36" s="1159" t="s">
        <v>804</v>
      </c>
      <c r="D36" s="1159"/>
      <c r="E36" s="1159"/>
      <c r="F36" s="1159"/>
      <c r="G36" s="1159"/>
      <c r="H36" s="1159"/>
      <c r="I36" s="1159"/>
      <c r="J36" s="1159"/>
      <c r="K36" s="1159"/>
      <c r="L36" s="1159"/>
      <c r="M36" s="1159"/>
      <c r="N36" s="1159"/>
      <c r="O36" s="1159"/>
      <c r="P36" s="1159"/>
      <c r="Q36" s="1159"/>
      <c r="R36" s="1159"/>
      <c r="S36" s="1159"/>
      <c r="T36" s="6"/>
    </row>
    <row r="37" spans="2:20" ht="15" x14ac:dyDescent="0.2">
      <c r="B37" s="6"/>
      <c r="C37" s="1160" t="s">
        <v>805</v>
      </c>
      <c r="D37" s="1160"/>
      <c r="E37" s="1160"/>
      <c r="F37" s="1160"/>
      <c r="G37" s="1160"/>
      <c r="H37" s="1160"/>
      <c r="I37" s="1160"/>
      <c r="J37" s="1160"/>
      <c r="K37" s="1160"/>
      <c r="L37" s="1160"/>
      <c r="M37" s="1160"/>
      <c r="N37" s="1160"/>
      <c r="O37" s="1160"/>
      <c r="P37" s="1160"/>
      <c r="Q37" s="1160"/>
      <c r="R37" s="1160"/>
      <c r="S37" s="1160"/>
      <c r="T37" s="6"/>
    </row>
    <row r="38" spans="2:20" ht="15" x14ac:dyDescent="0.2">
      <c r="B38" s="6"/>
      <c r="C38" s="1163"/>
      <c r="D38" s="1163"/>
      <c r="E38" s="1163"/>
      <c r="F38" s="1163"/>
      <c r="G38" s="1163"/>
      <c r="H38" s="1163"/>
      <c r="I38" s="1163"/>
      <c r="J38" s="1163"/>
      <c r="K38" s="1163"/>
      <c r="L38" s="1163"/>
      <c r="M38" s="1163"/>
      <c r="N38" s="1163"/>
      <c r="O38" s="1163"/>
      <c r="P38" s="1163"/>
      <c r="Q38" s="1163"/>
      <c r="R38" s="1163"/>
      <c r="S38" s="1163"/>
      <c r="T38" s="6"/>
    </row>
    <row r="39" spans="2:20" ht="15" x14ac:dyDescent="0.2">
      <c r="B39" s="6"/>
      <c r="C39" s="1164"/>
      <c r="D39" s="1164"/>
      <c r="E39" s="1164"/>
      <c r="F39" s="1164"/>
      <c r="G39" s="1164"/>
      <c r="H39" s="1164"/>
      <c r="I39" s="1164"/>
      <c r="J39" s="1164"/>
      <c r="K39" s="1164"/>
      <c r="L39" s="1164"/>
      <c r="M39" s="1164"/>
      <c r="N39" s="1164"/>
      <c r="O39" s="1164"/>
      <c r="P39" s="1164"/>
      <c r="Q39" s="1164"/>
      <c r="R39" s="1164"/>
      <c r="S39" s="1164"/>
      <c r="T39" s="6"/>
    </row>
    <row r="40" spans="2:20" ht="15" x14ac:dyDescent="0.2">
      <c r="B40" s="6"/>
      <c r="C40" s="1165"/>
      <c r="D40" s="1165"/>
      <c r="E40" s="1165"/>
      <c r="F40" s="1165"/>
      <c r="G40" s="1165"/>
      <c r="H40" s="1165"/>
      <c r="I40" s="1165"/>
      <c r="J40" s="1165"/>
      <c r="K40" s="1165"/>
      <c r="L40" s="1165"/>
      <c r="M40" s="1165"/>
      <c r="N40" s="1165"/>
      <c r="O40" s="1165"/>
      <c r="P40" s="1165"/>
      <c r="Q40" s="1165"/>
      <c r="R40" s="1165"/>
      <c r="S40" s="1165"/>
      <c r="T40" s="6"/>
    </row>
    <row r="42" spans="2:20" ht="15" x14ac:dyDescent="0.2">
      <c r="C42" s="1161"/>
      <c r="D42" s="1161"/>
      <c r="E42" s="1161"/>
      <c r="F42" s="1161"/>
      <c r="G42" s="1161"/>
      <c r="H42" s="1161"/>
      <c r="I42" s="1161"/>
      <c r="J42" s="1161"/>
      <c r="K42" s="1161"/>
      <c r="L42" s="1161"/>
      <c r="M42" s="1161"/>
      <c r="N42" s="1161"/>
      <c r="O42" s="1161"/>
      <c r="P42" s="1161"/>
      <c r="Q42" s="1161"/>
      <c r="R42" s="1161"/>
      <c r="S42" s="1161"/>
    </row>
    <row r="44" spans="2:20" ht="15" x14ac:dyDescent="0.2">
      <c r="C44" s="1161"/>
      <c r="D44" s="1161"/>
      <c r="E44" s="1161"/>
      <c r="F44" s="1161"/>
      <c r="G44" s="1161"/>
      <c r="H44" s="1161"/>
      <c r="I44" s="1161"/>
      <c r="J44" s="1161"/>
      <c r="K44" s="1161"/>
      <c r="L44" s="1161"/>
      <c r="M44" s="1161"/>
      <c r="N44" s="1161"/>
      <c r="O44" s="1161"/>
      <c r="P44" s="1161"/>
      <c r="Q44" s="1161"/>
      <c r="R44" s="1161"/>
      <c r="S44" s="1161"/>
    </row>
    <row r="46" spans="2:20" ht="15" x14ac:dyDescent="0.2">
      <c r="C46" s="1161"/>
      <c r="D46" s="1161"/>
      <c r="E46" s="1161"/>
      <c r="F46" s="1161"/>
      <c r="G46" s="1161"/>
      <c r="H46" s="1161"/>
      <c r="I46" s="1161"/>
      <c r="J46" s="1161"/>
      <c r="K46" s="1161"/>
      <c r="L46" s="1161"/>
      <c r="M46" s="1161"/>
      <c r="N46" s="1161"/>
      <c r="O46" s="1161"/>
      <c r="P46" s="1161"/>
      <c r="Q46" s="1161"/>
      <c r="R46" s="1161"/>
      <c r="S46" s="1161"/>
    </row>
    <row r="48" spans="2:20" ht="15" x14ac:dyDescent="0.2">
      <c r="C48" s="1161"/>
      <c r="D48" s="1161"/>
      <c r="E48" s="1161"/>
      <c r="F48" s="1161"/>
      <c r="G48" s="1161"/>
      <c r="H48" s="1161"/>
      <c r="I48" s="1161"/>
      <c r="J48" s="1161"/>
      <c r="K48" s="1161"/>
      <c r="L48" s="1161"/>
      <c r="M48" s="1161"/>
      <c r="N48" s="1161"/>
      <c r="O48" s="1161"/>
      <c r="P48" s="1161"/>
      <c r="Q48" s="1161"/>
      <c r="R48" s="1161"/>
      <c r="S48" s="1161"/>
    </row>
    <row r="50" spans="3:19" ht="15" x14ac:dyDescent="0.2">
      <c r="C50" s="1163"/>
      <c r="D50" s="1163"/>
      <c r="E50" s="1163"/>
      <c r="F50" s="1163"/>
      <c r="G50" s="1163"/>
      <c r="H50" s="1163"/>
      <c r="I50" s="1163"/>
      <c r="J50" s="1163"/>
      <c r="K50" s="1163"/>
      <c r="L50" s="1163"/>
      <c r="M50" s="1163"/>
      <c r="N50" s="1163"/>
      <c r="O50" s="1163"/>
      <c r="P50" s="1163"/>
      <c r="Q50" s="1163"/>
      <c r="R50" s="1163"/>
      <c r="S50" s="1163"/>
    </row>
    <row r="52" spans="3:19" ht="15" x14ac:dyDescent="0.2">
      <c r="C52" s="1159"/>
      <c r="D52" s="1159"/>
      <c r="E52" s="1159"/>
      <c r="F52" s="1159"/>
      <c r="G52" s="1159"/>
      <c r="H52" s="1159"/>
      <c r="I52" s="1159"/>
      <c r="J52" s="1159"/>
      <c r="K52" s="1159"/>
      <c r="L52" s="1159"/>
      <c r="M52" s="1159"/>
      <c r="N52" s="1159"/>
      <c r="O52" s="1159"/>
      <c r="P52" s="1159"/>
      <c r="Q52" s="1159"/>
      <c r="R52" s="1159"/>
      <c r="S52" s="1159"/>
    </row>
    <row r="54" spans="3:19" ht="15" x14ac:dyDescent="0.2">
      <c r="C54" s="1159"/>
      <c r="D54" s="1159"/>
      <c r="E54" s="1159"/>
      <c r="F54" s="1159"/>
      <c r="G54" s="1159"/>
      <c r="H54" s="1159"/>
      <c r="I54" s="1159"/>
      <c r="J54" s="1159"/>
      <c r="K54" s="1159"/>
      <c r="L54" s="1159"/>
      <c r="M54" s="1159"/>
      <c r="N54" s="1159"/>
      <c r="O54" s="1159"/>
      <c r="P54" s="1159"/>
      <c r="Q54" s="1159"/>
      <c r="R54" s="1159"/>
      <c r="S54" s="1159"/>
    </row>
  </sheetData>
  <mergeCells count="30">
    <mergeCell ref="C8:S8"/>
    <mergeCell ref="C9:S9"/>
    <mergeCell ref="C10:S10"/>
    <mergeCell ref="C30:S30"/>
    <mergeCell ref="C42:S42"/>
    <mergeCell ref="C27:S27"/>
    <mergeCell ref="C28:S28"/>
    <mergeCell ref="C11:S11"/>
    <mergeCell ref="C26:S26"/>
    <mergeCell ref="C23:S23"/>
    <mergeCell ref="C24:S24"/>
    <mergeCell ref="C29:S29"/>
    <mergeCell ref="C25:S25"/>
    <mergeCell ref="C21:Q21"/>
    <mergeCell ref="C54:S54"/>
    <mergeCell ref="C31:S31"/>
    <mergeCell ref="C44:S44"/>
    <mergeCell ref="C32:S32"/>
    <mergeCell ref="C46:S46"/>
    <mergeCell ref="C33:S33"/>
    <mergeCell ref="C48:S48"/>
    <mergeCell ref="C38:S38"/>
    <mergeCell ref="C39:S39"/>
    <mergeCell ref="C40:S40"/>
    <mergeCell ref="C37:S37"/>
    <mergeCell ref="C34:S34"/>
    <mergeCell ref="C50:S50"/>
    <mergeCell ref="C35:S35"/>
    <mergeCell ref="C52:S52"/>
    <mergeCell ref="C36:S36"/>
  </mergeCells>
  <hyperlinks>
    <hyperlink ref="C11" r:id="rId1"/>
    <hyperlink ref="C25" r:id="rId2"/>
    <hyperlink ref="C28" r:id="rId3"/>
    <hyperlink ref="C31" r:id="rId4"/>
    <hyperlink ref="C34" r:id="rId5"/>
    <hyperlink ref="C37" r:id="rId6"/>
    <hyperlink ref="C13" r:id="rId7"/>
    <hyperlink ref="C19" r:id="rId8"/>
    <hyperlink ref="C16" r:id="rId9"/>
    <hyperlink ref="C22" r:id="rId10" display="http://webarchive.nationalarchives.gov.uk/20130401151715/http:/www.education.gov.uk/publications/standard/publicationdetail/page1/DCSF-00632-2008"/>
  </hyperlinks>
  <pageMargins left="0.7" right="0.7" top="0.75" bottom="0.75" header="0.3" footer="0.3"/>
  <pageSetup paperSize="9" orientation="portrait" r:id="rId11"/>
  <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65</vt:i4>
      </vt:variant>
    </vt:vector>
  </HeadingPairs>
  <TitlesOfParts>
    <vt:vector size="82" baseType="lpstr">
      <vt:lpstr>Intro</vt:lpstr>
      <vt:lpstr>Contents</vt:lpstr>
      <vt:lpstr>Population</vt:lpstr>
      <vt:lpstr>Family Structure</vt:lpstr>
      <vt:lpstr>Health Indicators</vt:lpstr>
      <vt:lpstr>Births and Early Years</vt:lpstr>
      <vt:lpstr>Deprivation</vt:lpstr>
      <vt:lpstr>EYFS</vt:lpstr>
      <vt:lpstr>References</vt:lpstr>
      <vt:lpstr>Data</vt:lpstr>
      <vt:lpstr>Named Ranges</vt:lpstr>
      <vt:lpstr>Teenage Pregnancy</vt:lpstr>
      <vt:lpstr>ONS births</vt:lpstr>
      <vt:lpstr>Young Mothers</vt:lpstr>
      <vt:lpstr>Breastfeeding CCG</vt:lpstr>
      <vt:lpstr>progress</vt:lpstr>
      <vt:lpstr>Emergency Admissions</vt:lpstr>
      <vt:lpstr>Births</vt:lpstr>
      <vt:lpstr>Birthweight</vt:lpstr>
      <vt:lpstr>breastfeeding</vt:lpstr>
      <vt:lpstr>breastfeeding1415</vt:lpstr>
      <vt:lpstr>breastfeeding1415GPpostcode</vt:lpstr>
      <vt:lpstr>Childpoverty</vt:lpstr>
      <vt:lpstr>ChildPoverty16s</vt:lpstr>
      <vt:lpstr>deprivation</vt:lpstr>
      <vt:lpstr>District1</vt:lpstr>
      <vt:lpstr>District2</vt:lpstr>
      <vt:lpstr>Ethnicity</vt:lpstr>
      <vt:lpstr>EYFS2013</vt:lpstr>
      <vt:lpstr>EYFS2014</vt:lpstr>
      <vt:lpstr>EYFS2015</vt:lpstr>
      <vt:lpstr>Families</vt:lpstr>
      <vt:lpstr>Geographies</vt:lpstr>
      <vt:lpstr>Households_All_Ages</vt:lpstr>
      <vt:lpstr>Householdunder5</vt:lpstr>
      <vt:lpstr>IMD</vt:lpstr>
      <vt:lpstr>Imms201415</vt:lpstr>
      <vt:lpstr>immunisations</vt:lpstr>
      <vt:lpstr>Locations</vt:lpstr>
      <vt:lpstr>loneparentlowincome</vt:lpstr>
      <vt:lpstr>LoneParentsCensus</vt:lpstr>
      <vt:lpstr>LTLI</vt:lpstr>
      <vt:lpstr>Obese2009</vt:lpstr>
      <vt:lpstr>Obese2010</vt:lpstr>
      <vt:lpstr>Obese2011</vt:lpstr>
      <vt:lpstr>Obese2012</vt:lpstr>
      <vt:lpstr>Obese2013</vt:lpstr>
      <vt:lpstr>Obese2014</vt:lpstr>
      <vt:lpstr>Obese2015</vt:lpstr>
      <vt:lpstr>ObeseY62014</vt:lpstr>
      <vt:lpstr>OutofWork</vt:lpstr>
      <vt:lpstr>Population</vt:lpstr>
      <vt:lpstr>'Births and Early Years'!Print_Area</vt:lpstr>
      <vt:lpstr>Contents!Print_Area</vt:lpstr>
      <vt:lpstr>Deprivation!Print_Area</vt:lpstr>
      <vt:lpstr>EYFS!Print_Area</vt:lpstr>
      <vt:lpstr>'Family Structure'!Print_Area</vt:lpstr>
      <vt:lpstr>'Health Indicators'!Print_Area</vt:lpstr>
      <vt:lpstr>Intro!Print_Area</vt:lpstr>
      <vt:lpstr>Population!Print_Area</vt:lpstr>
      <vt:lpstr>Proficiency</vt:lpstr>
      <vt:lpstr>selection</vt:lpstr>
      <vt:lpstr>selection2</vt:lpstr>
      <vt:lpstr>selectionTeenConc1</vt:lpstr>
      <vt:lpstr>smoking</vt:lpstr>
      <vt:lpstr>Smoking2014</vt:lpstr>
      <vt:lpstr>TeenConc_Selection</vt:lpstr>
      <vt:lpstr>TeenConcselection1</vt:lpstr>
      <vt:lpstr>TeenConcSelection2</vt:lpstr>
      <vt:lpstr>TeenMums</vt:lpstr>
      <vt:lpstr>TeenPregnancy</vt:lpstr>
      <vt:lpstr>Tenure</vt:lpstr>
      <vt:lpstr>UnderFive</vt:lpstr>
      <vt:lpstr>Y6Obese2009</vt:lpstr>
      <vt:lpstr>Y6Obese2010</vt:lpstr>
      <vt:lpstr>Y6Obese20109</vt:lpstr>
      <vt:lpstr>Y6Obese2011</vt:lpstr>
      <vt:lpstr>Y6Obese2012</vt:lpstr>
      <vt:lpstr>Y6Obese2013</vt:lpstr>
      <vt:lpstr>YoungMums</vt:lpstr>
      <vt:lpstr>YR6Obese2011</vt:lpstr>
      <vt:lpstr>Yr6Obese2014</vt:lpstr>
    </vt:vector>
  </TitlesOfParts>
  <Company>WSCC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Verity Pinkney</dc:creator>
  <cp:lastModifiedBy>Verity Pinkney</cp:lastModifiedBy>
  <cp:lastPrinted>2015-08-07T13:38:48Z</cp:lastPrinted>
  <dcterms:created xsi:type="dcterms:W3CDTF">2015-07-21T08:42:47Z</dcterms:created>
  <dcterms:modified xsi:type="dcterms:W3CDTF">2015-12-18T12:39:57Z</dcterms:modified>
</cp:coreProperties>
</file>